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8.xml" ContentType="application/vnd.openxmlformats-officedocument.drawing+xml"/>
  <Override PartName="/xl/charts/chart18.xml" ContentType="application/vnd.openxmlformats-officedocument.drawingml.chart+xml"/>
  <Override PartName="/xl/drawings/drawing9.xml" ContentType="application/vnd.openxmlformats-officedocument.drawingml.chartshapes+xml"/>
  <Override PartName="/xl/charts/chart19.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drawings/drawing12.xml" ContentType="application/vnd.openxmlformats-officedocument.drawing+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3.xml" ContentType="application/vnd.openxmlformats-officedocument.drawing+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EstaPastaDeTrabalho"/>
  <mc:AlternateContent xmlns:mc="http://schemas.openxmlformats.org/markup-compatibility/2006">
    <mc:Choice Requires="x15">
      <x15ac:absPath xmlns:x15ac="http://schemas.microsoft.com/office/spreadsheetml/2010/11/ac" url="G:\Meu Drive\HAOC\UATS - equipe\Artigos\Planilha AIO\Revisão 2\"/>
    </mc:Choice>
  </mc:AlternateContent>
  <xr:revisionPtr revIDLastSave="0" documentId="13_ncr:1_{F0BDFB93-07CC-489C-A12B-F6375A9E2BA2}" xr6:coauthVersionLast="47" xr6:coauthVersionMax="47" xr10:uidLastSave="{00000000-0000-0000-0000-000000000000}"/>
  <bookViews>
    <workbookView xWindow="-28935" yWindow="-135" windowWidth="29070" windowHeight="15870" tabRatio="825" activeTab="6" xr2:uid="{4EB315A7-D404-4984-8A1B-CFA6B4A28D2D}"/>
  </bookViews>
  <sheets>
    <sheet name="Introduction" sheetId="1" r:id="rId1"/>
    <sheet name="Definitions" sheetId="5" r:id="rId2"/>
    <sheet name="Mkt share" sheetId="3" r:id="rId3"/>
    <sheet name="Population" sheetId="24" r:id="rId4"/>
    <sheet name="Costs" sheetId="4" r:id="rId5"/>
    <sheet name="Time on treatment" sheetId="15" r:id="rId6"/>
    <sheet name="Results" sheetId="11" r:id="rId7"/>
    <sheet name="SensibilityAn" sheetId="27" r:id="rId8"/>
    <sheet name="PSA" sheetId="28" r:id="rId9"/>
    <sheet name="Data" sheetId="26" r:id="rId10"/>
    <sheet name="Calculations" sheetId="9" r:id="rId11"/>
    <sheet name="Calculations2" sheetId="29" r:id="rId12"/>
    <sheet name="Calculations3" sheetId="20" r:id="rId13"/>
    <sheet name="Parameters" sheetId="7" r:id="rId14"/>
    <sheet name="DSA" sheetId="21" r:id="rId15"/>
  </sheets>
  <definedNames>
    <definedName name="_xlnm._FilterDatabase" localSheetId="14" hidden="1">DSA!$H$69:$K$69</definedName>
    <definedName name="_xlnm._FilterDatabase" localSheetId="2" hidden="1">'Mkt share'!$B$21:$P$96</definedName>
    <definedName name="_xlnm._FilterDatabase" localSheetId="5" hidden="1">'Time on treatment'!$C$11:$J$28</definedName>
    <definedName name="_xlchart.v2.0" hidden="1">Population!$C$80:$C$88</definedName>
    <definedName name="_xlchart.v2.1" hidden="1">Population!$J$79</definedName>
    <definedName name="_xlchart.v2.2" hidden="1">Population!$J$80:$J$88</definedName>
    <definedName name="_xleta.AND" hidden="1" xlm="1">#NAME?</definedName>
    <definedName name="_xleta.AVERAGE" hidden="1" xlm="1">#NAME?</definedName>
    <definedName name="_xleta.AVERAGEIF" hidden="1" xlm="1">#NAME?</definedName>
    <definedName name="_xleta.CORREL" hidden="1" xlm="1">#NAME?</definedName>
    <definedName name="_xleta.DATE" hidden="1" xlm="1">#NAME?</definedName>
    <definedName name="_xleta.DISC" hidden="1" xlm="1">#NAME?</definedName>
    <definedName name="_xleta.IF" hidden="1" xlm="1">#NAME?</definedName>
    <definedName name="_xleta.IFERROR" hidden="1" xlm="1">#NAME?</definedName>
    <definedName name="_xleta.NOT" hidden="1" xlm="1">#NAME?</definedName>
    <definedName name="_xleta.OR" hidden="1" xlm="1">#NAME?</definedName>
    <definedName name="_xleta.RATE" hidden="1" xlm="1">#NAME?</definedName>
    <definedName name="_xleta.RSQ" hidden="1" xlm="1">#NAME?</definedName>
    <definedName name="_xleta.SECOND" hidden="1" xlm="1">#NAME?</definedName>
    <definedName name="_xleta.SUM" hidden="1" xlm="1">#NAME?</definedName>
    <definedName name="_xleta.T" hidden="1" xlm="1">#NAME?</definedName>
    <definedName name="_xleta.TIME" hidden="1" xlm="1">#NAME?</definedName>
    <definedName name="_xleta.YEAR" hidden="1" xlm="1">#NAME?</definedName>
    <definedName name="ano_1">'Mkt share'!$E$10</definedName>
    <definedName name="c_inicial">Parameters!$E$56</definedName>
    <definedName name="c_off">Parameters!$E$58</definedName>
    <definedName name="c_on">Parameters!$E$57</definedName>
    <definedName name="ca_comp1">Parameters!$E$46</definedName>
    <definedName name="ca_comp10">Parameters!$E$55</definedName>
    <definedName name="ca_comp2">Parameters!$E$47</definedName>
    <definedName name="ca_comp3">Parameters!$E$48</definedName>
    <definedName name="ca_comp4">Parameters!$E$49</definedName>
    <definedName name="ca_comp5">Parameters!$E$50</definedName>
    <definedName name="ca_comp6">Parameters!$E$51</definedName>
    <definedName name="ca_comp7">Parameters!$E$52</definedName>
    <definedName name="ca_comp8">Parameters!$E$53</definedName>
    <definedName name="ca_comp9">Parameters!$E$54</definedName>
    <definedName name="ca_int1">Parameters!$E$42</definedName>
    <definedName name="ca_int2">Parameters!$E$43</definedName>
    <definedName name="ca_int3">Parameters!$E$44</definedName>
    <definedName name="ca_int4">Parameters!$E$45</definedName>
    <definedName name="calculo">Population!$P$14</definedName>
    <definedName name="cen_atual">Definitions!$E$55</definedName>
    <definedName name="cen_prop1">Definitions!$E$57</definedName>
    <definedName name="cen_prop2">Definitions!$E$58</definedName>
    <definedName name="cen_prop3">Definitions!$E$59</definedName>
    <definedName name="ci_comp1">Parameters!$E$18</definedName>
    <definedName name="ci_comp10">Parameters!$E$27</definedName>
    <definedName name="ci_comp2">Parameters!$E$19</definedName>
    <definedName name="ci_comp3">Parameters!$E$20</definedName>
    <definedName name="ci_comp4">Parameters!$E$21</definedName>
    <definedName name="ci_comp5">Parameters!$E$22</definedName>
    <definedName name="ci_comp6">Parameters!$E$23</definedName>
    <definedName name="ci_comp7">Parameters!$E$24</definedName>
    <definedName name="ci_comp8">Parameters!$E$25</definedName>
    <definedName name="ci_comp9">Parameters!$E$26</definedName>
    <definedName name="ci_int1">Parameters!$E$14</definedName>
    <definedName name="ci_int2">Parameters!$E$15</definedName>
    <definedName name="ci_int3">Parameters!$E$16</definedName>
    <definedName name="ci_int4">Parameters!$E$17</definedName>
    <definedName name="comparador1">Definitions!$E$42</definedName>
    <definedName name="comparador10">Definitions!$E$51</definedName>
    <definedName name="comparador2">Definitions!$E$43</definedName>
    <definedName name="comparador3">Definitions!$E$44</definedName>
    <definedName name="comparador4">Definitions!$E$45</definedName>
    <definedName name="comparador5">Definitions!$E$46</definedName>
    <definedName name="comparador6">Definitions!$E$47</definedName>
    <definedName name="comparador7">Definitions!$E$48</definedName>
    <definedName name="comparador8">Definitions!$E$49</definedName>
    <definedName name="comparador9">Definitions!$E$50</definedName>
    <definedName name="ct_comp1">Parameters!$E$32</definedName>
    <definedName name="ct_comp10">Parameters!$E$41</definedName>
    <definedName name="ct_comp2">Parameters!$E$33</definedName>
    <definedName name="ct_comp3">Parameters!$E$34</definedName>
    <definedName name="ct_comp4">Parameters!$E$35</definedName>
    <definedName name="ct_comp5">Parameters!$E$36</definedName>
    <definedName name="ct_comp6">Parameters!$E$37</definedName>
    <definedName name="ct_comp7">Parameters!$E$38</definedName>
    <definedName name="ct_comp8">Parameters!$E$39</definedName>
    <definedName name="ct_comp9">Parameters!$E$40</definedName>
    <definedName name="ct_int1">Parameters!$E$28</definedName>
    <definedName name="ct_int2">Parameters!$E$29</definedName>
    <definedName name="ct_int3">Parameters!$E$30</definedName>
    <definedName name="ct_int4">Parameters!$E$31</definedName>
    <definedName name="demanda">Population!$E$9</definedName>
    <definedName name="desc_por_ob">'Time on treatment'!$J$54</definedName>
    <definedName name="desc1_1">'Time on treatment'!$R$65</definedName>
    <definedName name="desc1_2">'Time on treatment'!$S$65</definedName>
    <definedName name="desc1_3">'Time on treatment'!$T$65</definedName>
    <definedName name="desc1_4">'Time on treatment'!$U$65</definedName>
    <definedName name="desc10_1">'Time on treatment'!$R$75</definedName>
    <definedName name="desc10_2">'Time on treatment'!$S$75</definedName>
    <definedName name="desc10_3">'Time on treatment'!$T$75</definedName>
    <definedName name="desc10_4">'Time on treatment'!$U$75</definedName>
    <definedName name="desc11_1">'Time on treatment'!$R$76</definedName>
    <definedName name="desc11_2">'Time on treatment'!$S$76</definedName>
    <definedName name="desc11_3">'Time on treatment'!$T$76</definedName>
    <definedName name="desc11_4">'Time on treatment'!$U$76</definedName>
    <definedName name="desc12_1">'Time on treatment'!$R$77</definedName>
    <definedName name="desc12_2">'Time on treatment'!$S$77</definedName>
    <definedName name="desc12_3">'Time on treatment'!$T$77</definedName>
    <definedName name="desc12_4">'Time on treatment'!$U$77</definedName>
    <definedName name="desc13_1">'Time on treatment'!$R$78</definedName>
    <definedName name="desc13_2">'Time on treatment'!$S$78</definedName>
    <definedName name="desc13_3">'Time on treatment'!$T$78</definedName>
    <definedName name="desc13_4">'Time on treatment'!$U$78</definedName>
    <definedName name="desc14_1">'Time on treatment'!$R$79</definedName>
    <definedName name="desc14_2">'Time on treatment'!$S$79</definedName>
    <definedName name="desc14_3">'Time on treatment'!$T$79</definedName>
    <definedName name="desc14_4">'Time on treatment'!$U$79</definedName>
    <definedName name="desc2_1">'Time on treatment'!$R$66</definedName>
    <definedName name="desc2_2">'Time on treatment'!$S$66</definedName>
    <definedName name="desc2_3">'Time on treatment'!$T$66</definedName>
    <definedName name="desc2_4">'Time on treatment'!$U$66</definedName>
    <definedName name="desc3_1">'Time on treatment'!$R$67</definedName>
    <definedName name="desc3_2">'Time on treatment'!$S$67</definedName>
    <definedName name="desc3_3">'Time on treatment'!$T$67</definedName>
    <definedName name="desc3_4">'Time on treatment'!$U$67</definedName>
    <definedName name="desc4_1">'Time on treatment'!$R$68</definedName>
    <definedName name="desc4_2">'Time on treatment'!$S$68</definedName>
    <definedName name="desc4_3">'Time on treatment'!$T$68</definedName>
    <definedName name="desc4_4">'Time on treatment'!$U$68</definedName>
    <definedName name="desc5_1">'Time on treatment'!$R$70</definedName>
    <definedName name="desc5_2">'Time on treatment'!$S$70</definedName>
    <definedName name="desc5_3">'Time on treatment'!$T$70</definedName>
    <definedName name="desc5_4">'Time on treatment'!$U$70</definedName>
    <definedName name="desc6_1">'Time on treatment'!$R$71</definedName>
    <definedName name="desc6_2">'Time on treatment'!$S$71</definedName>
    <definedName name="desc6_3">'Time on treatment'!$T$71</definedName>
    <definedName name="desc6_4">'Time on treatment'!$U$71</definedName>
    <definedName name="desc7_1">'Time on treatment'!$R$72</definedName>
    <definedName name="desc7_2">'Time on treatment'!$S$72</definedName>
    <definedName name="desc7_3">'Time on treatment'!$T$72</definedName>
    <definedName name="desc7_4">'Time on treatment'!$U$72</definedName>
    <definedName name="desc8_1">'Time on treatment'!$R$73</definedName>
    <definedName name="desc8_2">'Time on treatment'!$S$73</definedName>
    <definedName name="desc8_3">'Time on treatment'!$T$73</definedName>
    <definedName name="desc8_4">'Time on treatment'!$U$73</definedName>
    <definedName name="desc9_1">'Time on treatment'!$R$74</definedName>
    <definedName name="desc9_2">'Time on treatment'!$S$74</definedName>
    <definedName name="desc9_3">'Time on treatment'!$T$74</definedName>
    <definedName name="desc9_4">'Time on treatment'!$U$74</definedName>
    <definedName name="descontinua">'Time on treatment'!$H$40</definedName>
    <definedName name="dynamic">Results!$D$13</definedName>
    <definedName name="horizonte">'Mkt share'!$M$8</definedName>
    <definedName name="intervencao1">Definitions!$E$33</definedName>
    <definedName name="intervencao2">Definitions!$E$34</definedName>
    <definedName name="intervencao3">Definitions!$E$35</definedName>
    <definedName name="intervencao4">Definitions!$E$36</definedName>
    <definedName name="line">Population!$E$18</definedName>
    <definedName name="morte">'Time on treatment'!$H$102</definedName>
    <definedName name="n_compar">Definitions!$E$40</definedName>
    <definedName name="n_interv">Definitions!$E$31</definedName>
    <definedName name="ob1_1">'Time on treatment'!$R$113</definedName>
    <definedName name="ob1_2">'Time on treatment'!$S$113</definedName>
    <definedName name="ob1_3">'Time on treatment'!$T$113</definedName>
    <definedName name="ob1_4">'Time on treatment'!$U$113</definedName>
    <definedName name="ob10_1">'Time on treatment'!$R$123</definedName>
    <definedName name="ob10_2">'Time on treatment'!$S$123</definedName>
    <definedName name="ob10_3">'Time on treatment'!$T$123</definedName>
    <definedName name="ob10_4">'Time on treatment'!$U$123</definedName>
    <definedName name="ob11_1">'Time on treatment'!$R$124</definedName>
    <definedName name="ob11_2">'Time on treatment'!$S$124</definedName>
    <definedName name="ob11_3">'Time on treatment'!$T$124</definedName>
    <definedName name="ob11_4">'Time on treatment'!$U$124</definedName>
    <definedName name="ob12_1">'Time on treatment'!$R$125</definedName>
    <definedName name="ob12_2">'Time on treatment'!$S$125</definedName>
    <definedName name="ob12_3">'Time on treatment'!$T$125</definedName>
    <definedName name="ob12_4">'Time on treatment'!$U$125</definedName>
    <definedName name="ob13_1">'Time on treatment'!$R$126</definedName>
    <definedName name="ob13_2">'Time on treatment'!$S$126</definedName>
    <definedName name="ob13_3">'Time on treatment'!$T$126</definedName>
    <definedName name="ob13_4">'Time on treatment'!$U$126</definedName>
    <definedName name="ob14_1">'Time on treatment'!$R$127</definedName>
    <definedName name="ob14_2">'Time on treatment'!$S$127</definedName>
    <definedName name="ob14_3">'Time on treatment'!$T$127</definedName>
    <definedName name="ob14_4">'Time on treatment'!$U$127</definedName>
    <definedName name="ob2_1">'Time on treatment'!$R$114</definedName>
    <definedName name="ob2_2">'Time on treatment'!$S$114</definedName>
    <definedName name="ob2_3">'Time on treatment'!$T$114</definedName>
    <definedName name="ob2_4">'Time on treatment'!$U$114</definedName>
    <definedName name="ob3_1">'Time on treatment'!$R$115</definedName>
    <definedName name="ob3_2">'Time on treatment'!$S$115</definedName>
    <definedName name="ob3_3">'Time on treatment'!$T$115</definedName>
    <definedName name="ob3_4">'Time on treatment'!$U$115</definedName>
    <definedName name="ob4_1">'Time on treatment'!$R$116</definedName>
    <definedName name="ob4_2">'Time on treatment'!$S$116</definedName>
    <definedName name="ob4_3">'Time on treatment'!$T$116</definedName>
    <definedName name="ob4_4">'Time on treatment'!$U$116</definedName>
    <definedName name="ob5_1">'Time on treatment'!$R$118</definedName>
    <definedName name="ob5_2">'Time on treatment'!$S$118</definedName>
    <definedName name="ob5_3">'Time on treatment'!$T$118</definedName>
    <definedName name="ob5_4">'Time on treatment'!$U$118</definedName>
    <definedName name="ob6_1">'Time on treatment'!$R$119</definedName>
    <definedName name="ob6_2">'Time on treatment'!$S$119</definedName>
    <definedName name="ob6_3">'Time on treatment'!$T$119</definedName>
    <definedName name="ob6_4">'Time on treatment'!$U$119</definedName>
    <definedName name="ob7_1">'Time on treatment'!$R$120</definedName>
    <definedName name="ob7_2">'Time on treatment'!$S$120</definedName>
    <definedName name="ob7_3">'Time on treatment'!$T$120</definedName>
    <definedName name="ob7_4">'Time on treatment'!$U$120</definedName>
    <definedName name="ob8_1">'Time on treatment'!$R$121</definedName>
    <definedName name="ob8_2">'Time on treatment'!$S$121</definedName>
    <definedName name="ob8_3">'Time on treatment'!$T$121</definedName>
    <definedName name="ob8_4">'Time on treatment'!$U$121</definedName>
    <definedName name="ob9_1">'Time on treatment'!$R$122</definedName>
    <definedName name="ob9_2">'Time on treatment'!$S$122</definedName>
    <definedName name="ob9_3">'Time on treatment'!$T$122</definedName>
    <definedName name="ob9_4">'Time on treatment'!$U$122</definedName>
    <definedName name="obito">'Time on treatment'!$H$91</definedName>
    <definedName name="populacao">Definitions!$E$27</definedName>
    <definedName name="sexo">Population!#REF!</definedName>
    <definedName name="uso">'Time on treatment'!$H$54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6" i="7" l="1"/>
  <c r="W6" i="7"/>
  <c r="I6" i="7" s="1"/>
  <c r="V7" i="7"/>
  <c r="W7" i="7"/>
  <c r="V8" i="7"/>
  <c r="W8" i="7"/>
  <c r="I8" i="7" s="1"/>
  <c r="V9" i="7"/>
  <c r="W9" i="7"/>
  <c r="V10" i="7"/>
  <c r="W10" i="7"/>
  <c r="I10" i="7" s="1"/>
  <c r="V11" i="7"/>
  <c r="W11" i="7"/>
  <c r="V12" i="7"/>
  <c r="W12" i="7"/>
  <c r="V13" i="7"/>
  <c r="W13" i="7"/>
  <c r="I13" i="7" s="1"/>
  <c r="V56" i="7"/>
  <c r="W56" i="7"/>
  <c r="I56" i="7" s="1"/>
  <c r="V57" i="7"/>
  <c r="W57" i="7"/>
  <c r="V58" i="7"/>
  <c r="W58" i="7"/>
  <c r="I58" i="7" s="1"/>
  <c r="W5" i="7"/>
  <c r="V5" i="7"/>
  <c r="I7" i="7"/>
  <c r="I9" i="7"/>
  <c r="I11" i="7"/>
  <c r="I12" i="7"/>
  <c r="I57" i="7"/>
  <c r="E9" i="7"/>
  <c r="E10" i="7"/>
  <c r="E11" i="7"/>
  <c r="E12" i="7"/>
  <c r="E13" i="7"/>
  <c r="E5" i="7"/>
  <c r="G165" i="4" l="1"/>
  <c r="G78" i="4"/>
  <c r="D81" i="24"/>
  <c r="C86" i="3"/>
  <c r="C20" i="7" l="1"/>
  <c r="E56" i="7" l="1"/>
  <c r="E57" i="7"/>
  <c r="E58" i="7"/>
  <c r="D42" i="24"/>
  <c r="E84" i="24"/>
  <c r="R15" i="29"/>
  <c r="AH15" i="29" s="1"/>
  <c r="J15" i="29"/>
  <c r="Z15" i="29" s="1"/>
  <c r="DC6" i="29"/>
  <c r="DD6" i="29" s="1"/>
  <c r="DE6" i="29" s="1"/>
  <c r="DF6" i="29" s="1"/>
  <c r="DG6" i="29" s="1"/>
  <c r="CU6" i="29"/>
  <c r="CV6" i="29" s="1"/>
  <c r="CW6" i="29" s="1"/>
  <c r="CX6" i="29" s="1"/>
  <c r="CY6" i="29" s="1"/>
  <c r="CM6" i="29"/>
  <c r="CN6" i="29" s="1"/>
  <c r="CO6" i="29" s="1"/>
  <c r="CP6" i="29" s="1"/>
  <c r="CQ6" i="29" s="1"/>
  <c r="CE6" i="29"/>
  <c r="CF6" i="29" s="1"/>
  <c r="CG6" i="29" s="1"/>
  <c r="CH6" i="29" s="1"/>
  <c r="CI6" i="29" s="1"/>
  <c r="BW6" i="29"/>
  <c r="BX6" i="29" s="1"/>
  <c r="BY6" i="29" s="1"/>
  <c r="BZ6" i="29" s="1"/>
  <c r="CA6" i="29" s="1"/>
  <c r="BO6" i="29"/>
  <c r="BP6" i="29" s="1"/>
  <c r="BQ6" i="29" s="1"/>
  <c r="BR6" i="29" s="1"/>
  <c r="BS6" i="29" s="1"/>
  <c r="BG6" i="29"/>
  <c r="BH6" i="29" s="1"/>
  <c r="BI6" i="29" s="1"/>
  <c r="BJ6" i="29" s="1"/>
  <c r="BK6" i="29" s="1"/>
  <c r="AY6" i="29"/>
  <c r="AZ6" i="29" s="1"/>
  <c r="BA6" i="29" s="1"/>
  <c r="BB6" i="29" s="1"/>
  <c r="BC6" i="29" s="1"/>
  <c r="AQ6" i="29"/>
  <c r="AR6" i="29" s="1"/>
  <c r="AS6" i="29" s="1"/>
  <c r="AT6" i="29" s="1"/>
  <c r="AU6" i="29" s="1"/>
  <c r="AI6" i="29"/>
  <c r="AJ6" i="29" s="1"/>
  <c r="AK6" i="29" s="1"/>
  <c r="AL6" i="29" s="1"/>
  <c r="AM6" i="29" s="1"/>
  <c r="AA6" i="29"/>
  <c r="AB6" i="29" s="1"/>
  <c r="AC6" i="29" s="1"/>
  <c r="AD6" i="29" s="1"/>
  <c r="AE6" i="29" s="1"/>
  <c r="S6" i="29"/>
  <c r="T6" i="29" s="1"/>
  <c r="U6" i="29" s="1"/>
  <c r="V6" i="29" s="1"/>
  <c r="W6" i="29" s="1"/>
  <c r="K6" i="29"/>
  <c r="L6" i="29" s="1"/>
  <c r="M6" i="29" s="1"/>
  <c r="N6" i="29" s="1"/>
  <c r="O6" i="29" s="1"/>
  <c r="C6" i="29"/>
  <c r="D6" i="29" s="1"/>
  <c r="E6" i="29" s="1"/>
  <c r="F6" i="29" s="1"/>
  <c r="G6" i="29" s="1"/>
  <c r="DB52" i="29"/>
  <c r="CT52" i="29"/>
  <c r="CL52" i="29"/>
  <c r="CD52" i="29"/>
  <c r="BV52" i="29"/>
  <c r="BN52" i="29"/>
  <c r="BF52" i="29"/>
  <c r="AX52" i="29"/>
  <c r="AP52" i="29"/>
  <c r="AH52" i="29"/>
  <c r="Z52" i="29"/>
  <c r="R52" i="29"/>
  <c r="J52" i="29"/>
  <c r="B52" i="29"/>
  <c r="DB31" i="29"/>
  <c r="CT31" i="29"/>
  <c r="CL31" i="29"/>
  <c r="CD31" i="29"/>
  <c r="BV31" i="29"/>
  <c r="BN31" i="29"/>
  <c r="BF31" i="29"/>
  <c r="AX31" i="29"/>
  <c r="AP31" i="29"/>
  <c r="AH31" i="29"/>
  <c r="Z31" i="29"/>
  <c r="R31" i="29"/>
  <c r="J31" i="29"/>
  <c r="B31" i="29"/>
  <c r="DC26" i="29"/>
  <c r="DC47" i="29" s="1"/>
  <c r="DC68" i="29" s="1"/>
  <c r="CU26" i="29"/>
  <c r="CU47" i="29" s="1"/>
  <c r="CU68" i="29" s="1"/>
  <c r="CM26" i="29"/>
  <c r="CE26" i="29"/>
  <c r="CE47" i="29" s="1"/>
  <c r="CE68" i="29" s="1"/>
  <c r="BW26" i="29"/>
  <c r="BW47" i="29" s="1"/>
  <c r="BW68" i="29" s="1"/>
  <c r="BO26" i="29"/>
  <c r="BO47" i="29" s="1"/>
  <c r="BO68" i="29" s="1"/>
  <c r="BG26" i="29"/>
  <c r="BG47" i="29" s="1"/>
  <c r="BG68" i="29" s="1"/>
  <c r="AY26" i="29"/>
  <c r="AY47" i="29" s="1"/>
  <c r="AY68" i="29" s="1"/>
  <c r="AQ26" i="29"/>
  <c r="AQ47" i="29" s="1"/>
  <c r="AQ68" i="29" s="1"/>
  <c r="AI26" i="29"/>
  <c r="AI47" i="29" s="1"/>
  <c r="AI68" i="29" s="1"/>
  <c r="AA26" i="29"/>
  <c r="S26" i="29"/>
  <c r="K26" i="29"/>
  <c r="C26" i="29"/>
  <c r="C47" i="29" s="1"/>
  <c r="C68" i="29" s="1"/>
  <c r="DB25" i="29"/>
  <c r="DB46" i="29" s="1"/>
  <c r="DB67" i="29" s="1"/>
  <c r="CT25" i="29"/>
  <c r="CT46" i="29" s="1"/>
  <c r="CT67" i="29" s="1"/>
  <c r="CL25" i="29"/>
  <c r="CL46" i="29" s="1"/>
  <c r="CL67" i="29" s="1"/>
  <c r="CD25" i="29"/>
  <c r="CD46" i="29" s="1"/>
  <c r="CD67" i="29" s="1"/>
  <c r="BV25" i="29"/>
  <c r="BV46" i="29" s="1"/>
  <c r="BV67" i="29" s="1"/>
  <c r="BN25" i="29"/>
  <c r="BN46" i="29" s="1"/>
  <c r="BN67" i="29" s="1"/>
  <c r="BF25" i="29"/>
  <c r="BF46" i="29" s="1"/>
  <c r="BF67" i="29" s="1"/>
  <c r="AX25" i="29"/>
  <c r="AX46" i="29" s="1"/>
  <c r="AX67" i="29" s="1"/>
  <c r="AP25" i="29"/>
  <c r="AP46" i="29" s="1"/>
  <c r="AP67" i="29" s="1"/>
  <c r="AH25" i="29"/>
  <c r="AH46" i="29" s="1"/>
  <c r="AH67" i="29" s="1"/>
  <c r="Z25" i="29"/>
  <c r="Z46" i="29" s="1"/>
  <c r="Z67" i="29" s="1"/>
  <c r="R25" i="29"/>
  <c r="R46" i="29" s="1"/>
  <c r="J25" i="29"/>
  <c r="J46" i="29" s="1"/>
  <c r="J67" i="29" s="1"/>
  <c r="B25" i="29"/>
  <c r="B46" i="29" s="1"/>
  <c r="B67" i="29" s="1"/>
  <c r="DC22" i="29"/>
  <c r="DC43" i="29" s="1"/>
  <c r="DC64" i="29" s="1"/>
  <c r="CU22" i="29"/>
  <c r="CU43" i="29" s="1"/>
  <c r="CU64" i="29" s="1"/>
  <c r="CM22" i="29"/>
  <c r="CM43" i="29" s="1"/>
  <c r="CM64" i="29" s="1"/>
  <c r="CE22" i="29"/>
  <c r="BW22" i="29"/>
  <c r="BW43" i="29" s="1"/>
  <c r="BW64" i="29" s="1"/>
  <c r="BO22" i="29"/>
  <c r="BO43" i="29" s="1"/>
  <c r="BO64" i="29" s="1"/>
  <c r="BG22" i="29"/>
  <c r="BG43" i="29" s="1"/>
  <c r="BG64" i="29" s="1"/>
  <c r="AY22" i="29"/>
  <c r="AY43" i="29" s="1"/>
  <c r="AY64" i="29" s="1"/>
  <c r="AQ22" i="29"/>
  <c r="AQ43" i="29" s="1"/>
  <c r="AQ64" i="29" s="1"/>
  <c r="AI22" i="29"/>
  <c r="AI43" i="29" s="1"/>
  <c r="AI64" i="29" s="1"/>
  <c r="AA22" i="29"/>
  <c r="AB22" i="29" s="1"/>
  <c r="S22" i="29"/>
  <c r="K22" i="29"/>
  <c r="K43" i="29" s="1"/>
  <c r="K64" i="29" s="1"/>
  <c r="C22" i="29"/>
  <c r="C43" i="29" s="1"/>
  <c r="C64" i="29" s="1"/>
  <c r="DB21" i="29"/>
  <c r="DB42" i="29" s="1"/>
  <c r="DB63" i="29" s="1"/>
  <c r="CT21" i="29"/>
  <c r="CT42" i="29" s="1"/>
  <c r="CT63" i="29" s="1"/>
  <c r="CL21" i="29"/>
  <c r="CL42" i="29" s="1"/>
  <c r="CL63" i="29" s="1"/>
  <c r="CD21" i="29"/>
  <c r="CD42" i="29" s="1"/>
  <c r="CD63" i="29" s="1"/>
  <c r="BV21" i="29"/>
  <c r="BV42" i="29" s="1"/>
  <c r="BV63" i="29" s="1"/>
  <c r="BN21" i="29"/>
  <c r="BN42" i="29" s="1"/>
  <c r="BN63" i="29" s="1"/>
  <c r="BF21" i="29"/>
  <c r="BF42" i="29" s="1"/>
  <c r="BF63" i="29" s="1"/>
  <c r="AX21" i="29"/>
  <c r="AX42" i="29" s="1"/>
  <c r="AX63" i="29" s="1"/>
  <c r="AP21" i="29"/>
  <c r="AP42" i="29" s="1"/>
  <c r="AP63" i="29" s="1"/>
  <c r="AH21" i="29"/>
  <c r="AH42" i="29" s="1"/>
  <c r="AH63" i="29" s="1"/>
  <c r="Z21" i="29"/>
  <c r="Z42" i="29" s="1"/>
  <c r="Z63" i="29" s="1"/>
  <c r="R21" i="29"/>
  <c r="R42" i="29" s="1"/>
  <c r="R63" i="29" s="1"/>
  <c r="J21" i="29"/>
  <c r="J42" i="29" s="1"/>
  <c r="J63" i="29" s="1"/>
  <c r="B21" i="29"/>
  <c r="B42" i="29" s="1"/>
  <c r="B63" i="29" s="1"/>
  <c r="DC18" i="29"/>
  <c r="DC39" i="29" s="1"/>
  <c r="DC60" i="29" s="1"/>
  <c r="CU18" i="29"/>
  <c r="CU39" i="29" s="1"/>
  <c r="CU60" i="29" s="1"/>
  <c r="CM18" i="29"/>
  <c r="CM39" i="29" s="1"/>
  <c r="CM60" i="29" s="1"/>
  <c r="CE18" i="29"/>
  <c r="CE39" i="29" s="1"/>
  <c r="CE60" i="29" s="1"/>
  <c r="BW18" i="29"/>
  <c r="BW39" i="29" s="1"/>
  <c r="BW60" i="29" s="1"/>
  <c r="BO18" i="29"/>
  <c r="BO39" i="29" s="1"/>
  <c r="BO60" i="29" s="1"/>
  <c r="BG18" i="29"/>
  <c r="BG39" i="29" s="1"/>
  <c r="BG60" i="29" s="1"/>
  <c r="AY18" i="29"/>
  <c r="AQ18" i="29"/>
  <c r="AQ39" i="29" s="1"/>
  <c r="AQ60" i="29" s="1"/>
  <c r="AI18" i="29"/>
  <c r="AI39" i="29" s="1"/>
  <c r="AI60" i="29" s="1"/>
  <c r="AA18" i="29"/>
  <c r="AA39" i="29" s="1"/>
  <c r="AA60" i="29" s="1"/>
  <c r="S18" i="29"/>
  <c r="S39" i="29" s="1"/>
  <c r="S60" i="29" s="1"/>
  <c r="K18" i="29"/>
  <c r="K39" i="29" s="1"/>
  <c r="K60" i="29" s="1"/>
  <c r="C18" i="29"/>
  <c r="C39" i="29" s="1"/>
  <c r="C60" i="29" s="1"/>
  <c r="DB17" i="29"/>
  <c r="DB38" i="29" s="1"/>
  <c r="DB59" i="29" s="1"/>
  <c r="CT17" i="29"/>
  <c r="CT38" i="29" s="1"/>
  <c r="CT59" i="29" s="1"/>
  <c r="CL17" i="29"/>
  <c r="CL38" i="29" s="1"/>
  <c r="CL59" i="29" s="1"/>
  <c r="CD17" i="29"/>
  <c r="CD38" i="29" s="1"/>
  <c r="CD59" i="29" s="1"/>
  <c r="BV17" i="29"/>
  <c r="BV38" i="29" s="1"/>
  <c r="BV59" i="29" s="1"/>
  <c r="BN17" i="29"/>
  <c r="BN38" i="29" s="1"/>
  <c r="BN59" i="29" s="1"/>
  <c r="BF17" i="29"/>
  <c r="BF38" i="29" s="1"/>
  <c r="BF59" i="29" s="1"/>
  <c r="AX17" i="29"/>
  <c r="AX38" i="29" s="1"/>
  <c r="AX59" i="29" s="1"/>
  <c r="AP17" i="29"/>
  <c r="AP38" i="29" s="1"/>
  <c r="AP59" i="29" s="1"/>
  <c r="AH17" i="29"/>
  <c r="AH38" i="29" s="1"/>
  <c r="AH59" i="29" s="1"/>
  <c r="Z17" i="29"/>
  <c r="Z38" i="29" s="1"/>
  <c r="Z59" i="29" s="1"/>
  <c r="R17" i="29"/>
  <c r="R38" i="29" s="1"/>
  <c r="R59" i="29" s="1"/>
  <c r="J17" i="29"/>
  <c r="J38" i="29" s="1"/>
  <c r="J59" i="29" s="1"/>
  <c r="B17" i="29"/>
  <c r="B38" i="29" s="1"/>
  <c r="B59" i="29" s="1"/>
  <c r="DC14" i="29"/>
  <c r="DC35" i="29" s="1"/>
  <c r="DC56" i="29" s="1"/>
  <c r="CU14" i="29"/>
  <c r="CU35" i="29" s="1"/>
  <c r="CU56" i="29" s="1"/>
  <c r="CM14" i="29"/>
  <c r="CE14" i="29"/>
  <c r="BW14" i="29"/>
  <c r="BO14" i="29"/>
  <c r="BO35" i="29" s="1"/>
  <c r="BO56" i="29" s="1"/>
  <c r="BG14" i="29"/>
  <c r="BG35" i="29" s="1"/>
  <c r="BG56" i="29" s="1"/>
  <c r="AY14" i="29"/>
  <c r="AY35" i="29" s="1"/>
  <c r="AY56" i="29" s="1"/>
  <c r="AQ14" i="29"/>
  <c r="AQ35" i="29" s="1"/>
  <c r="AQ56" i="29" s="1"/>
  <c r="AI14" i="29"/>
  <c r="AI35" i="29" s="1"/>
  <c r="AI56" i="29" s="1"/>
  <c r="AA14" i="29"/>
  <c r="AA35" i="29" s="1"/>
  <c r="AA56" i="29" s="1"/>
  <c r="S14" i="29"/>
  <c r="K14" i="29"/>
  <c r="C14" i="29"/>
  <c r="C35" i="29" s="1"/>
  <c r="C56" i="29" s="1"/>
  <c r="DB13" i="29"/>
  <c r="DB34" i="29" s="1"/>
  <c r="DB55" i="29" s="1"/>
  <c r="CT13" i="29"/>
  <c r="CT34" i="29" s="1"/>
  <c r="CT55" i="29" s="1"/>
  <c r="CL13" i="29"/>
  <c r="CL34" i="29" s="1"/>
  <c r="CL55" i="29" s="1"/>
  <c r="CD13" i="29"/>
  <c r="CD34" i="29" s="1"/>
  <c r="CD55" i="29" s="1"/>
  <c r="BV13" i="29"/>
  <c r="BV34" i="29" s="1"/>
  <c r="BV55" i="29" s="1"/>
  <c r="BN13" i="29"/>
  <c r="BN34" i="29" s="1"/>
  <c r="BN55" i="29" s="1"/>
  <c r="BF13" i="29"/>
  <c r="BF34" i="29" s="1"/>
  <c r="BF55" i="29" s="1"/>
  <c r="AX13" i="29"/>
  <c r="AX34" i="29" s="1"/>
  <c r="AX55" i="29" s="1"/>
  <c r="AP13" i="29"/>
  <c r="AP34" i="29" s="1"/>
  <c r="AP55" i="29" s="1"/>
  <c r="AH13" i="29"/>
  <c r="AH34" i="29" s="1"/>
  <c r="AH55" i="29" s="1"/>
  <c r="Z13" i="29"/>
  <c r="Z34" i="29" s="1"/>
  <c r="Z55" i="29" s="1"/>
  <c r="R13" i="29"/>
  <c r="R34" i="29" s="1"/>
  <c r="R55" i="29" s="1"/>
  <c r="J13" i="29"/>
  <c r="J34" i="29" s="1"/>
  <c r="J55" i="29" s="1"/>
  <c r="B13" i="29"/>
  <c r="B34" i="29" s="1"/>
  <c r="B55" i="29" s="1"/>
  <c r="DB10" i="29"/>
  <c r="CT10" i="29"/>
  <c r="CL10" i="29"/>
  <c r="CD10" i="29"/>
  <c r="BV10" i="29"/>
  <c r="BN10" i="29"/>
  <c r="BF10" i="29"/>
  <c r="AX10" i="29"/>
  <c r="AP10" i="29"/>
  <c r="AH10" i="29"/>
  <c r="Z10" i="29"/>
  <c r="R10" i="29"/>
  <c r="J10" i="29"/>
  <c r="B10" i="29"/>
  <c r="DB5" i="29"/>
  <c r="CT5" i="29"/>
  <c r="CL5" i="29"/>
  <c r="CD5" i="29"/>
  <c r="BV5" i="29"/>
  <c r="BN5" i="29"/>
  <c r="BF5" i="29"/>
  <c r="AX5" i="29"/>
  <c r="AP5" i="29"/>
  <c r="AH5" i="29"/>
  <c r="Z5" i="29"/>
  <c r="R5" i="29"/>
  <c r="J5" i="29"/>
  <c r="B5" i="29"/>
  <c r="S47" i="29" l="1"/>
  <c r="S68" i="29" s="1"/>
  <c r="R67" i="29"/>
  <c r="AZ26" i="29"/>
  <c r="BA26" i="29" s="1"/>
  <c r="BP22" i="29"/>
  <c r="BP43" i="29" s="1"/>
  <c r="BP64" i="29" s="1"/>
  <c r="AZ22" i="29"/>
  <c r="AZ43" i="29" s="1"/>
  <c r="AZ64" i="29" s="1"/>
  <c r="AB14" i="29"/>
  <c r="AB35" i="29" s="1"/>
  <c r="AB56" i="29" s="1"/>
  <c r="DD22" i="29"/>
  <c r="DD43" i="29" s="1"/>
  <c r="DD64" i="29" s="1"/>
  <c r="L18" i="29"/>
  <c r="M18" i="29" s="1"/>
  <c r="BP18" i="29"/>
  <c r="BP39" i="29" s="1"/>
  <c r="BP60" i="29" s="1"/>
  <c r="BP26" i="29"/>
  <c r="BP47" i="29" s="1"/>
  <c r="BP68" i="29" s="1"/>
  <c r="CV14" i="29"/>
  <c r="CV35" i="29" s="1"/>
  <c r="CV56" i="29" s="1"/>
  <c r="AZ14" i="29"/>
  <c r="AZ35" i="29" s="1"/>
  <c r="AZ56" i="29" s="1"/>
  <c r="CF18" i="29"/>
  <c r="CF39" i="29" s="1"/>
  <c r="CF60" i="29" s="1"/>
  <c r="DD14" i="29"/>
  <c r="DD35" i="29" s="1"/>
  <c r="DD56" i="29" s="1"/>
  <c r="BH22" i="29"/>
  <c r="AR14" i="29"/>
  <c r="AR35" i="29" s="1"/>
  <c r="AR56" i="29" s="1"/>
  <c r="CN18" i="29"/>
  <c r="CV22" i="29"/>
  <c r="CV43" i="29" s="1"/>
  <c r="CV64" i="29" s="1"/>
  <c r="D26" i="29"/>
  <c r="AR26" i="29"/>
  <c r="AR47" i="29" s="1"/>
  <c r="AR68" i="29" s="1"/>
  <c r="CV26" i="29"/>
  <c r="D14" i="29"/>
  <c r="D35" i="29" s="1"/>
  <c r="D56" i="29" s="1"/>
  <c r="AB18" i="29"/>
  <c r="AJ22" i="29"/>
  <c r="AJ43" i="29" s="1"/>
  <c r="AJ64" i="29" s="1"/>
  <c r="BX26" i="29"/>
  <c r="T18" i="29"/>
  <c r="T39" i="29" s="1"/>
  <c r="T60" i="29" s="1"/>
  <c r="D18" i="29"/>
  <c r="E18" i="29" s="1"/>
  <c r="CV18" i="29"/>
  <c r="D22" i="29"/>
  <c r="AR22" i="29"/>
  <c r="AS22" i="29" s="1"/>
  <c r="DD26" i="29"/>
  <c r="BH14" i="29"/>
  <c r="AJ18" i="29"/>
  <c r="BX18" i="29"/>
  <c r="BY18" i="29" s="1"/>
  <c r="BH26" i="29"/>
  <c r="BH47" i="29" s="1"/>
  <c r="BH68" i="29" s="1"/>
  <c r="CF26" i="29"/>
  <c r="BP14" i="29"/>
  <c r="AY39" i="29"/>
  <c r="AY60" i="29" s="1"/>
  <c r="AZ18" i="29"/>
  <c r="S43" i="29"/>
  <c r="S64" i="29" s="1"/>
  <c r="T22" i="29"/>
  <c r="CE35" i="29"/>
  <c r="CE56" i="29" s="1"/>
  <c r="CF14" i="29"/>
  <c r="AB43" i="29"/>
  <c r="AB64" i="29" s="1"/>
  <c r="AC22" i="29"/>
  <c r="CE43" i="29"/>
  <c r="CE64" i="29" s="1"/>
  <c r="CF22" i="29"/>
  <c r="K47" i="29"/>
  <c r="K68" i="29" s="1"/>
  <c r="L26" i="29"/>
  <c r="BW35" i="29"/>
  <c r="BW56" i="29" s="1"/>
  <c r="BX14" i="29"/>
  <c r="K35" i="29"/>
  <c r="K56" i="29" s="1"/>
  <c r="L14" i="29"/>
  <c r="CM35" i="29"/>
  <c r="CM56" i="29" s="1"/>
  <c r="CN14" i="29"/>
  <c r="AA47" i="29"/>
  <c r="AA68" i="29" s="1"/>
  <c r="AB26" i="29"/>
  <c r="S35" i="29"/>
  <c r="S56" i="29" s="1"/>
  <c r="T14" i="29"/>
  <c r="AJ14" i="29"/>
  <c r="CM47" i="29"/>
  <c r="CM68" i="29" s="1"/>
  <c r="CN26" i="29"/>
  <c r="AA43" i="29"/>
  <c r="AA64" i="29" s="1"/>
  <c r="AR18" i="29"/>
  <c r="DD18" i="29"/>
  <c r="L22" i="29"/>
  <c r="BX22" i="29"/>
  <c r="T26" i="29"/>
  <c r="T47" i="29" s="1"/>
  <c r="AJ26" i="29"/>
  <c r="BH18" i="29"/>
  <c r="CN22" i="29"/>
  <c r="CW22" i="29" l="1"/>
  <c r="CX22" i="29" s="1"/>
  <c r="DE14" i="29"/>
  <c r="DE35" i="29" s="1"/>
  <c r="DE56" i="29" s="1"/>
  <c r="CW14" i="29"/>
  <c r="CW35" i="29" s="1"/>
  <c r="CW56" i="29" s="1"/>
  <c r="BQ18" i="29"/>
  <c r="CG18" i="29"/>
  <c r="CG39" i="29" s="1"/>
  <c r="CG60" i="29" s="1"/>
  <c r="AZ47" i="29"/>
  <c r="AZ68" i="29" s="1"/>
  <c r="AK22" i="29"/>
  <c r="AL22" i="29" s="1"/>
  <c r="BX39" i="29"/>
  <c r="BX60" i="29" s="1"/>
  <c r="D39" i="29"/>
  <c r="D60" i="29" s="1"/>
  <c r="L39" i="29"/>
  <c r="L60" i="29" s="1"/>
  <c r="BI26" i="29"/>
  <c r="BI47" i="29" s="1"/>
  <c r="BI68" i="29" s="1"/>
  <c r="DE22" i="29"/>
  <c r="DE43" i="29" s="1"/>
  <c r="DE64" i="29" s="1"/>
  <c r="BQ22" i="29"/>
  <c r="BA22" i="29"/>
  <c r="BA43" i="29" s="1"/>
  <c r="BA64" i="29" s="1"/>
  <c r="AR43" i="29"/>
  <c r="AR64" i="29" s="1"/>
  <c r="BQ26" i="29"/>
  <c r="BA14" i="29"/>
  <c r="BA35" i="29" s="1"/>
  <c r="BA56" i="29" s="1"/>
  <c r="U18" i="29"/>
  <c r="U39" i="29" s="1"/>
  <c r="U60" i="29" s="1"/>
  <c r="AC14" i="29"/>
  <c r="AC35" i="29" s="1"/>
  <c r="AC56" i="29" s="1"/>
  <c r="AS14" i="29"/>
  <c r="AS35" i="29" s="1"/>
  <c r="AS56" i="29" s="1"/>
  <c r="AS26" i="29"/>
  <c r="AT26" i="29" s="1"/>
  <c r="DD47" i="29"/>
  <c r="DD68" i="29" s="1"/>
  <c r="DE26" i="29"/>
  <c r="E14" i="29"/>
  <c r="F14" i="29" s="1"/>
  <c r="CF47" i="29"/>
  <c r="CF68" i="29" s="1"/>
  <c r="CG26" i="29"/>
  <c r="BP35" i="29"/>
  <c r="BP56" i="29" s="1"/>
  <c r="BQ14" i="29"/>
  <c r="CV47" i="29"/>
  <c r="CV68" i="29" s="1"/>
  <c r="CW26" i="29"/>
  <c r="CN39" i="29"/>
  <c r="CN60" i="29" s="1"/>
  <c r="CO18" i="29"/>
  <c r="BH43" i="29"/>
  <c r="BH64" i="29" s="1"/>
  <c r="BI22" i="29"/>
  <c r="D43" i="29"/>
  <c r="D64" i="29" s="1"/>
  <c r="E22" i="29"/>
  <c r="AB39" i="29"/>
  <c r="AB60" i="29" s="1"/>
  <c r="AC18" i="29"/>
  <c r="AJ39" i="29"/>
  <c r="AJ60" i="29" s="1"/>
  <c r="AK18" i="29"/>
  <c r="BX47" i="29"/>
  <c r="BX68" i="29" s="1"/>
  <c r="BY26" i="29"/>
  <c r="D47" i="29"/>
  <c r="D68" i="29" s="1"/>
  <c r="E26" i="29"/>
  <c r="BH35" i="29"/>
  <c r="BH56" i="29" s="1"/>
  <c r="BI14" i="29"/>
  <c r="CV39" i="29"/>
  <c r="CV60" i="29" s="1"/>
  <c r="CW18" i="29"/>
  <c r="BH39" i="29"/>
  <c r="BH60" i="29" s="1"/>
  <c r="BI18" i="29"/>
  <c r="BA47" i="29"/>
  <c r="BA68" i="29" s="1"/>
  <c r="BB26" i="29"/>
  <c r="CN43" i="29"/>
  <c r="CN64" i="29" s="1"/>
  <c r="CO22" i="29"/>
  <c r="AS43" i="29"/>
  <c r="AS64" i="29" s="1"/>
  <c r="AT22" i="29"/>
  <c r="L47" i="29"/>
  <c r="L68" i="29" s="1"/>
  <c r="M26" i="29"/>
  <c r="AJ47" i="29"/>
  <c r="AJ68" i="29" s="1"/>
  <c r="AK26" i="29"/>
  <c r="CN47" i="29"/>
  <c r="CN68" i="29" s="1"/>
  <c r="CO26" i="29"/>
  <c r="AB47" i="29"/>
  <c r="AB68" i="29" s="1"/>
  <c r="AC26" i="29"/>
  <c r="CF43" i="29"/>
  <c r="CF64" i="29" s="1"/>
  <c r="CG22" i="29"/>
  <c r="CF35" i="29"/>
  <c r="CF56" i="29" s="1"/>
  <c r="CG14" i="29"/>
  <c r="AZ39" i="29"/>
  <c r="AZ60" i="29" s="1"/>
  <c r="BA18" i="29"/>
  <c r="T68" i="29"/>
  <c r="U26" i="29"/>
  <c r="U47" i="29" s="1"/>
  <c r="CW43" i="29"/>
  <c r="CW64" i="29" s="1"/>
  <c r="M39" i="29"/>
  <c r="M60" i="29" s="1"/>
  <c r="N18" i="29"/>
  <c r="BY22" i="29"/>
  <c r="BX43" i="29"/>
  <c r="BX64" i="29" s="1"/>
  <c r="BY39" i="29"/>
  <c r="BY60" i="29" s="1"/>
  <c r="BZ18" i="29"/>
  <c r="AC43" i="29"/>
  <c r="AC64" i="29" s="1"/>
  <c r="AD22" i="29"/>
  <c r="DD39" i="29"/>
  <c r="DD60" i="29" s="1"/>
  <c r="DE18" i="29"/>
  <c r="AK14" i="29"/>
  <c r="AJ35" i="29"/>
  <c r="AJ56" i="29" s="1"/>
  <c r="CN35" i="29"/>
  <c r="CN56" i="29" s="1"/>
  <c r="CO14" i="29"/>
  <c r="L35" i="29"/>
  <c r="L56" i="29" s="1"/>
  <c r="M14" i="29"/>
  <c r="T35" i="29"/>
  <c r="T56" i="29" s="1"/>
  <c r="U14" i="29"/>
  <c r="BX35" i="29"/>
  <c r="BX56" i="29" s="1"/>
  <c r="BY14" i="29"/>
  <c r="E39" i="29"/>
  <c r="E60" i="29" s="1"/>
  <c r="F18" i="29"/>
  <c r="T43" i="29"/>
  <c r="T64" i="29" s="1"/>
  <c r="U22" i="29"/>
  <c r="L43" i="29"/>
  <c r="L64" i="29" s="1"/>
  <c r="M22" i="29"/>
  <c r="BQ39" i="29"/>
  <c r="BQ60" i="29" s="1"/>
  <c r="BR18" i="29"/>
  <c r="AS18" i="29"/>
  <c r="AR39" i="29"/>
  <c r="AR60" i="29" s="1"/>
  <c r="CH18" i="29" l="1"/>
  <c r="CX14" i="29"/>
  <c r="CY14" i="29" s="1"/>
  <c r="CY35" i="29" s="1"/>
  <c r="CY56" i="29" s="1"/>
  <c r="AK43" i="29"/>
  <c r="AK64" i="29" s="1"/>
  <c r="DF14" i="29"/>
  <c r="DG14" i="29" s="1"/>
  <c r="DG35" i="29" s="1"/>
  <c r="DG56" i="29" s="1"/>
  <c r="AS47" i="29"/>
  <c r="AS68" i="29" s="1"/>
  <c r="BB22" i="29"/>
  <c r="BB43" i="29" s="1"/>
  <c r="BB64" i="29" s="1"/>
  <c r="AT14" i="29"/>
  <c r="AT35" i="29" s="1"/>
  <c r="AT56" i="29" s="1"/>
  <c r="BJ26" i="29"/>
  <c r="BJ47" i="29" s="1"/>
  <c r="BJ68" i="29" s="1"/>
  <c r="DF22" i="29"/>
  <c r="DF43" i="29" s="1"/>
  <c r="DF64" i="29" s="1"/>
  <c r="BR22" i="29"/>
  <c r="BQ43" i="29"/>
  <c r="BQ64" i="29" s="1"/>
  <c r="BB14" i="29"/>
  <c r="BB35" i="29" s="1"/>
  <c r="BB56" i="29" s="1"/>
  <c r="V18" i="29"/>
  <c r="V39" i="29" s="1"/>
  <c r="V60" i="29" s="1"/>
  <c r="E35" i="29"/>
  <c r="E56" i="29" s="1"/>
  <c r="BQ47" i="29"/>
  <c r="BQ68" i="29" s="1"/>
  <c r="BR26" i="29"/>
  <c r="AD14" i="29"/>
  <c r="AD35" i="29" s="1"/>
  <c r="AD56" i="29" s="1"/>
  <c r="BJ14" i="29"/>
  <c r="BI35" i="29"/>
  <c r="BI56" i="29" s="1"/>
  <c r="E47" i="29"/>
  <c r="E68" i="29" s="1"/>
  <c r="F26" i="29"/>
  <c r="E43" i="29"/>
  <c r="E64" i="29" s="1"/>
  <c r="F22" i="29"/>
  <c r="BQ35" i="29"/>
  <c r="BQ56" i="29" s="1"/>
  <c r="BR14" i="29"/>
  <c r="BY47" i="29"/>
  <c r="BY68" i="29" s="1"/>
  <c r="BZ26" i="29"/>
  <c r="BI43" i="29"/>
  <c r="BI64" i="29" s="1"/>
  <c r="BJ22" i="29"/>
  <c r="CG47" i="29"/>
  <c r="CG68" i="29" s="1"/>
  <c r="CH26" i="29"/>
  <c r="CW39" i="29"/>
  <c r="CW60" i="29" s="1"/>
  <c r="CX18" i="29"/>
  <c r="AK39" i="29"/>
  <c r="AK60" i="29" s="1"/>
  <c r="AL18" i="29"/>
  <c r="CO39" i="29"/>
  <c r="CO60" i="29" s="1"/>
  <c r="CP18" i="29"/>
  <c r="DE47" i="29"/>
  <c r="DE68" i="29" s="1"/>
  <c r="DF26" i="29"/>
  <c r="AC39" i="29"/>
  <c r="AC60" i="29" s="1"/>
  <c r="AD18" i="29"/>
  <c r="CW47" i="29"/>
  <c r="CW68" i="29" s="1"/>
  <c r="CX26" i="29"/>
  <c r="CX43" i="29"/>
  <c r="CX64" i="29" s="1"/>
  <c r="CY22" i="29"/>
  <c r="CY43" i="29" s="1"/>
  <c r="CY64" i="29" s="1"/>
  <c r="CO47" i="29"/>
  <c r="CO68" i="29" s="1"/>
  <c r="CP26" i="29"/>
  <c r="BR39" i="29"/>
  <c r="BR60" i="29" s="1"/>
  <c r="BS18" i="29"/>
  <c r="BS39" i="29" s="1"/>
  <c r="BS60" i="29" s="1"/>
  <c r="AT43" i="29"/>
  <c r="AT64" i="29" s="1"/>
  <c r="AU22" i="29"/>
  <c r="AU43" i="29" s="1"/>
  <c r="AU64" i="29" s="1"/>
  <c r="M43" i="29"/>
  <c r="M64" i="29" s="1"/>
  <c r="N22" i="29"/>
  <c r="CO35" i="29"/>
  <c r="CO56" i="29" s="1"/>
  <c r="CP14" i="29"/>
  <c r="AD43" i="29"/>
  <c r="AD64" i="29" s="1"/>
  <c r="AE22" i="29"/>
  <c r="AE43" i="29" s="1"/>
  <c r="AE64" i="29" s="1"/>
  <c r="U35" i="29"/>
  <c r="U56" i="29" s="1"/>
  <c r="V14" i="29"/>
  <c r="CG43" i="29"/>
  <c r="CG64" i="29" s="1"/>
  <c r="CH22" i="29"/>
  <c r="AK35" i="29"/>
  <c r="AK56" i="29" s="1"/>
  <c r="AL14" i="29"/>
  <c r="DE39" i="29"/>
  <c r="DE60" i="29" s="1"/>
  <c r="DF18" i="29"/>
  <c r="AT47" i="29"/>
  <c r="AT68" i="29" s="1"/>
  <c r="AU26" i="29"/>
  <c r="AU47" i="29" s="1"/>
  <c r="AU68" i="29" s="1"/>
  <c r="CO43" i="29"/>
  <c r="CO64" i="29" s="1"/>
  <c r="CP22" i="29"/>
  <c r="AL43" i="29"/>
  <c r="AL64" i="29" s="1"/>
  <c r="AM22" i="29"/>
  <c r="AM43" i="29" s="1"/>
  <c r="AM64" i="29" s="1"/>
  <c r="BY43" i="29"/>
  <c r="BY64" i="29" s="1"/>
  <c r="BZ22" i="29"/>
  <c r="N39" i="29"/>
  <c r="N60" i="29" s="1"/>
  <c r="O18" i="29"/>
  <c r="O39" i="29" s="1"/>
  <c r="O60" i="29" s="1"/>
  <c r="BY35" i="29"/>
  <c r="BY56" i="29" s="1"/>
  <c r="BZ14" i="29"/>
  <c r="F39" i="29"/>
  <c r="F60" i="29" s="1"/>
  <c r="G18" i="29"/>
  <c r="G39" i="29" s="1"/>
  <c r="G60" i="29" s="1"/>
  <c r="AS39" i="29"/>
  <c r="AS60" i="29" s="1"/>
  <c r="AT18" i="29"/>
  <c r="CH39" i="29"/>
  <c r="CH60" i="29" s="1"/>
  <c r="CI18" i="29"/>
  <c r="CI39" i="29" s="1"/>
  <c r="CI60" i="29" s="1"/>
  <c r="U43" i="29"/>
  <c r="U64" i="29" s="1"/>
  <c r="V22" i="29"/>
  <c r="F35" i="29"/>
  <c r="F56" i="29" s="1"/>
  <c r="G14" i="29"/>
  <c r="G35" i="29" s="1"/>
  <c r="G56" i="29" s="1"/>
  <c r="BZ39" i="29"/>
  <c r="BZ60" i="29" s="1"/>
  <c r="CA18" i="29"/>
  <c r="CA39" i="29" s="1"/>
  <c r="CA60" i="29" s="1"/>
  <c r="V26" i="29"/>
  <c r="V47" i="29" s="1"/>
  <c r="U68" i="29"/>
  <c r="AK47" i="29"/>
  <c r="AK68" i="29" s="1"/>
  <c r="AL26" i="29"/>
  <c r="M35" i="29"/>
  <c r="M56" i="29" s="1"/>
  <c r="N14" i="29"/>
  <c r="CG35" i="29"/>
  <c r="CG56" i="29" s="1"/>
  <c r="CH14" i="29"/>
  <c r="BB47" i="29"/>
  <c r="BB68" i="29" s="1"/>
  <c r="BC26" i="29"/>
  <c r="BC47" i="29" s="1"/>
  <c r="BC68" i="29" s="1"/>
  <c r="BI39" i="29"/>
  <c r="BI60" i="29" s="1"/>
  <c r="BJ18" i="29"/>
  <c r="AC47" i="29"/>
  <c r="AC68" i="29" s="1"/>
  <c r="AD26" i="29"/>
  <c r="CX35" i="29"/>
  <c r="CX56" i="29" s="1"/>
  <c r="BA39" i="29"/>
  <c r="BA60" i="29" s="1"/>
  <c r="BB18" i="29"/>
  <c r="M47" i="29"/>
  <c r="M68" i="29" s="1"/>
  <c r="N26" i="29"/>
  <c r="DF35" i="29" l="1"/>
  <c r="DF56" i="29" s="1"/>
  <c r="DG22" i="29"/>
  <c r="DG43" i="29" s="1"/>
  <c r="DG64" i="29" s="1"/>
  <c r="AU14" i="29"/>
  <c r="AU35" i="29" s="1"/>
  <c r="AU56" i="29" s="1"/>
  <c r="BC14" i="29"/>
  <c r="BC35" i="29" s="1"/>
  <c r="BC56" i="29" s="1"/>
  <c r="BC22" i="29"/>
  <c r="BC43" i="29" s="1"/>
  <c r="BC64" i="29" s="1"/>
  <c r="BK26" i="29"/>
  <c r="BK47" i="29" s="1"/>
  <c r="BK68" i="29" s="1"/>
  <c r="BR43" i="29"/>
  <c r="BR64" i="29" s="1"/>
  <c r="BS22" i="29"/>
  <c r="BS43" i="29" s="1"/>
  <c r="BS64" i="29" s="1"/>
  <c r="W18" i="29"/>
  <c r="W39" i="29" s="1"/>
  <c r="W60" i="29" s="1"/>
  <c r="BR47" i="29"/>
  <c r="BR68" i="29" s="1"/>
  <c r="BS26" i="29"/>
  <c r="BS47" i="29" s="1"/>
  <c r="BS68" i="29" s="1"/>
  <c r="AE14" i="29"/>
  <c r="AE35" i="29" s="1"/>
  <c r="AE56" i="29" s="1"/>
  <c r="BK14" i="29"/>
  <c r="BK35" i="29" s="1"/>
  <c r="BK56" i="29" s="1"/>
  <c r="BJ35" i="29"/>
  <c r="BJ56" i="29" s="1"/>
  <c r="AD39" i="29"/>
  <c r="AD60" i="29" s="1"/>
  <c r="AE18" i="29"/>
  <c r="AE39" i="29" s="1"/>
  <c r="AE60" i="29" s="1"/>
  <c r="CY18" i="29"/>
  <c r="CY39" i="29" s="1"/>
  <c r="CY60" i="29" s="1"/>
  <c r="CX39" i="29"/>
  <c r="CX60" i="29" s="1"/>
  <c r="BR35" i="29"/>
  <c r="BR56" i="29" s="1"/>
  <c r="BS14" i="29"/>
  <c r="BS35" i="29" s="1"/>
  <c r="BS56" i="29" s="1"/>
  <c r="AM18" i="29"/>
  <c r="AM39" i="29" s="1"/>
  <c r="AM60" i="29" s="1"/>
  <c r="AL39" i="29"/>
  <c r="AL60" i="29" s="1"/>
  <c r="DF47" i="29"/>
  <c r="DF68" i="29" s="1"/>
  <c r="DG26" i="29"/>
  <c r="DG47" i="29" s="1"/>
  <c r="DG68" i="29" s="1"/>
  <c r="CH47" i="29"/>
  <c r="CH68" i="29" s="1"/>
  <c r="CI26" i="29"/>
  <c r="CI47" i="29" s="1"/>
  <c r="CI68" i="29" s="1"/>
  <c r="F43" i="29"/>
  <c r="F64" i="29" s="1"/>
  <c r="G22" i="29"/>
  <c r="G43" i="29" s="1"/>
  <c r="G64" i="29" s="1"/>
  <c r="CX47" i="29"/>
  <c r="CX68" i="29" s="1"/>
  <c r="CY26" i="29"/>
  <c r="CY47" i="29" s="1"/>
  <c r="CY68" i="29" s="1"/>
  <c r="BZ47" i="29"/>
  <c r="BZ68" i="29" s="1"/>
  <c r="CA26" i="29"/>
  <c r="CA47" i="29" s="1"/>
  <c r="CA68" i="29" s="1"/>
  <c r="CQ18" i="29"/>
  <c r="CQ39" i="29" s="1"/>
  <c r="CQ60" i="29" s="1"/>
  <c r="CP39" i="29"/>
  <c r="CP60" i="29" s="1"/>
  <c r="BK22" i="29"/>
  <c r="BK43" i="29" s="1"/>
  <c r="BK64" i="29" s="1"/>
  <c r="BJ43" i="29"/>
  <c r="BJ64" i="29" s="1"/>
  <c r="F47" i="29"/>
  <c r="F68" i="29" s="1"/>
  <c r="G26" i="29"/>
  <c r="G47" i="29" s="1"/>
  <c r="G68" i="29" s="1"/>
  <c r="BJ39" i="29"/>
  <c r="BJ60" i="29" s="1"/>
  <c r="BK18" i="29"/>
  <c r="BK39" i="29" s="1"/>
  <c r="BK60" i="29" s="1"/>
  <c r="W14" i="29"/>
  <c r="W35" i="29" s="1"/>
  <c r="W56" i="29" s="1"/>
  <c r="V35" i="29"/>
  <c r="V56" i="29" s="1"/>
  <c r="N43" i="29"/>
  <c r="N64" i="29" s="1"/>
  <c r="O22" i="29"/>
  <c r="O43" i="29" s="1"/>
  <c r="O64" i="29" s="1"/>
  <c r="CP47" i="29"/>
  <c r="CP68" i="29" s="1"/>
  <c r="CQ26" i="29"/>
  <c r="CQ47" i="29" s="1"/>
  <c r="CQ68" i="29" s="1"/>
  <c r="BB39" i="29"/>
  <c r="BB60" i="29" s="1"/>
  <c r="BC18" i="29"/>
  <c r="BC39" i="29" s="1"/>
  <c r="BC60" i="29" s="1"/>
  <c r="CP35" i="29"/>
  <c r="CP56" i="29" s="1"/>
  <c r="CQ14" i="29"/>
  <c r="CQ35" i="29" s="1"/>
  <c r="CQ56" i="29" s="1"/>
  <c r="AL47" i="29"/>
  <c r="AL68" i="29" s="1"/>
  <c r="AM26" i="29"/>
  <c r="AM47" i="29" s="1"/>
  <c r="AM68" i="29" s="1"/>
  <c r="CP43" i="29"/>
  <c r="CP64" i="29" s="1"/>
  <c r="CQ22" i="29"/>
  <c r="CQ43" i="29" s="1"/>
  <c r="CQ64" i="29" s="1"/>
  <c r="AT39" i="29"/>
  <c r="AT60" i="29" s="1"/>
  <c r="AU18" i="29"/>
  <c r="AU39" i="29" s="1"/>
  <c r="AU60" i="29" s="1"/>
  <c r="CH43" i="29"/>
  <c r="CH64" i="29" s="1"/>
  <c r="CI22" i="29"/>
  <c r="CI43" i="29" s="1"/>
  <c r="CI64" i="29" s="1"/>
  <c r="CH35" i="29"/>
  <c r="CH56" i="29" s="1"/>
  <c r="CI14" i="29"/>
  <c r="CI35" i="29" s="1"/>
  <c r="CI56" i="29" s="1"/>
  <c r="BZ43" i="29"/>
  <c r="BZ64" i="29" s="1"/>
  <c r="CA22" i="29"/>
  <c r="CA43" i="29" s="1"/>
  <c r="CA64" i="29" s="1"/>
  <c r="N47" i="29"/>
  <c r="N68" i="29" s="1"/>
  <c r="O26" i="29"/>
  <c r="O47" i="29" s="1"/>
  <c r="O68" i="29" s="1"/>
  <c r="AD47" i="29"/>
  <c r="AD68" i="29" s="1"/>
  <c r="AE26" i="29"/>
  <c r="AE47" i="29" s="1"/>
  <c r="AE68" i="29" s="1"/>
  <c r="N35" i="29"/>
  <c r="N56" i="29" s="1"/>
  <c r="O14" i="29"/>
  <c r="O35" i="29" s="1"/>
  <c r="O56" i="29" s="1"/>
  <c r="V43" i="29"/>
  <c r="V64" i="29" s="1"/>
  <c r="W22" i="29"/>
  <c r="W43" i="29" s="1"/>
  <c r="W64" i="29" s="1"/>
  <c r="BZ35" i="29"/>
  <c r="BZ56" i="29" s="1"/>
  <c r="CA14" i="29"/>
  <c r="CA35" i="29" s="1"/>
  <c r="CA56" i="29" s="1"/>
  <c r="DF39" i="29"/>
  <c r="DF60" i="29" s="1"/>
  <c r="DG18" i="29"/>
  <c r="DG39" i="29" s="1"/>
  <c r="DG60" i="29" s="1"/>
  <c r="AL35" i="29"/>
  <c r="AL56" i="29" s="1"/>
  <c r="AM14" i="29"/>
  <c r="AM35" i="29" s="1"/>
  <c r="AM56" i="29" s="1"/>
  <c r="V68" i="29"/>
  <c r="W26" i="29"/>
  <c r="W47" i="29" l="1"/>
  <c r="W68" i="29" s="1"/>
  <c r="F6" i="7" l="1"/>
  <c r="F7" i="7"/>
  <c r="F8" i="7"/>
  <c r="F9" i="7"/>
  <c r="F10" i="7"/>
  <c r="F11" i="7"/>
  <c r="F12" i="7"/>
  <c r="F13" i="7"/>
  <c r="C6" i="7"/>
  <c r="I5" i="7" l="1"/>
  <c r="M5" i="7" s="1"/>
  <c r="M10" i="7"/>
  <c r="M12" i="7"/>
  <c r="M8" i="7"/>
  <c r="M9" i="7"/>
  <c r="M13" i="7"/>
  <c r="M11" i="7"/>
  <c r="AR7" i="28"/>
  <c r="AY39" i="28"/>
  <c r="BF39" i="28" s="1"/>
  <c r="AY47" i="28"/>
  <c r="BF47" i="28" s="1"/>
  <c r="AY63" i="28"/>
  <c r="BF63" i="28" s="1"/>
  <c r="AY71" i="28"/>
  <c r="BF71" i="28" s="1"/>
  <c r="AY79" i="28"/>
  <c r="BF79" i="28" s="1"/>
  <c r="AY95" i="28"/>
  <c r="BF95" i="28" s="1"/>
  <c r="AY103" i="28"/>
  <c r="BF103" i="28" s="1"/>
  <c r="AY111" i="28"/>
  <c r="BF111" i="28" s="1"/>
  <c r="AY119" i="28"/>
  <c r="BF119" i="28" s="1"/>
  <c r="AY127" i="28"/>
  <c r="BF127" i="28" s="1"/>
  <c r="AY135" i="28"/>
  <c r="BF135" i="28" s="1"/>
  <c r="AY143" i="28"/>
  <c r="BF143" i="28" s="1"/>
  <c r="AY151" i="28"/>
  <c r="BF151" i="28" s="1"/>
  <c r="AY167" i="28"/>
  <c r="BF167" i="28" s="1"/>
  <c r="AY175" i="28"/>
  <c r="BF175" i="28" s="1"/>
  <c r="AY183" i="28"/>
  <c r="BF183" i="28" s="1"/>
  <c r="AY199" i="28"/>
  <c r="BF199" i="28" s="1"/>
  <c r="AY207" i="28"/>
  <c r="BF207" i="28" s="1"/>
  <c r="AY215" i="28"/>
  <c r="BF215" i="28" s="1"/>
  <c r="AY223" i="28"/>
  <c r="BF223" i="28" s="1"/>
  <c r="AY231" i="28"/>
  <c r="BF231" i="28" s="1"/>
  <c r="AY239" i="28"/>
  <c r="BF239" i="28" s="1"/>
  <c r="AY255" i="28"/>
  <c r="BF255" i="28" s="1"/>
  <c r="AY271" i="28"/>
  <c r="BF271" i="28" s="1"/>
  <c r="AY279" i="28"/>
  <c r="BF279" i="28" s="1"/>
  <c r="AY280" i="28"/>
  <c r="BF280" i="28" s="1"/>
  <c r="AY287" i="28"/>
  <c r="BF287" i="28" s="1"/>
  <c r="AY311" i="28"/>
  <c r="BF311" i="28" s="1"/>
  <c r="AY319" i="28"/>
  <c r="BF319" i="28" s="1"/>
  <c r="AY327" i="28"/>
  <c r="BF327" i="28" s="1"/>
  <c r="AY335" i="28"/>
  <c r="BF335" i="28" s="1"/>
  <c r="AY343" i="28"/>
  <c r="BF343" i="28" s="1"/>
  <c r="AY359" i="28"/>
  <c r="BF359" i="28" s="1"/>
  <c r="AY367" i="28"/>
  <c r="BF367" i="28" s="1"/>
  <c r="AY375" i="28"/>
  <c r="BF375" i="28" s="1"/>
  <c r="AY383" i="28"/>
  <c r="BF383" i="28" s="1"/>
  <c r="AY391" i="28"/>
  <c r="BF391" i="28" s="1"/>
  <c r="AY399" i="28"/>
  <c r="BF399" i="28" s="1"/>
  <c r="AY407" i="28"/>
  <c r="BF407" i="28" s="1"/>
  <c r="AY415" i="28"/>
  <c r="BF415" i="28" s="1"/>
  <c r="AY423" i="28"/>
  <c r="BF423" i="28" s="1"/>
  <c r="AY431" i="28"/>
  <c r="BF431" i="28" s="1"/>
  <c r="AY439" i="28"/>
  <c r="BF439" i="28" s="1"/>
  <c r="AY447" i="28"/>
  <c r="BF447" i="28" s="1"/>
  <c r="AY455" i="28"/>
  <c r="BF455" i="28" s="1"/>
  <c r="AY463" i="28"/>
  <c r="BF463" i="28" s="1"/>
  <c r="AY471" i="28"/>
  <c r="BF471" i="28" s="1"/>
  <c r="AY479" i="28"/>
  <c r="BF479" i="28" s="1"/>
  <c r="AY487" i="28"/>
  <c r="BF487" i="28" s="1"/>
  <c r="AY495" i="28"/>
  <c r="BF495" i="28" s="1"/>
  <c r="AY503" i="28"/>
  <c r="BF503" i="28" s="1"/>
  <c r="AY511" i="28"/>
  <c r="BF511" i="28" s="1"/>
  <c r="AY527" i="28"/>
  <c r="BF527" i="28" s="1"/>
  <c r="AY535" i="28"/>
  <c r="BF535" i="28" s="1"/>
  <c r="AY559" i="28"/>
  <c r="BF559" i="28" s="1"/>
  <c r="AY575" i="28"/>
  <c r="BF575" i="28" s="1"/>
  <c r="AY583" i="28"/>
  <c r="BF583" i="28" s="1"/>
  <c r="AY599" i="28"/>
  <c r="BF599" i="28" s="1"/>
  <c r="AY607" i="28"/>
  <c r="BF607" i="28" s="1"/>
  <c r="AY615" i="28"/>
  <c r="BF615" i="28" s="1"/>
  <c r="AY623" i="28"/>
  <c r="BF623" i="28" s="1"/>
  <c r="AY631" i="28"/>
  <c r="BF631" i="28" s="1"/>
  <c r="AY639" i="28"/>
  <c r="BF639" i="28" s="1"/>
  <c r="AY655" i="28"/>
  <c r="BF655" i="28" s="1"/>
  <c r="AY663" i="28"/>
  <c r="BF663" i="28" s="1"/>
  <c r="AY671" i="28"/>
  <c r="BF671" i="28" s="1"/>
  <c r="AY687" i="28"/>
  <c r="BF687" i="28" s="1"/>
  <c r="AY695" i="28"/>
  <c r="BF695" i="28" s="1"/>
  <c r="AY711" i="28"/>
  <c r="BF711" i="28" s="1"/>
  <c r="AY727" i="28"/>
  <c r="BF727" i="28" s="1"/>
  <c r="AY735" i="28"/>
  <c r="BF735" i="28" s="1"/>
  <c r="AY743" i="28"/>
  <c r="BF743" i="28" s="1"/>
  <c r="AY751" i="28"/>
  <c r="BF751" i="28" s="1"/>
  <c r="AY759" i="28"/>
  <c r="BF759" i="28" s="1"/>
  <c r="AY767" i="28"/>
  <c r="BF767" i="28" s="1"/>
  <c r="AY775" i="28"/>
  <c r="BF775" i="28" s="1"/>
  <c r="AY783" i="28"/>
  <c r="BF783" i="28" s="1"/>
  <c r="AY799" i="28"/>
  <c r="BF799" i="28" s="1"/>
  <c r="AY807" i="28"/>
  <c r="BF807" i="28" s="1"/>
  <c r="AY831" i="28"/>
  <c r="BF831" i="28" s="1"/>
  <c r="AY839" i="28"/>
  <c r="BF839" i="28" s="1"/>
  <c r="AY855" i="28"/>
  <c r="BF855" i="28" s="1"/>
  <c r="AY863" i="28"/>
  <c r="BF863" i="28" s="1"/>
  <c r="AY879" i="28"/>
  <c r="BF879" i="28" s="1"/>
  <c r="AY887" i="28"/>
  <c r="BF887" i="28" s="1"/>
  <c r="AY903" i="28"/>
  <c r="BF903" i="28" s="1"/>
  <c r="AY935" i="28"/>
  <c r="BF935" i="28" s="1"/>
  <c r="AY951" i="28"/>
  <c r="BF951" i="28" s="1"/>
  <c r="AY959" i="28"/>
  <c r="BF959" i="28" s="1"/>
  <c r="AY967" i="28"/>
  <c r="BF967" i="28" s="1"/>
  <c r="AY975" i="28"/>
  <c r="BF975" i="28" s="1"/>
  <c r="AY983" i="28"/>
  <c r="BF983" i="28" s="1"/>
  <c r="AY991" i="28"/>
  <c r="BF991" i="28" s="1"/>
  <c r="AY999" i="28"/>
  <c r="BF999" i="28" s="1"/>
  <c r="AY1007" i="28"/>
  <c r="BF1007" i="28" s="1"/>
  <c r="V16" i="28"/>
  <c r="AC16" i="28" s="1"/>
  <c r="V24" i="28"/>
  <c r="AC24" i="28" s="1"/>
  <c r="V32" i="28"/>
  <c r="AC32" i="28" s="1"/>
  <c r="V40" i="28"/>
  <c r="AC40" i="28" s="1"/>
  <c r="V48" i="28"/>
  <c r="AC48" i="28" s="1"/>
  <c r="V56" i="28"/>
  <c r="AC56" i="28" s="1"/>
  <c r="V64" i="28"/>
  <c r="AC64" i="28" s="1"/>
  <c r="V72" i="28"/>
  <c r="AC72" i="28" s="1"/>
  <c r="V80" i="28"/>
  <c r="AC80" i="28" s="1"/>
  <c r="V88" i="28"/>
  <c r="AC88" i="28" s="1"/>
  <c r="V96" i="28"/>
  <c r="AC96" i="28" s="1"/>
  <c r="V104" i="28"/>
  <c r="AC104" i="28" s="1"/>
  <c r="V112" i="28"/>
  <c r="AC112" i="28" s="1"/>
  <c r="V120" i="28"/>
  <c r="AC120" i="28" s="1"/>
  <c r="V128" i="28"/>
  <c r="AC128" i="28" s="1"/>
  <c r="V136" i="28"/>
  <c r="AC136" i="28" s="1"/>
  <c r="V144" i="28"/>
  <c r="AC144" i="28" s="1"/>
  <c r="V152" i="28"/>
  <c r="AC152" i="28" s="1"/>
  <c r="V160" i="28"/>
  <c r="AC160" i="28" s="1"/>
  <c r="V168" i="28"/>
  <c r="AC168" i="28" s="1"/>
  <c r="V176" i="28"/>
  <c r="AC176" i="28" s="1"/>
  <c r="V184" i="28"/>
  <c r="AC184" i="28" s="1"/>
  <c r="V192" i="28"/>
  <c r="AC192" i="28" s="1"/>
  <c r="V200" i="28"/>
  <c r="AC200" i="28" s="1"/>
  <c r="V208" i="28"/>
  <c r="AC208" i="28" s="1"/>
  <c r="V216" i="28"/>
  <c r="AC216" i="28" s="1"/>
  <c r="V224" i="28"/>
  <c r="AC224" i="28" s="1"/>
  <c r="V232" i="28"/>
  <c r="AC232" i="28" s="1"/>
  <c r="V240" i="28"/>
  <c r="AC240" i="28" s="1"/>
  <c r="V248" i="28"/>
  <c r="AC248" i="28" s="1"/>
  <c r="V256" i="28"/>
  <c r="AC256" i="28" s="1"/>
  <c r="V264" i="28"/>
  <c r="AC264" i="28" s="1"/>
  <c r="V272" i="28"/>
  <c r="AC272" i="28" s="1"/>
  <c r="V280" i="28"/>
  <c r="AC280" i="28" s="1"/>
  <c r="V288" i="28"/>
  <c r="AC288" i="28" s="1"/>
  <c r="V296" i="28"/>
  <c r="AC296" i="28" s="1"/>
  <c r="V304" i="28"/>
  <c r="AC304" i="28" s="1"/>
  <c r="V312" i="28"/>
  <c r="AC312" i="28" s="1"/>
  <c r="V320" i="28"/>
  <c r="AC320" i="28" s="1"/>
  <c r="V328" i="28"/>
  <c r="AC328" i="28" s="1"/>
  <c r="V336" i="28"/>
  <c r="AC336" i="28" s="1"/>
  <c r="V344" i="28"/>
  <c r="AC344" i="28" s="1"/>
  <c r="V352" i="28"/>
  <c r="AC352" i="28" s="1"/>
  <c r="V360" i="28"/>
  <c r="AC360" i="28" s="1"/>
  <c r="V368" i="28"/>
  <c r="AC368" i="28" s="1"/>
  <c r="V376" i="28"/>
  <c r="AC376" i="28" s="1"/>
  <c r="V384" i="28"/>
  <c r="AC384" i="28" s="1"/>
  <c r="V392" i="28"/>
  <c r="AC392" i="28" s="1"/>
  <c r="V400" i="28"/>
  <c r="AC400" i="28" s="1"/>
  <c r="V408" i="28"/>
  <c r="AC408" i="28" s="1"/>
  <c r="V416" i="28"/>
  <c r="AC416" i="28" s="1"/>
  <c r="V424" i="28"/>
  <c r="AC424" i="28" s="1"/>
  <c r="V432" i="28"/>
  <c r="AC432" i="28" s="1"/>
  <c r="V440" i="28"/>
  <c r="AC440" i="28" s="1"/>
  <c r="V448" i="28"/>
  <c r="AC448" i="28" s="1"/>
  <c r="V456" i="28"/>
  <c r="AC456" i="28" s="1"/>
  <c r="V464" i="28"/>
  <c r="AC464" i="28" s="1"/>
  <c r="V472" i="28"/>
  <c r="AC472" i="28" s="1"/>
  <c r="V480" i="28"/>
  <c r="AC480" i="28" s="1"/>
  <c r="V488" i="28"/>
  <c r="AC488" i="28" s="1"/>
  <c r="V496" i="28"/>
  <c r="AC496" i="28" s="1"/>
  <c r="V504" i="28"/>
  <c r="AC504" i="28" s="1"/>
  <c r="V512" i="28"/>
  <c r="AC512" i="28" s="1"/>
  <c r="V520" i="28"/>
  <c r="AC520" i="28" s="1"/>
  <c r="V528" i="28"/>
  <c r="AC528" i="28" s="1"/>
  <c r="V536" i="28"/>
  <c r="AC536" i="28" s="1"/>
  <c r="V544" i="28"/>
  <c r="AC544" i="28" s="1"/>
  <c r="V552" i="28"/>
  <c r="AC552" i="28" s="1"/>
  <c r="V560" i="28"/>
  <c r="AC560" i="28" s="1"/>
  <c r="V568" i="28"/>
  <c r="AC568" i="28" s="1"/>
  <c r="V576" i="28"/>
  <c r="AC576" i="28" s="1"/>
  <c r="V584" i="28"/>
  <c r="AC584" i="28" s="1"/>
  <c r="V592" i="28"/>
  <c r="AC592" i="28" s="1"/>
  <c r="V600" i="28"/>
  <c r="AC600" i="28" s="1"/>
  <c r="V608" i="28"/>
  <c r="AC608" i="28" s="1"/>
  <c r="V616" i="28"/>
  <c r="AC616" i="28" s="1"/>
  <c r="V624" i="28"/>
  <c r="AC624" i="28" s="1"/>
  <c r="V632" i="28"/>
  <c r="AC632" i="28" s="1"/>
  <c r="V640" i="28"/>
  <c r="AC640" i="28" s="1"/>
  <c r="V648" i="28"/>
  <c r="AC648" i="28" s="1"/>
  <c r="V656" i="28"/>
  <c r="AC656" i="28" s="1"/>
  <c r="V664" i="28"/>
  <c r="AC664" i="28" s="1"/>
  <c r="V672" i="28"/>
  <c r="AC672" i="28" s="1"/>
  <c r="V680" i="28"/>
  <c r="AC680" i="28" s="1"/>
  <c r="V688" i="28"/>
  <c r="AC688" i="28" s="1"/>
  <c r="V696" i="28"/>
  <c r="AC696" i="28" s="1"/>
  <c r="V704" i="28"/>
  <c r="AC704" i="28" s="1"/>
  <c r="V712" i="28"/>
  <c r="AC712" i="28" s="1"/>
  <c r="V720" i="28"/>
  <c r="AC720" i="28" s="1"/>
  <c r="V728" i="28"/>
  <c r="AC728" i="28" s="1"/>
  <c r="V736" i="28"/>
  <c r="AC736" i="28" s="1"/>
  <c r="V744" i="28"/>
  <c r="AC744" i="28" s="1"/>
  <c r="V752" i="28"/>
  <c r="AC752" i="28" s="1"/>
  <c r="V760" i="28"/>
  <c r="AC760" i="28" s="1"/>
  <c r="V768" i="28"/>
  <c r="AC768" i="28" s="1"/>
  <c r="V776" i="28"/>
  <c r="AC776" i="28" s="1"/>
  <c r="V784" i="28"/>
  <c r="AC784" i="28" s="1"/>
  <c r="V792" i="28"/>
  <c r="AC792" i="28" s="1"/>
  <c r="V800" i="28"/>
  <c r="AC800" i="28" s="1"/>
  <c r="V808" i="28"/>
  <c r="AC808" i="28" s="1"/>
  <c r="V816" i="28"/>
  <c r="AC816" i="28" s="1"/>
  <c r="V824" i="28"/>
  <c r="AC824" i="28" s="1"/>
  <c r="V832" i="28"/>
  <c r="AC832" i="28" s="1"/>
  <c r="V840" i="28"/>
  <c r="AC840" i="28" s="1"/>
  <c r="V848" i="28"/>
  <c r="AC848" i="28" s="1"/>
  <c r="V856" i="28"/>
  <c r="AC856" i="28" s="1"/>
  <c r="V864" i="28"/>
  <c r="AC864" i="28" s="1"/>
  <c r="V872" i="28"/>
  <c r="AC872" i="28" s="1"/>
  <c r="V880" i="28"/>
  <c r="AC880" i="28" s="1"/>
  <c r="V888" i="28"/>
  <c r="AC888" i="28" s="1"/>
  <c r="V896" i="28"/>
  <c r="AC896" i="28" s="1"/>
  <c r="V904" i="28"/>
  <c r="AC904" i="28" s="1"/>
  <c r="V912" i="28"/>
  <c r="AC912" i="28" s="1"/>
  <c r="V920" i="28"/>
  <c r="AC920" i="28" s="1"/>
  <c r="V928" i="28"/>
  <c r="AC928" i="28" s="1"/>
  <c r="V936" i="28"/>
  <c r="AC936" i="28" s="1"/>
  <c r="V944" i="28"/>
  <c r="AC944" i="28" s="1"/>
  <c r="V952" i="28"/>
  <c r="AC952" i="28" s="1"/>
  <c r="V960" i="28"/>
  <c r="AC960" i="28" s="1"/>
  <c r="V968" i="28"/>
  <c r="AC968" i="28" s="1"/>
  <c r="V976" i="28"/>
  <c r="AC976" i="28" s="1"/>
  <c r="V984" i="28"/>
  <c r="AC984" i="28" s="1"/>
  <c r="V992" i="28"/>
  <c r="AC992" i="28" s="1"/>
  <c r="V1000" i="28"/>
  <c r="AC1000" i="28" s="1"/>
  <c r="V1008" i="28"/>
  <c r="AC1008" i="28" s="1"/>
  <c r="AY24" i="28"/>
  <c r="BF24" i="28" s="1"/>
  <c r="AY32" i="28"/>
  <c r="BF32" i="28" s="1"/>
  <c r="AY40" i="28"/>
  <c r="BF40" i="28" s="1"/>
  <c r="AY48" i="28"/>
  <c r="BF48" i="28" s="1"/>
  <c r="AY56" i="28"/>
  <c r="BF56" i="28" s="1"/>
  <c r="AY72" i="28"/>
  <c r="BF72" i="28" s="1"/>
  <c r="AY80" i="28"/>
  <c r="BF80" i="28" s="1"/>
  <c r="AY88" i="28"/>
  <c r="BF88" i="28" s="1"/>
  <c r="AY96" i="28"/>
  <c r="BF96" i="28" s="1"/>
  <c r="AY104" i="28"/>
  <c r="BF104" i="28" s="1"/>
  <c r="AY112" i="28"/>
  <c r="BF112" i="28" s="1"/>
  <c r="AY120" i="28"/>
  <c r="BF120" i="28" s="1"/>
  <c r="AY128" i="28"/>
  <c r="BF128" i="28" s="1"/>
  <c r="AY136" i="28"/>
  <c r="BF136" i="28" s="1"/>
  <c r="AY144" i="28"/>
  <c r="BF144" i="28" s="1"/>
  <c r="AY152" i="28"/>
  <c r="BF152" i="28" s="1"/>
  <c r="AY160" i="28"/>
  <c r="BF160" i="28" s="1"/>
  <c r="AY168" i="28"/>
  <c r="BF168" i="28" s="1"/>
  <c r="AY176" i="28"/>
  <c r="BF176" i="28" s="1"/>
  <c r="AY184" i="28"/>
  <c r="BF184" i="28" s="1"/>
  <c r="AY192" i="28"/>
  <c r="BF192" i="28" s="1"/>
  <c r="AY200" i="28"/>
  <c r="BF200" i="28" s="1"/>
  <c r="AY208" i="28"/>
  <c r="BF208" i="28" s="1"/>
  <c r="AY216" i="28"/>
  <c r="BF216" i="28" s="1"/>
  <c r="AY224" i="28"/>
  <c r="BF224" i="28" s="1"/>
  <c r="AY232" i="28"/>
  <c r="BF232" i="28" s="1"/>
  <c r="AY240" i="28"/>
  <c r="BF240" i="28" s="1"/>
  <c r="AY248" i="28"/>
  <c r="BF248" i="28" s="1"/>
  <c r="AY256" i="28"/>
  <c r="BF256" i="28" s="1"/>
  <c r="AY264" i="28"/>
  <c r="BF264" i="28" s="1"/>
  <c r="AY272" i="28"/>
  <c r="BF272" i="28" s="1"/>
  <c r="AY288" i="28"/>
  <c r="BF288" i="28" s="1"/>
  <c r="AY296" i="28"/>
  <c r="BF296" i="28" s="1"/>
  <c r="AY304" i="28"/>
  <c r="BF304" i="28" s="1"/>
  <c r="AY312" i="28"/>
  <c r="BF312" i="28" s="1"/>
  <c r="AY320" i="28"/>
  <c r="BF320" i="28" s="1"/>
  <c r="AY328" i="28"/>
  <c r="BF328" i="28" s="1"/>
  <c r="AY336" i="28"/>
  <c r="BF336" i="28" s="1"/>
  <c r="AY344" i="28"/>
  <c r="BF344" i="28" s="1"/>
  <c r="AY350" i="28"/>
  <c r="AY352" i="28"/>
  <c r="BF352" i="28" s="1"/>
  <c r="AY358" i="28"/>
  <c r="BF358" i="28" s="1"/>
  <c r="AY360" i="28"/>
  <c r="BF360" i="28" s="1"/>
  <c r="AY366" i="28"/>
  <c r="BF366" i="28" s="1"/>
  <c r="AY368" i="28"/>
  <c r="BF368" i="28" s="1"/>
  <c r="AY374" i="28"/>
  <c r="BF374" i="28" s="1"/>
  <c r="AY376" i="28"/>
  <c r="BF376" i="28" s="1"/>
  <c r="AY384" i="28"/>
  <c r="BF384" i="28" s="1"/>
  <c r="AY392" i="28"/>
  <c r="BF392" i="28" s="1"/>
  <c r="AY398" i="28"/>
  <c r="BF398" i="28" s="1"/>
  <c r="AY400" i="28"/>
  <c r="BF400" i="28" s="1"/>
  <c r="AY406" i="28"/>
  <c r="AY408" i="28"/>
  <c r="BF408" i="28" s="1"/>
  <c r="AY414" i="28"/>
  <c r="AY416" i="28"/>
  <c r="BF416" i="28" s="1"/>
  <c r="AY422" i="28"/>
  <c r="BF422" i="28" s="1"/>
  <c r="AY424" i="28"/>
  <c r="BF424" i="28" s="1"/>
  <c r="AY430" i="28"/>
  <c r="BF430" i="28" s="1"/>
  <c r="AY432" i="28"/>
  <c r="BF432" i="28" s="1"/>
  <c r="AY438" i="28"/>
  <c r="BF438" i="28" s="1"/>
  <c r="AY440" i="28"/>
  <c r="BF440" i="28" s="1"/>
  <c r="AY446" i="28"/>
  <c r="BF446" i="28" s="1"/>
  <c r="AY448" i="28"/>
  <c r="BF448" i="28" s="1"/>
  <c r="AY454" i="28"/>
  <c r="BF454" i="28" s="1"/>
  <c r="AY456" i="28"/>
  <c r="BF456" i="28" s="1"/>
  <c r="AY462" i="28"/>
  <c r="AY464" i="28"/>
  <c r="BF464" i="28" s="1"/>
  <c r="AY472" i="28"/>
  <c r="BF472" i="28" s="1"/>
  <c r="AY480" i="28"/>
  <c r="BF480" i="28" s="1"/>
  <c r="AY486" i="28"/>
  <c r="BF486" i="28" s="1"/>
  <c r="AY488" i="28"/>
  <c r="BF488" i="28" s="1"/>
  <c r="AY494" i="28"/>
  <c r="AY496" i="28"/>
  <c r="BF496" i="28" s="1"/>
  <c r="AY504" i="28"/>
  <c r="BF504" i="28" s="1"/>
  <c r="AY510" i="28"/>
  <c r="BF510" i="28" s="1"/>
  <c r="AY512" i="28"/>
  <c r="BF512" i="28" s="1"/>
  <c r="AY520" i="28"/>
  <c r="BF520" i="28" s="1"/>
  <c r="AY526" i="28"/>
  <c r="BF526" i="28" s="1"/>
  <c r="AY528" i="28"/>
  <c r="BF528" i="28" s="1"/>
  <c r="AY534" i="28"/>
  <c r="BF534" i="28" s="1"/>
  <c r="AY536" i="28"/>
  <c r="BF536" i="28" s="1"/>
  <c r="AY542" i="28"/>
  <c r="BF542" i="28" s="1"/>
  <c r="AY544" i="28"/>
  <c r="BF544" i="28" s="1"/>
  <c r="AY550" i="28"/>
  <c r="BF550" i="28" s="1"/>
  <c r="AY552" i="28"/>
  <c r="BF552" i="28" s="1"/>
  <c r="AY558" i="28"/>
  <c r="BF558" i="28" s="1"/>
  <c r="AY560" i="28"/>
  <c r="BF560" i="28" s="1"/>
  <c r="AY566" i="28"/>
  <c r="BF566" i="28" s="1"/>
  <c r="AY568" i="28"/>
  <c r="BF568" i="28" s="1"/>
  <c r="AY574" i="28"/>
  <c r="BF574" i="28" s="1"/>
  <c r="AY576" i="28"/>
  <c r="BF576" i="28" s="1"/>
  <c r="AY582" i="28"/>
  <c r="BF582" i="28" s="1"/>
  <c r="AY584" i="28"/>
  <c r="BF584" i="28" s="1"/>
  <c r="AY590" i="28"/>
  <c r="BF590" i="28" s="1"/>
  <c r="AY592" i="28"/>
  <c r="BF592" i="28" s="1"/>
  <c r="AY598" i="28"/>
  <c r="BF598" i="28" s="1"/>
  <c r="AY600" i="28"/>
  <c r="BF600" i="28" s="1"/>
  <c r="AY606" i="28"/>
  <c r="BF606" i="28" s="1"/>
  <c r="AY608" i="28"/>
  <c r="BF608" i="28" s="1"/>
  <c r="AY614" i="28"/>
  <c r="BF614" i="28" s="1"/>
  <c r="AY616" i="28"/>
  <c r="BF616" i="28" s="1"/>
  <c r="AY622" i="28"/>
  <c r="BF622" i="28" s="1"/>
  <c r="AY624" i="28"/>
  <c r="BF624" i="28" s="1"/>
  <c r="AY632" i="28"/>
  <c r="BF632" i="28" s="1"/>
  <c r="AY640" i="28"/>
  <c r="BF640" i="28" s="1"/>
  <c r="AY646" i="28"/>
  <c r="BF646" i="28" s="1"/>
  <c r="AY648" i="28"/>
  <c r="BF648" i="28" s="1"/>
  <c r="AY654" i="28"/>
  <c r="BF654" i="28" s="1"/>
  <c r="AY656" i="28"/>
  <c r="BF656" i="28" s="1"/>
  <c r="AY662" i="28"/>
  <c r="BF662" i="28" s="1"/>
  <c r="AY664" i="28"/>
  <c r="BF664" i="28" s="1"/>
  <c r="AY670" i="28"/>
  <c r="BF670" i="28" s="1"/>
  <c r="AY672" i="28"/>
  <c r="BF672" i="28" s="1"/>
  <c r="AY678" i="28"/>
  <c r="BF678" i="28" s="1"/>
  <c r="AY680" i="28"/>
  <c r="BF680" i="28" s="1"/>
  <c r="AY686" i="28"/>
  <c r="BF686" i="28" s="1"/>
  <c r="AY688" i="28"/>
  <c r="BF688" i="28" s="1"/>
  <c r="AY694" i="28"/>
  <c r="BF694" i="28" s="1"/>
  <c r="AY696" i="28"/>
  <c r="BF696" i="28" s="1"/>
  <c r="AY702" i="28"/>
  <c r="BF702" i="28" s="1"/>
  <c r="AY704" i="28"/>
  <c r="BF704" i="28" s="1"/>
  <c r="AY710" i="28"/>
  <c r="BF710" i="28" s="1"/>
  <c r="AY712" i="28"/>
  <c r="BF712" i="28" s="1"/>
  <c r="AY718" i="28"/>
  <c r="BF718" i="28" s="1"/>
  <c r="AY720" i="28"/>
  <c r="BF720" i="28" s="1"/>
  <c r="AY726" i="28"/>
  <c r="BF726" i="28" s="1"/>
  <c r="AY728" i="28"/>
  <c r="BF728" i="28" s="1"/>
  <c r="AY734" i="28"/>
  <c r="AY736" i="28"/>
  <c r="BF736" i="28" s="1"/>
  <c r="AY744" i="28"/>
  <c r="BF744" i="28" s="1"/>
  <c r="AY750" i="28"/>
  <c r="BF750" i="28" s="1"/>
  <c r="AY752" i="28"/>
  <c r="BF752" i="28" s="1"/>
  <c r="AY758" i="28"/>
  <c r="BF758" i="28" s="1"/>
  <c r="AY760" i="28"/>
  <c r="BF760" i="28" s="1"/>
  <c r="AY766" i="28"/>
  <c r="BF766" i="28" s="1"/>
  <c r="AY768" i="28"/>
  <c r="BF768" i="28" s="1"/>
  <c r="AY774" i="28"/>
  <c r="BF774" i="28" s="1"/>
  <c r="AY776" i="28"/>
  <c r="BF776" i="28" s="1"/>
  <c r="AY782" i="28"/>
  <c r="BF782" i="28" s="1"/>
  <c r="AY784" i="28"/>
  <c r="BF784" i="28" s="1"/>
  <c r="AY790" i="28"/>
  <c r="BF790" i="28" s="1"/>
  <c r="AY792" i="28"/>
  <c r="BF792" i="28" s="1"/>
  <c r="AY795" i="28"/>
  <c r="BF795" i="28" s="1"/>
  <c r="AY798" i="28"/>
  <c r="BF798" i="28" s="1"/>
  <c r="AY800" i="28"/>
  <c r="BF800" i="28" s="1"/>
  <c r="AY803" i="28"/>
  <c r="BF803" i="28" s="1"/>
  <c r="AY806" i="28"/>
  <c r="BF806" i="28" s="1"/>
  <c r="AY808" i="28"/>
  <c r="BF808" i="28" s="1"/>
  <c r="AY809" i="28"/>
  <c r="BF809" i="28" s="1"/>
  <c r="AY811" i="28"/>
  <c r="BF811" i="28" s="1"/>
  <c r="AY814" i="28"/>
  <c r="BF814" i="28" s="1"/>
  <c r="AY816" i="28"/>
  <c r="BF816" i="28" s="1"/>
  <c r="AY822" i="28"/>
  <c r="BF822" i="28" s="1"/>
  <c r="AY824" i="28"/>
  <c r="BF824" i="28" s="1"/>
  <c r="AY825" i="28"/>
  <c r="BF825" i="28" s="1"/>
  <c r="AY832" i="28"/>
  <c r="BF832" i="28" s="1"/>
  <c r="AY838" i="28"/>
  <c r="BF838" i="28" s="1"/>
  <c r="AY840" i="28"/>
  <c r="BF840" i="28" s="1"/>
  <c r="AY843" i="28"/>
  <c r="BF843" i="28" s="1"/>
  <c r="AY846" i="28"/>
  <c r="BF846" i="28" s="1"/>
  <c r="AY848" i="28"/>
  <c r="BF848" i="28" s="1"/>
  <c r="AY851" i="28"/>
  <c r="BF851" i="28" s="1"/>
  <c r="AY854" i="28"/>
  <c r="BF854" i="28" s="1"/>
  <c r="AY856" i="28"/>
  <c r="BF856" i="28" s="1"/>
  <c r="AY857" i="28"/>
  <c r="BF857" i="28" s="1"/>
  <c r="AY862" i="28"/>
  <c r="BF862" i="28" s="1"/>
  <c r="AY864" i="28"/>
  <c r="BF864" i="28" s="1"/>
  <c r="AY867" i="28"/>
  <c r="BF867" i="28" s="1"/>
  <c r="AY870" i="28"/>
  <c r="BF870" i="28" s="1"/>
  <c r="AY872" i="28"/>
  <c r="BF872" i="28" s="1"/>
  <c r="AY873" i="28"/>
  <c r="BF873" i="28" s="1"/>
  <c r="AY878" i="28"/>
  <c r="BF878" i="28" s="1"/>
  <c r="AY880" i="28"/>
  <c r="BF880" i="28" s="1"/>
  <c r="AY886" i="28"/>
  <c r="BF886" i="28" s="1"/>
  <c r="AY888" i="28"/>
  <c r="BF888" i="28" s="1"/>
  <c r="AY894" i="28"/>
  <c r="BF894" i="28" s="1"/>
  <c r="AY896" i="28"/>
  <c r="BF896" i="28" s="1"/>
  <c r="AY897" i="28"/>
  <c r="BF897" i="28" s="1"/>
  <c r="AY899" i="28"/>
  <c r="BF899" i="28" s="1"/>
  <c r="AY902" i="28"/>
  <c r="BF902" i="28" s="1"/>
  <c r="AY904" i="28"/>
  <c r="BF904" i="28" s="1"/>
  <c r="AY905" i="28"/>
  <c r="BF905" i="28" s="1"/>
  <c r="AY910" i="28"/>
  <c r="BF910" i="28" s="1"/>
  <c r="AY912" i="28"/>
  <c r="BF912" i="28" s="1"/>
  <c r="AY915" i="28"/>
  <c r="BF915" i="28" s="1"/>
  <c r="AY918" i="28"/>
  <c r="BF918" i="28" s="1"/>
  <c r="AY920" i="28"/>
  <c r="BF920" i="28" s="1"/>
  <c r="AY923" i="28"/>
  <c r="BF923" i="28" s="1"/>
  <c r="AY926" i="28"/>
  <c r="BF926" i="28" s="1"/>
  <c r="AY928" i="28"/>
  <c r="BF928" i="28" s="1"/>
  <c r="AY934" i="28"/>
  <c r="BF934" i="28" s="1"/>
  <c r="AY936" i="28"/>
  <c r="BF936" i="28" s="1"/>
  <c r="AY937" i="28"/>
  <c r="BF937" i="28" s="1"/>
  <c r="AY939" i="28"/>
  <c r="BF939" i="28" s="1"/>
  <c r="AY942" i="28"/>
  <c r="BF942" i="28" s="1"/>
  <c r="AY944" i="28"/>
  <c r="BF944" i="28" s="1"/>
  <c r="AY950" i="28"/>
  <c r="BF950" i="28" s="1"/>
  <c r="AY952" i="28"/>
  <c r="BF952" i="28" s="1"/>
  <c r="AY955" i="28"/>
  <c r="AY960" i="28"/>
  <c r="BF960" i="28" s="1"/>
  <c r="AY961" i="28"/>
  <c r="BF961" i="28" s="1"/>
  <c r="AY963" i="28"/>
  <c r="BF963" i="28" s="1"/>
  <c r="AY966" i="28"/>
  <c r="BF966" i="28" s="1"/>
  <c r="AY968" i="28"/>
  <c r="BF968" i="28" s="1"/>
  <c r="AY969" i="28"/>
  <c r="BF969" i="28" s="1"/>
  <c r="AY971" i="28"/>
  <c r="BF971" i="28" s="1"/>
  <c r="AY974" i="28"/>
  <c r="BF974" i="28" s="1"/>
  <c r="AY976" i="28"/>
  <c r="BF976" i="28" s="1"/>
  <c r="AY982" i="28"/>
  <c r="BF982" i="28" s="1"/>
  <c r="AY984" i="28"/>
  <c r="BF984" i="28" s="1"/>
  <c r="AY985" i="28"/>
  <c r="BF985" i="28" s="1"/>
  <c r="AY990" i="28"/>
  <c r="BF990" i="28" s="1"/>
  <c r="AY992" i="28"/>
  <c r="BF992" i="28" s="1"/>
  <c r="AY993" i="28"/>
  <c r="BF993" i="28" s="1"/>
  <c r="AY995" i="28"/>
  <c r="BF995" i="28" s="1"/>
  <c r="AY998" i="28"/>
  <c r="BF998" i="28" s="1"/>
  <c r="AY1000" i="28"/>
  <c r="BF1000" i="28" s="1"/>
  <c r="AY1003" i="28"/>
  <c r="BF1003" i="28" s="1"/>
  <c r="AY1006" i="28"/>
  <c r="BF1006" i="28" s="1"/>
  <c r="AY1008" i="28"/>
  <c r="BF1008" i="28" s="1"/>
  <c r="AY1011" i="28"/>
  <c r="BF1011" i="28" s="1"/>
  <c r="AY1014" i="28"/>
  <c r="BF1014" i="28" s="1"/>
  <c r="C36" i="11"/>
  <c r="C35" i="11"/>
  <c r="AF7" i="28"/>
  <c r="AY1015" i="28"/>
  <c r="BF1015" i="28" s="1"/>
  <c r="AX1015" i="28"/>
  <c r="BE1015" i="28" s="1"/>
  <c r="AW1015" i="28"/>
  <c r="BD1015" i="28" s="1"/>
  <c r="AV1015" i="28"/>
  <c r="BC1015" i="28" s="1"/>
  <c r="AU1015" i="28"/>
  <c r="BB1015" i="28" s="1"/>
  <c r="AT1015" i="28"/>
  <c r="BA1015" i="28" s="1"/>
  <c r="AX1014" i="28"/>
  <c r="BE1014" i="28" s="1"/>
  <c r="AW1014" i="28"/>
  <c r="BD1014" i="28" s="1"/>
  <c r="AV1014" i="28"/>
  <c r="BC1014" i="28" s="1"/>
  <c r="AU1014" i="28"/>
  <c r="BB1014" i="28" s="1"/>
  <c r="AT1014" i="28"/>
  <c r="BA1014" i="28" s="1"/>
  <c r="AY1013" i="28"/>
  <c r="BF1013" i="28" s="1"/>
  <c r="AX1013" i="28"/>
  <c r="BE1013" i="28" s="1"/>
  <c r="AW1013" i="28"/>
  <c r="BD1013" i="28" s="1"/>
  <c r="AV1013" i="28"/>
  <c r="BC1013" i="28" s="1"/>
  <c r="AU1013" i="28"/>
  <c r="BB1013" i="28" s="1"/>
  <c r="AT1013" i="28"/>
  <c r="BA1013" i="28" s="1"/>
  <c r="AY1012" i="28"/>
  <c r="BF1012" i="28" s="1"/>
  <c r="AX1012" i="28"/>
  <c r="BE1012" i="28" s="1"/>
  <c r="AW1012" i="28"/>
  <c r="BD1012" i="28" s="1"/>
  <c r="AV1012" i="28"/>
  <c r="BC1012" i="28" s="1"/>
  <c r="AU1012" i="28"/>
  <c r="BB1012" i="28" s="1"/>
  <c r="AT1012" i="28"/>
  <c r="BA1012" i="28" s="1"/>
  <c r="AX1011" i="28"/>
  <c r="BE1011" i="28" s="1"/>
  <c r="AW1011" i="28"/>
  <c r="BD1011" i="28" s="1"/>
  <c r="AV1011" i="28"/>
  <c r="BC1011" i="28" s="1"/>
  <c r="AU1011" i="28"/>
  <c r="BB1011" i="28" s="1"/>
  <c r="AT1011" i="28"/>
  <c r="BA1011" i="28" s="1"/>
  <c r="AY1010" i="28"/>
  <c r="BF1010" i="28" s="1"/>
  <c r="AX1010" i="28"/>
  <c r="BE1010" i="28" s="1"/>
  <c r="AW1010" i="28"/>
  <c r="BD1010" i="28" s="1"/>
  <c r="AV1010" i="28"/>
  <c r="BC1010" i="28" s="1"/>
  <c r="AU1010" i="28"/>
  <c r="BB1010" i="28" s="1"/>
  <c r="AT1010" i="28"/>
  <c r="BA1010" i="28" s="1"/>
  <c r="AY1009" i="28"/>
  <c r="BF1009" i="28" s="1"/>
  <c r="AX1009" i="28"/>
  <c r="BE1009" i="28" s="1"/>
  <c r="AW1009" i="28"/>
  <c r="BD1009" i="28" s="1"/>
  <c r="AV1009" i="28"/>
  <c r="BC1009" i="28" s="1"/>
  <c r="AU1009" i="28"/>
  <c r="BB1009" i="28" s="1"/>
  <c r="AT1009" i="28"/>
  <c r="BA1009" i="28" s="1"/>
  <c r="AX1008" i="28"/>
  <c r="BE1008" i="28" s="1"/>
  <c r="AW1008" i="28"/>
  <c r="BD1008" i="28" s="1"/>
  <c r="AV1008" i="28"/>
  <c r="BC1008" i="28" s="1"/>
  <c r="AU1008" i="28"/>
  <c r="BB1008" i="28" s="1"/>
  <c r="AT1008" i="28"/>
  <c r="BA1008" i="28" s="1"/>
  <c r="AX1007" i="28"/>
  <c r="BE1007" i="28" s="1"/>
  <c r="AW1007" i="28"/>
  <c r="BD1007" i="28" s="1"/>
  <c r="AV1007" i="28"/>
  <c r="BC1007" i="28" s="1"/>
  <c r="AU1007" i="28"/>
  <c r="BB1007" i="28" s="1"/>
  <c r="AT1007" i="28"/>
  <c r="BA1007" i="28" s="1"/>
  <c r="AX1006" i="28"/>
  <c r="BE1006" i="28" s="1"/>
  <c r="AW1006" i="28"/>
  <c r="BD1006" i="28" s="1"/>
  <c r="AV1006" i="28"/>
  <c r="BC1006" i="28" s="1"/>
  <c r="AU1006" i="28"/>
  <c r="BB1006" i="28" s="1"/>
  <c r="AT1006" i="28"/>
  <c r="BA1006" i="28" s="1"/>
  <c r="AY1005" i="28"/>
  <c r="BF1005" i="28" s="1"/>
  <c r="AX1005" i="28"/>
  <c r="BE1005" i="28" s="1"/>
  <c r="AW1005" i="28"/>
  <c r="BD1005" i="28" s="1"/>
  <c r="AV1005" i="28"/>
  <c r="BC1005" i="28" s="1"/>
  <c r="AU1005" i="28"/>
  <c r="BB1005" i="28" s="1"/>
  <c r="AT1005" i="28"/>
  <c r="BA1005" i="28" s="1"/>
  <c r="AY1004" i="28"/>
  <c r="BF1004" i="28" s="1"/>
  <c r="AX1004" i="28"/>
  <c r="BE1004" i="28" s="1"/>
  <c r="AW1004" i="28"/>
  <c r="BD1004" i="28" s="1"/>
  <c r="AV1004" i="28"/>
  <c r="BC1004" i="28" s="1"/>
  <c r="AU1004" i="28"/>
  <c r="BB1004" i="28" s="1"/>
  <c r="AT1004" i="28"/>
  <c r="BA1004" i="28" s="1"/>
  <c r="AX1003" i="28"/>
  <c r="BE1003" i="28" s="1"/>
  <c r="AW1003" i="28"/>
  <c r="BD1003" i="28" s="1"/>
  <c r="AV1003" i="28"/>
  <c r="BC1003" i="28" s="1"/>
  <c r="AU1003" i="28"/>
  <c r="BB1003" i="28" s="1"/>
  <c r="AT1003" i="28"/>
  <c r="BA1003" i="28" s="1"/>
  <c r="AY1002" i="28"/>
  <c r="BF1002" i="28" s="1"/>
  <c r="AX1002" i="28"/>
  <c r="BE1002" i="28" s="1"/>
  <c r="AW1002" i="28"/>
  <c r="BD1002" i="28" s="1"/>
  <c r="AV1002" i="28"/>
  <c r="BC1002" i="28" s="1"/>
  <c r="AU1002" i="28"/>
  <c r="BB1002" i="28" s="1"/>
  <c r="AT1002" i="28"/>
  <c r="BA1002" i="28" s="1"/>
  <c r="AY1001" i="28"/>
  <c r="BF1001" i="28" s="1"/>
  <c r="AX1001" i="28"/>
  <c r="BE1001" i="28" s="1"/>
  <c r="AW1001" i="28"/>
  <c r="BD1001" i="28" s="1"/>
  <c r="AV1001" i="28"/>
  <c r="BC1001" i="28" s="1"/>
  <c r="AU1001" i="28"/>
  <c r="BB1001" i="28" s="1"/>
  <c r="AT1001" i="28"/>
  <c r="BA1001" i="28" s="1"/>
  <c r="AX1000" i="28"/>
  <c r="BE1000" i="28" s="1"/>
  <c r="AW1000" i="28"/>
  <c r="BD1000" i="28" s="1"/>
  <c r="AV1000" i="28"/>
  <c r="BC1000" i="28" s="1"/>
  <c r="AU1000" i="28"/>
  <c r="BB1000" i="28" s="1"/>
  <c r="AT1000" i="28"/>
  <c r="BA1000" i="28" s="1"/>
  <c r="AX999" i="28"/>
  <c r="BE999" i="28" s="1"/>
  <c r="AW999" i="28"/>
  <c r="BD999" i="28" s="1"/>
  <c r="AV999" i="28"/>
  <c r="BC999" i="28" s="1"/>
  <c r="AU999" i="28"/>
  <c r="BB999" i="28" s="1"/>
  <c r="AT999" i="28"/>
  <c r="BA999" i="28" s="1"/>
  <c r="AX998" i="28"/>
  <c r="BE998" i="28" s="1"/>
  <c r="AW998" i="28"/>
  <c r="BD998" i="28" s="1"/>
  <c r="AV998" i="28"/>
  <c r="BC998" i="28" s="1"/>
  <c r="AU998" i="28"/>
  <c r="BB998" i="28" s="1"/>
  <c r="AT998" i="28"/>
  <c r="BA998" i="28" s="1"/>
  <c r="AY997" i="28"/>
  <c r="BF997" i="28" s="1"/>
  <c r="AX997" i="28"/>
  <c r="BE997" i="28" s="1"/>
  <c r="AW997" i="28"/>
  <c r="BD997" i="28" s="1"/>
  <c r="AV997" i="28"/>
  <c r="BC997" i="28" s="1"/>
  <c r="AU997" i="28"/>
  <c r="BB997" i="28" s="1"/>
  <c r="AT997" i="28"/>
  <c r="BA997" i="28" s="1"/>
  <c r="AY996" i="28"/>
  <c r="BF996" i="28" s="1"/>
  <c r="AX996" i="28"/>
  <c r="BE996" i="28" s="1"/>
  <c r="AW996" i="28"/>
  <c r="BD996" i="28" s="1"/>
  <c r="AV996" i="28"/>
  <c r="BC996" i="28" s="1"/>
  <c r="AU996" i="28"/>
  <c r="BB996" i="28" s="1"/>
  <c r="AT996" i="28"/>
  <c r="BA996" i="28" s="1"/>
  <c r="AX995" i="28"/>
  <c r="BE995" i="28" s="1"/>
  <c r="AW995" i="28"/>
  <c r="BD995" i="28" s="1"/>
  <c r="AV995" i="28"/>
  <c r="BC995" i="28" s="1"/>
  <c r="AU995" i="28"/>
  <c r="BB995" i="28" s="1"/>
  <c r="AT995" i="28"/>
  <c r="BA995" i="28" s="1"/>
  <c r="AY994" i="28"/>
  <c r="BF994" i="28" s="1"/>
  <c r="AX994" i="28"/>
  <c r="BE994" i="28" s="1"/>
  <c r="AW994" i="28"/>
  <c r="BD994" i="28" s="1"/>
  <c r="AV994" i="28"/>
  <c r="BC994" i="28" s="1"/>
  <c r="AU994" i="28"/>
  <c r="BB994" i="28" s="1"/>
  <c r="AT994" i="28"/>
  <c r="BA994" i="28" s="1"/>
  <c r="AX993" i="28"/>
  <c r="BE993" i="28" s="1"/>
  <c r="AW993" i="28"/>
  <c r="BD993" i="28" s="1"/>
  <c r="AV993" i="28"/>
  <c r="BC993" i="28" s="1"/>
  <c r="AU993" i="28"/>
  <c r="BB993" i="28" s="1"/>
  <c r="AT993" i="28"/>
  <c r="BA993" i="28" s="1"/>
  <c r="AX992" i="28"/>
  <c r="BE992" i="28" s="1"/>
  <c r="AW992" i="28"/>
  <c r="BD992" i="28" s="1"/>
  <c r="AV992" i="28"/>
  <c r="BC992" i="28" s="1"/>
  <c r="AU992" i="28"/>
  <c r="BB992" i="28" s="1"/>
  <c r="AT992" i="28"/>
  <c r="BA992" i="28" s="1"/>
  <c r="AX991" i="28"/>
  <c r="BE991" i="28" s="1"/>
  <c r="AW991" i="28"/>
  <c r="BD991" i="28" s="1"/>
  <c r="AV991" i="28"/>
  <c r="BC991" i="28" s="1"/>
  <c r="AU991" i="28"/>
  <c r="BB991" i="28" s="1"/>
  <c r="AT991" i="28"/>
  <c r="BA991" i="28" s="1"/>
  <c r="AX990" i="28"/>
  <c r="BE990" i="28" s="1"/>
  <c r="AW990" i="28"/>
  <c r="BD990" i="28" s="1"/>
  <c r="AV990" i="28"/>
  <c r="BC990" i="28" s="1"/>
  <c r="AU990" i="28"/>
  <c r="BB990" i="28" s="1"/>
  <c r="AT990" i="28"/>
  <c r="BA990" i="28" s="1"/>
  <c r="AY989" i="28"/>
  <c r="BF989" i="28" s="1"/>
  <c r="AX989" i="28"/>
  <c r="BE989" i="28" s="1"/>
  <c r="AW989" i="28"/>
  <c r="BD989" i="28" s="1"/>
  <c r="AV989" i="28"/>
  <c r="BC989" i="28" s="1"/>
  <c r="AU989" i="28"/>
  <c r="BB989" i="28" s="1"/>
  <c r="AT989" i="28"/>
  <c r="BA989" i="28" s="1"/>
  <c r="AY988" i="28"/>
  <c r="BF988" i="28" s="1"/>
  <c r="AX988" i="28"/>
  <c r="BE988" i="28" s="1"/>
  <c r="AW988" i="28"/>
  <c r="BD988" i="28" s="1"/>
  <c r="AV988" i="28"/>
  <c r="BC988" i="28" s="1"/>
  <c r="AU988" i="28"/>
  <c r="BB988" i="28" s="1"/>
  <c r="AT988" i="28"/>
  <c r="BA988" i="28" s="1"/>
  <c r="AY987" i="28"/>
  <c r="BF987" i="28" s="1"/>
  <c r="AX987" i="28"/>
  <c r="BE987" i="28" s="1"/>
  <c r="AW987" i="28"/>
  <c r="BD987" i="28" s="1"/>
  <c r="AV987" i="28"/>
  <c r="BC987" i="28" s="1"/>
  <c r="AU987" i="28"/>
  <c r="BB987" i="28" s="1"/>
  <c r="AT987" i="28"/>
  <c r="BA987" i="28" s="1"/>
  <c r="AY986" i="28"/>
  <c r="BF986" i="28" s="1"/>
  <c r="AX986" i="28"/>
  <c r="BE986" i="28" s="1"/>
  <c r="AW986" i="28"/>
  <c r="BD986" i="28" s="1"/>
  <c r="AV986" i="28"/>
  <c r="BC986" i="28" s="1"/>
  <c r="AU986" i="28"/>
  <c r="BB986" i="28" s="1"/>
  <c r="AT986" i="28"/>
  <c r="BA986" i="28" s="1"/>
  <c r="AX985" i="28"/>
  <c r="BE985" i="28" s="1"/>
  <c r="AW985" i="28"/>
  <c r="BD985" i="28" s="1"/>
  <c r="AV985" i="28"/>
  <c r="BC985" i="28" s="1"/>
  <c r="AU985" i="28"/>
  <c r="BB985" i="28" s="1"/>
  <c r="AT985" i="28"/>
  <c r="BA985" i="28" s="1"/>
  <c r="BC984" i="28"/>
  <c r="AX984" i="28"/>
  <c r="BE984" i="28" s="1"/>
  <c r="AW984" i="28"/>
  <c r="BD984" i="28" s="1"/>
  <c r="AV984" i="28"/>
  <c r="AU984" i="28"/>
  <c r="BB984" i="28" s="1"/>
  <c r="AT984" i="28"/>
  <c r="BA984" i="28" s="1"/>
  <c r="BB983" i="28"/>
  <c r="AX983" i="28"/>
  <c r="BE983" i="28" s="1"/>
  <c r="AW983" i="28"/>
  <c r="BD983" i="28" s="1"/>
  <c r="AV983" i="28"/>
  <c r="BC983" i="28" s="1"/>
  <c r="AU983" i="28"/>
  <c r="AT983" i="28"/>
  <c r="BA983" i="28" s="1"/>
  <c r="AX982" i="28"/>
  <c r="BE982" i="28" s="1"/>
  <c r="AW982" i="28"/>
  <c r="BD982" i="28" s="1"/>
  <c r="AV982" i="28"/>
  <c r="BC982" i="28" s="1"/>
  <c r="AU982" i="28"/>
  <c r="BB982" i="28" s="1"/>
  <c r="AT982" i="28"/>
  <c r="BA982" i="28" s="1"/>
  <c r="AY981" i="28"/>
  <c r="BF981" i="28" s="1"/>
  <c r="AX981" i="28"/>
  <c r="BE981" i="28" s="1"/>
  <c r="AW981" i="28"/>
  <c r="BD981" i="28" s="1"/>
  <c r="AV981" i="28"/>
  <c r="BC981" i="28" s="1"/>
  <c r="AU981" i="28"/>
  <c r="BB981" i="28" s="1"/>
  <c r="AT981" i="28"/>
  <c r="BA981" i="28" s="1"/>
  <c r="AY980" i="28"/>
  <c r="BF980" i="28" s="1"/>
  <c r="AX980" i="28"/>
  <c r="BE980" i="28" s="1"/>
  <c r="AW980" i="28"/>
  <c r="BD980" i="28" s="1"/>
  <c r="AV980" i="28"/>
  <c r="BC980" i="28" s="1"/>
  <c r="AU980" i="28"/>
  <c r="BB980" i="28" s="1"/>
  <c r="AT980" i="28"/>
  <c r="BA980" i="28" s="1"/>
  <c r="AY979" i="28"/>
  <c r="BF979" i="28" s="1"/>
  <c r="AX979" i="28"/>
  <c r="BE979" i="28" s="1"/>
  <c r="AW979" i="28"/>
  <c r="BD979" i="28" s="1"/>
  <c r="AV979" i="28"/>
  <c r="BC979" i="28" s="1"/>
  <c r="AU979" i="28"/>
  <c r="BB979" i="28" s="1"/>
  <c r="AT979" i="28"/>
  <c r="BA979" i="28" s="1"/>
  <c r="AY978" i="28"/>
  <c r="BF978" i="28" s="1"/>
  <c r="AX978" i="28"/>
  <c r="BE978" i="28" s="1"/>
  <c r="AW978" i="28"/>
  <c r="BD978" i="28" s="1"/>
  <c r="AV978" i="28"/>
  <c r="BC978" i="28" s="1"/>
  <c r="AU978" i="28"/>
  <c r="BB978" i="28" s="1"/>
  <c r="AT978" i="28"/>
  <c r="BA978" i="28" s="1"/>
  <c r="AY977" i="28"/>
  <c r="BF977" i="28" s="1"/>
  <c r="AX977" i="28"/>
  <c r="BE977" i="28" s="1"/>
  <c r="AW977" i="28"/>
  <c r="BD977" i="28" s="1"/>
  <c r="AV977" i="28"/>
  <c r="BC977" i="28" s="1"/>
  <c r="AU977" i="28"/>
  <c r="BB977" i="28" s="1"/>
  <c r="AT977" i="28"/>
  <c r="BA977" i="28" s="1"/>
  <c r="AX976" i="28"/>
  <c r="BE976" i="28" s="1"/>
  <c r="AW976" i="28"/>
  <c r="BD976" i="28" s="1"/>
  <c r="AV976" i="28"/>
  <c r="BC976" i="28" s="1"/>
  <c r="AU976" i="28"/>
  <c r="BB976" i="28" s="1"/>
  <c r="AT976" i="28"/>
  <c r="BA976" i="28" s="1"/>
  <c r="AX975" i="28"/>
  <c r="BE975" i="28" s="1"/>
  <c r="AW975" i="28"/>
  <c r="BD975" i="28" s="1"/>
  <c r="AV975" i="28"/>
  <c r="BC975" i="28" s="1"/>
  <c r="AU975" i="28"/>
  <c r="BB975" i="28" s="1"/>
  <c r="AT975" i="28"/>
  <c r="BA975" i="28" s="1"/>
  <c r="AX974" i="28"/>
  <c r="BE974" i="28" s="1"/>
  <c r="AW974" i="28"/>
  <c r="BD974" i="28" s="1"/>
  <c r="AV974" i="28"/>
  <c r="BC974" i="28" s="1"/>
  <c r="AU974" i="28"/>
  <c r="BB974" i="28" s="1"/>
  <c r="AT974" i="28"/>
  <c r="BA974" i="28" s="1"/>
  <c r="AY973" i="28"/>
  <c r="BF973" i="28" s="1"/>
  <c r="AX973" i="28"/>
  <c r="BE973" i="28" s="1"/>
  <c r="AW973" i="28"/>
  <c r="BD973" i="28" s="1"/>
  <c r="AV973" i="28"/>
  <c r="BC973" i="28" s="1"/>
  <c r="AU973" i="28"/>
  <c r="BB973" i="28" s="1"/>
  <c r="AT973" i="28"/>
  <c r="BA973" i="28" s="1"/>
  <c r="AY972" i="28"/>
  <c r="BF972" i="28" s="1"/>
  <c r="AX972" i="28"/>
  <c r="BE972" i="28" s="1"/>
  <c r="AW972" i="28"/>
  <c r="BD972" i="28" s="1"/>
  <c r="AV972" i="28"/>
  <c r="BC972" i="28" s="1"/>
  <c r="AU972" i="28"/>
  <c r="BB972" i="28" s="1"/>
  <c r="AT972" i="28"/>
  <c r="BA972" i="28" s="1"/>
  <c r="AX971" i="28"/>
  <c r="BE971" i="28" s="1"/>
  <c r="AW971" i="28"/>
  <c r="BD971" i="28" s="1"/>
  <c r="AV971" i="28"/>
  <c r="BC971" i="28" s="1"/>
  <c r="AU971" i="28"/>
  <c r="BB971" i="28" s="1"/>
  <c r="AT971" i="28"/>
  <c r="BA971" i="28" s="1"/>
  <c r="AY970" i="28"/>
  <c r="BF970" i="28" s="1"/>
  <c r="AX970" i="28"/>
  <c r="BE970" i="28" s="1"/>
  <c r="AW970" i="28"/>
  <c r="BD970" i="28" s="1"/>
  <c r="AV970" i="28"/>
  <c r="BC970" i="28" s="1"/>
  <c r="AU970" i="28"/>
  <c r="BB970" i="28" s="1"/>
  <c r="AT970" i="28"/>
  <c r="BA970" i="28" s="1"/>
  <c r="AX969" i="28"/>
  <c r="BE969" i="28" s="1"/>
  <c r="AW969" i="28"/>
  <c r="BD969" i="28" s="1"/>
  <c r="AV969" i="28"/>
  <c r="BC969" i="28" s="1"/>
  <c r="AU969" i="28"/>
  <c r="BB969" i="28" s="1"/>
  <c r="AT969" i="28"/>
  <c r="BA969" i="28" s="1"/>
  <c r="AX968" i="28"/>
  <c r="BE968" i="28" s="1"/>
  <c r="AW968" i="28"/>
  <c r="BD968" i="28" s="1"/>
  <c r="AV968" i="28"/>
  <c r="BC968" i="28" s="1"/>
  <c r="AU968" i="28"/>
  <c r="BB968" i="28" s="1"/>
  <c r="AT968" i="28"/>
  <c r="BA968" i="28" s="1"/>
  <c r="AX967" i="28"/>
  <c r="BE967" i="28" s="1"/>
  <c r="AW967" i="28"/>
  <c r="BD967" i="28" s="1"/>
  <c r="AV967" i="28"/>
  <c r="BC967" i="28" s="1"/>
  <c r="AU967" i="28"/>
  <c r="BB967" i="28" s="1"/>
  <c r="AT967" i="28"/>
  <c r="BA967" i="28" s="1"/>
  <c r="AX966" i="28"/>
  <c r="BE966" i="28" s="1"/>
  <c r="AW966" i="28"/>
  <c r="BD966" i="28" s="1"/>
  <c r="AV966" i="28"/>
  <c r="BC966" i="28" s="1"/>
  <c r="AU966" i="28"/>
  <c r="BB966" i="28" s="1"/>
  <c r="AT966" i="28"/>
  <c r="BA966" i="28" s="1"/>
  <c r="AY965" i="28"/>
  <c r="BF965" i="28" s="1"/>
  <c r="AX965" i="28"/>
  <c r="BE965" i="28" s="1"/>
  <c r="AW965" i="28"/>
  <c r="BD965" i="28" s="1"/>
  <c r="AV965" i="28"/>
  <c r="BC965" i="28" s="1"/>
  <c r="AU965" i="28"/>
  <c r="BB965" i="28" s="1"/>
  <c r="AT965" i="28"/>
  <c r="BA965" i="28" s="1"/>
  <c r="AY964" i="28"/>
  <c r="BF964" i="28" s="1"/>
  <c r="AX964" i="28"/>
  <c r="BE964" i="28" s="1"/>
  <c r="AW964" i="28"/>
  <c r="BD964" i="28" s="1"/>
  <c r="AV964" i="28"/>
  <c r="BC964" i="28" s="1"/>
  <c r="AU964" i="28"/>
  <c r="BB964" i="28" s="1"/>
  <c r="AT964" i="28"/>
  <c r="BA964" i="28" s="1"/>
  <c r="AX963" i="28"/>
  <c r="BE963" i="28" s="1"/>
  <c r="AW963" i="28"/>
  <c r="BD963" i="28" s="1"/>
  <c r="AV963" i="28"/>
  <c r="BC963" i="28" s="1"/>
  <c r="AU963" i="28"/>
  <c r="BB963" i="28" s="1"/>
  <c r="AT963" i="28"/>
  <c r="BA963" i="28" s="1"/>
  <c r="AY962" i="28"/>
  <c r="BF962" i="28" s="1"/>
  <c r="AX962" i="28"/>
  <c r="BE962" i="28" s="1"/>
  <c r="AW962" i="28"/>
  <c r="BD962" i="28" s="1"/>
  <c r="AV962" i="28"/>
  <c r="BC962" i="28" s="1"/>
  <c r="AU962" i="28"/>
  <c r="BB962" i="28" s="1"/>
  <c r="AT962" i="28"/>
  <c r="BA962" i="28" s="1"/>
  <c r="AX961" i="28"/>
  <c r="BE961" i="28" s="1"/>
  <c r="AW961" i="28"/>
  <c r="BD961" i="28" s="1"/>
  <c r="AV961" i="28"/>
  <c r="BC961" i="28" s="1"/>
  <c r="AU961" i="28"/>
  <c r="BB961" i="28" s="1"/>
  <c r="AT961" i="28"/>
  <c r="BA961" i="28" s="1"/>
  <c r="AX960" i="28"/>
  <c r="BE960" i="28" s="1"/>
  <c r="AW960" i="28"/>
  <c r="BD960" i="28" s="1"/>
  <c r="AV960" i="28"/>
  <c r="BC960" i="28" s="1"/>
  <c r="AU960" i="28"/>
  <c r="BB960" i="28" s="1"/>
  <c r="AT960" i="28"/>
  <c r="BA960" i="28" s="1"/>
  <c r="AX959" i="28"/>
  <c r="BE959" i="28" s="1"/>
  <c r="AW959" i="28"/>
  <c r="BD959" i="28" s="1"/>
  <c r="AV959" i="28"/>
  <c r="BC959" i="28" s="1"/>
  <c r="AU959" i="28"/>
  <c r="BB959" i="28" s="1"/>
  <c r="AT959" i="28"/>
  <c r="BA959" i="28" s="1"/>
  <c r="AY958" i="28"/>
  <c r="BF958" i="28" s="1"/>
  <c r="AX958" i="28"/>
  <c r="BE958" i="28" s="1"/>
  <c r="AW958" i="28"/>
  <c r="BD958" i="28" s="1"/>
  <c r="AV958" i="28"/>
  <c r="BC958" i="28" s="1"/>
  <c r="AU958" i="28"/>
  <c r="BB958" i="28" s="1"/>
  <c r="AT958" i="28"/>
  <c r="BA958" i="28" s="1"/>
  <c r="AY957" i="28"/>
  <c r="BF957" i="28" s="1"/>
  <c r="AX957" i="28"/>
  <c r="BE957" i="28" s="1"/>
  <c r="AW957" i="28"/>
  <c r="BD957" i="28" s="1"/>
  <c r="AV957" i="28"/>
  <c r="BC957" i="28" s="1"/>
  <c r="AU957" i="28"/>
  <c r="BB957" i="28" s="1"/>
  <c r="AT957" i="28"/>
  <c r="BA957" i="28" s="1"/>
  <c r="AY956" i="28"/>
  <c r="BF956" i="28" s="1"/>
  <c r="AX956" i="28"/>
  <c r="BE956" i="28" s="1"/>
  <c r="AW956" i="28"/>
  <c r="BD956" i="28" s="1"/>
  <c r="AV956" i="28"/>
  <c r="BC956" i="28" s="1"/>
  <c r="AU956" i="28"/>
  <c r="BB956" i="28" s="1"/>
  <c r="AT956" i="28"/>
  <c r="BA956" i="28" s="1"/>
  <c r="BF955" i="28"/>
  <c r="AX955" i="28"/>
  <c r="BE955" i="28" s="1"/>
  <c r="AW955" i="28"/>
  <c r="BD955" i="28" s="1"/>
  <c r="AV955" i="28"/>
  <c r="BC955" i="28" s="1"/>
  <c r="AU955" i="28"/>
  <c r="BB955" i="28" s="1"/>
  <c r="AT955" i="28"/>
  <c r="BA955" i="28" s="1"/>
  <c r="AY954" i="28"/>
  <c r="BF954" i="28" s="1"/>
  <c r="AX954" i="28"/>
  <c r="BE954" i="28" s="1"/>
  <c r="AW954" i="28"/>
  <c r="BD954" i="28" s="1"/>
  <c r="AV954" i="28"/>
  <c r="BC954" i="28" s="1"/>
  <c r="AU954" i="28"/>
  <c r="BB954" i="28" s="1"/>
  <c r="AT954" i="28"/>
  <c r="BA954" i="28" s="1"/>
  <c r="AY953" i="28"/>
  <c r="BF953" i="28" s="1"/>
  <c r="AX953" i="28"/>
  <c r="BE953" i="28" s="1"/>
  <c r="AW953" i="28"/>
  <c r="BD953" i="28" s="1"/>
  <c r="AV953" i="28"/>
  <c r="BC953" i="28" s="1"/>
  <c r="AU953" i="28"/>
  <c r="BB953" i="28" s="1"/>
  <c r="AT953" i="28"/>
  <c r="BA953" i="28" s="1"/>
  <c r="AX952" i="28"/>
  <c r="BE952" i="28" s="1"/>
  <c r="AW952" i="28"/>
  <c r="BD952" i="28" s="1"/>
  <c r="AV952" i="28"/>
  <c r="BC952" i="28" s="1"/>
  <c r="AU952" i="28"/>
  <c r="BB952" i="28" s="1"/>
  <c r="AT952" i="28"/>
  <c r="BA952" i="28" s="1"/>
  <c r="AX951" i="28"/>
  <c r="BE951" i="28" s="1"/>
  <c r="AW951" i="28"/>
  <c r="BD951" i="28" s="1"/>
  <c r="AV951" i="28"/>
  <c r="BC951" i="28" s="1"/>
  <c r="AU951" i="28"/>
  <c r="BB951" i="28" s="1"/>
  <c r="AT951" i="28"/>
  <c r="BA951" i="28" s="1"/>
  <c r="AX950" i="28"/>
  <c r="BE950" i="28" s="1"/>
  <c r="AW950" i="28"/>
  <c r="BD950" i="28" s="1"/>
  <c r="AV950" i="28"/>
  <c r="BC950" i="28" s="1"/>
  <c r="AU950" i="28"/>
  <c r="BB950" i="28" s="1"/>
  <c r="AT950" i="28"/>
  <c r="BA950" i="28" s="1"/>
  <c r="AY949" i="28"/>
  <c r="BF949" i="28" s="1"/>
  <c r="AX949" i="28"/>
  <c r="BE949" i="28" s="1"/>
  <c r="AW949" i="28"/>
  <c r="BD949" i="28" s="1"/>
  <c r="AV949" i="28"/>
  <c r="BC949" i="28" s="1"/>
  <c r="AU949" i="28"/>
  <c r="BB949" i="28" s="1"/>
  <c r="AT949" i="28"/>
  <c r="BA949" i="28" s="1"/>
  <c r="AY948" i="28"/>
  <c r="BF948" i="28" s="1"/>
  <c r="AX948" i="28"/>
  <c r="BE948" i="28" s="1"/>
  <c r="AW948" i="28"/>
  <c r="BD948" i="28" s="1"/>
  <c r="AV948" i="28"/>
  <c r="BC948" i="28" s="1"/>
  <c r="AU948" i="28"/>
  <c r="BB948" i="28" s="1"/>
  <c r="AT948" i="28"/>
  <c r="BA948" i="28" s="1"/>
  <c r="AY947" i="28"/>
  <c r="BF947" i="28" s="1"/>
  <c r="AX947" i="28"/>
  <c r="BE947" i="28" s="1"/>
  <c r="AW947" i="28"/>
  <c r="BD947" i="28" s="1"/>
  <c r="AV947" i="28"/>
  <c r="BC947" i="28" s="1"/>
  <c r="AU947" i="28"/>
  <c r="BB947" i="28" s="1"/>
  <c r="AT947" i="28"/>
  <c r="BA947" i="28" s="1"/>
  <c r="AY946" i="28"/>
  <c r="BF946" i="28" s="1"/>
  <c r="AX946" i="28"/>
  <c r="BE946" i="28" s="1"/>
  <c r="AW946" i="28"/>
  <c r="BD946" i="28" s="1"/>
  <c r="AV946" i="28"/>
  <c r="BC946" i="28" s="1"/>
  <c r="AU946" i="28"/>
  <c r="BB946" i="28" s="1"/>
  <c r="AT946" i="28"/>
  <c r="BA946" i="28" s="1"/>
  <c r="AY945" i="28"/>
  <c r="BF945" i="28" s="1"/>
  <c r="AX945" i="28"/>
  <c r="BE945" i="28" s="1"/>
  <c r="AW945" i="28"/>
  <c r="BD945" i="28" s="1"/>
  <c r="AV945" i="28"/>
  <c r="BC945" i="28" s="1"/>
  <c r="AU945" i="28"/>
  <c r="BB945" i="28" s="1"/>
  <c r="AT945" i="28"/>
  <c r="BA945" i="28" s="1"/>
  <c r="AX944" i="28"/>
  <c r="BE944" i="28" s="1"/>
  <c r="AW944" i="28"/>
  <c r="BD944" i="28" s="1"/>
  <c r="AV944" i="28"/>
  <c r="BC944" i="28" s="1"/>
  <c r="AU944" i="28"/>
  <c r="BB944" i="28" s="1"/>
  <c r="AT944" i="28"/>
  <c r="BA944" i="28" s="1"/>
  <c r="AY943" i="28"/>
  <c r="BF943" i="28" s="1"/>
  <c r="AX943" i="28"/>
  <c r="BE943" i="28" s="1"/>
  <c r="AW943" i="28"/>
  <c r="BD943" i="28" s="1"/>
  <c r="AV943" i="28"/>
  <c r="BC943" i="28" s="1"/>
  <c r="AU943" i="28"/>
  <c r="BB943" i="28" s="1"/>
  <c r="AT943" i="28"/>
  <c r="BA943" i="28" s="1"/>
  <c r="AX942" i="28"/>
  <c r="BE942" i="28" s="1"/>
  <c r="AW942" i="28"/>
  <c r="BD942" i="28" s="1"/>
  <c r="AV942" i="28"/>
  <c r="BC942" i="28" s="1"/>
  <c r="AU942" i="28"/>
  <c r="BB942" i="28" s="1"/>
  <c r="AT942" i="28"/>
  <c r="BA942" i="28" s="1"/>
  <c r="AY941" i="28"/>
  <c r="BF941" i="28" s="1"/>
  <c r="AX941" i="28"/>
  <c r="BE941" i="28" s="1"/>
  <c r="AW941" i="28"/>
  <c r="BD941" i="28" s="1"/>
  <c r="AV941" i="28"/>
  <c r="BC941" i="28" s="1"/>
  <c r="AU941" i="28"/>
  <c r="BB941" i="28" s="1"/>
  <c r="AT941" i="28"/>
  <c r="BA941" i="28" s="1"/>
  <c r="AY940" i="28"/>
  <c r="BF940" i="28" s="1"/>
  <c r="AX940" i="28"/>
  <c r="BE940" i="28" s="1"/>
  <c r="AW940" i="28"/>
  <c r="BD940" i="28" s="1"/>
  <c r="AV940" i="28"/>
  <c r="BC940" i="28" s="1"/>
  <c r="AU940" i="28"/>
  <c r="BB940" i="28" s="1"/>
  <c r="AT940" i="28"/>
  <c r="BA940" i="28" s="1"/>
  <c r="AX939" i="28"/>
  <c r="BE939" i="28" s="1"/>
  <c r="AW939" i="28"/>
  <c r="BD939" i="28" s="1"/>
  <c r="AV939" i="28"/>
  <c r="BC939" i="28" s="1"/>
  <c r="AU939" i="28"/>
  <c r="BB939" i="28" s="1"/>
  <c r="AT939" i="28"/>
  <c r="BA939" i="28" s="1"/>
  <c r="AY938" i="28"/>
  <c r="BF938" i="28" s="1"/>
  <c r="AX938" i="28"/>
  <c r="BE938" i="28" s="1"/>
  <c r="AW938" i="28"/>
  <c r="BD938" i="28" s="1"/>
  <c r="AV938" i="28"/>
  <c r="BC938" i="28" s="1"/>
  <c r="AU938" i="28"/>
  <c r="BB938" i="28" s="1"/>
  <c r="AT938" i="28"/>
  <c r="BA938" i="28" s="1"/>
  <c r="AX937" i="28"/>
  <c r="BE937" i="28" s="1"/>
  <c r="AW937" i="28"/>
  <c r="BD937" i="28" s="1"/>
  <c r="AV937" i="28"/>
  <c r="BC937" i="28" s="1"/>
  <c r="AU937" i="28"/>
  <c r="BB937" i="28" s="1"/>
  <c r="AT937" i="28"/>
  <c r="BA937" i="28" s="1"/>
  <c r="AX936" i="28"/>
  <c r="BE936" i="28" s="1"/>
  <c r="AW936" i="28"/>
  <c r="BD936" i="28" s="1"/>
  <c r="AV936" i="28"/>
  <c r="BC936" i="28" s="1"/>
  <c r="AU936" i="28"/>
  <c r="BB936" i="28" s="1"/>
  <c r="AT936" i="28"/>
  <c r="BA936" i="28" s="1"/>
  <c r="AX935" i="28"/>
  <c r="BE935" i="28" s="1"/>
  <c r="AW935" i="28"/>
  <c r="BD935" i="28" s="1"/>
  <c r="AV935" i="28"/>
  <c r="BC935" i="28" s="1"/>
  <c r="AU935" i="28"/>
  <c r="BB935" i="28" s="1"/>
  <c r="AT935" i="28"/>
  <c r="BA935" i="28" s="1"/>
  <c r="AX934" i="28"/>
  <c r="BE934" i="28" s="1"/>
  <c r="AW934" i="28"/>
  <c r="BD934" i="28" s="1"/>
  <c r="AV934" i="28"/>
  <c r="BC934" i="28" s="1"/>
  <c r="AU934" i="28"/>
  <c r="BB934" i="28" s="1"/>
  <c r="AT934" i="28"/>
  <c r="BA934" i="28" s="1"/>
  <c r="AY933" i="28"/>
  <c r="BF933" i="28" s="1"/>
  <c r="AX933" i="28"/>
  <c r="BE933" i="28" s="1"/>
  <c r="AW933" i="28"/>
  <c r="BD933" i="28" s="1"/>
  <c r="AV933" i="28"/>
  <c r="BC933" i="28" s="1"/>
  <c r="AU933" i="28"/>
  <c r="BB933" i="28" s="1"/>
  <c r="AT933" i="28"/>
  <c r="BA933" i="28" s="1"/>
  <c r="AY932" i="28"/>
  <c r="BF932" i="28" s="1"/>
  <c r="AX932" i="28"/>
  <c r="BE932" i="28" s="1"/>
  <c r="AW932" i="28"/>
  <c r="BD932" i="28" s="1"/>
  <c r="AV932" i="28"/>
  <c r="BC932" i="28" s="1"/>
  <c r="AU932" i="28"/>
  <c r="BB932" i="28" s="1"/>
  <c r="AT932" i="28"/>
  <c r="BA932" i="28" s="1"/>
  <c r="AY931" i="28"/>
  <c r="BF931" i="28" s="1"/>
  <c r="AX931" i="28"/>
  <c r="BE931" i="28" s="1"/>
  <c r="AW931" i="28"/>
  <c r="BD931" i="28" s="1"/>
  <c r="AV931" i="28"/>
  <c r="BC931" i="28" s="1"/>
  <c r="AU931" i="28"/>
  <c r="BB931" i="28" s="1"/>
  <c r="AT931" i="28"/>
  <c r="BA931" i="28" s="1"/>
  <c r="AY930" i="28"/>
  <c r="BF930" i="28" s="1"/>
  <c r="AX930" i="28"/>
  <c r="BE930" i="28" s="1"/>
  <c r="AW930" i="28"/>
  <c r="BD930" i="28" s="1"/>
  <c r="AV930" i="28"/>
  <c r="BC930" i="28" s="1"/>
  <c r="AU930" i="28"/>
  <c r="BB930" i="28" s="1"/>
  <c r="AT930" i="28"/>
  <c r="BA930" i="28" s="1"/>
  <c r="AY929" i="28"/>
  <c r="BF929" i="28" s="1"/>
  <c r="AX929" i="28"/>
  <c r="BE929" i="28" s="1"/>
  <c r="AW929" i="28"/>
  <c r="BD929" i="28" s="1"/>
  <c r="AV929" i="28"/>
  <c r="BC929" i="28" s="1"/>
  <c r="AU929" i="28"/>
  <c r="BB929" i="28" s="1"/>
  <c r="AT929" i="28"/>
  <c r="BA929" i="28" s="1"/>
  <c r="AX928" i="28"/>
  <c r="BE928" i="28" s="1"/>
  <c r="AW928" i="28"/>
  <c r="BD928" i="28" s="1"/>
  <c r="AV928" i="28"/>
  <c r="BC928" i="28" s="1"/>
  <c r="AU928" i="28"/>
  <c r="BB928" i="28" s="1"/>
  <c r="AT928" i="28"/>
  <c r="BA928" i="28" s="1"/>
  <c r="AY927" i="28"/>
  <c r="BF927" i="28" s="1"/>
  <c r="AX927" i="28"/>
  <c r="BE927" i="28" s="1"/>
  <c r="AW927" i="28"/>
  <c r="BD927" i="28" s="1"/>
  <c r="AV927" i="28"/>
  <c r="BC927" i="28" s="1"/>
  <c r="AU927" i="28"/>
  <c r="BB927" i="28" s="1"/>
  <c r="AT927" i="28"/>
  <c r="BA927" i="28" s="1"/>
  <c r="AX926" i="28"/>
  <c r="BE926" i="28" s="1"/>
  <c r="AW926" i="28"/>
  <c r="BD926" i="28" s="1"/>
  <c r="AV926" i="28"/>
  <c r="BC926" i="28" s="1"/>
  <c r="AU926" i="28"/>
  <c r="BB926" i="28" s="1"/>
  <c r="AT926" i="28"/>
  <c r="BA926" i="28" s="1"/>
  <c r="AY925" i="28"/>
  <c r="BF925" i="28" s="1"/>
  <c r="AX925" i="28"/>
  <c r="BE925" i="28" s="1"/>
  <c r="AW925" i="28"/>
  <c r="BD925" i="28" s="1"/>
  <c r="AV925" i="28"/>
  <c r="BC925" i="28" s="1"/>
  <c r="AU925" i="28"/>
  <c r="BB925" i="28" s="1"/>
  <c r="AT925" i="28"/>
  <c r="BA925" i="28" s="1"/>
  <c r="AY924" i="28"/>
  <c r="BF924" i="28" s="1"/>
  <c r="AX924" i="28"/>
  <c r="BE924" i="28" s="1"/>
  <c r="AW924" i="28"/>
  <c r="BD924" i="28" s="1"/>
  <c r="AV924" i="28"/>
  <c r="BC924" i="28" s="1"/>
  <c r="AU924" i="28"/>
  <c r="BB924" i="28" s="1"/>
  <c r="AT924" i="28"/>
  <c r="BA924" i="28" s="1"/>
  <c r="AX923" i="28"/>
  <c r="BE923" i="28" s="1"/>
  <c r="AW923" i="28"/>
  <c r="BD923" i="28" s="1"/>
  <c r="AV923" i="28"/>
  <c r="BC923" i="28" s="1"/>
  <c r="AU923" i="28"/>
  <c r="BB923" i="28" s="1"/>
  <c r="AT923" i="28"/>
  <c r="BA923" i="28" s="1"/>
  <c r="AY922" i="28"/>
  <c r="BF922" i="28" s="1"/>
  <c r="AX922" i="28"/>
  <c r="BE922" i="28" s="1"/>
  <c r="AW922" i="28"/>
  <c r="BD922" i="28" s="1"/>
  <c r="AV922" i="28"/>
  <c r="BC922" i="28" s="1"/>
  <c r="AU922" i="28"/>
  <c r="BB922" i="28" s="1"/>
  <c r="AT922" i="28"/>
  <c r="BA922" i="28" s="1"/>
  <c r="AY921" i="28"/>
  <c r="BF921" i="28" s="1"/>
  <c r="AX921" i="28"/>
  <c r="BE921" i="28" s="1"/>
  <c r="AW921" i="28"/>
  <c r="BD921" i="28" s="1"/>
  <c r="AV921" i="28"/>
  <c r="BC921" i="28" s="1"/>
  <c r="AU921" i="28"/>
  <c r="BB921" i="28" s="1"/>
  <c r="AT921" i="28"/>
  <c r="BA921" i="28" s="1"/>
  <c r="AX920" i="28"/>
  <c r="BE920" i="28" s="1"/>
  <c r="AW920" i="28"/>
  <c r="BD920" i="28" s="1"/>
  <c r="AV920" i="28"/>
  <c r="BC920" i="28" s="1"/>
  <c r="AU920" i="28"/>
  <c r="BB920" i="28" s="1"/>
  <c r="AT920" i="28"/>
  <c r="BA920" i="28" s="1"/>
  <c r="AY919" i="28"/>
  <c r="BF919" i="28" s="1"/>
  <c r="AX919" i="28"/>
  <c r="BE919" i="28" s="1"/>
  <c r="AW919" i="28"/>
  <c r="BD919" i="28" s="1"/>
  <c r="AV919" i="28"/>
  <c r="BC919" i="28" s="1"/>
  <c r="AU919" i="28"/>
  <c r="BB919" i="28" s="1"/>
  <c r="AT919" i="28"/>
  <c r="BA919" i="28" s="1"/>
  <c r="AX918" i="28"/>
  <c r="BE918" i="28" s="1"/>
  <c r="AW918" i="28"/>
  <c r="BD918" i="28" s="1"/>
  <c r="AV918" i="28"/>
  <c r="BC918" i="28" s="1"/>
  <c r="AU918" i="28"/>
  <c r="BB918" i="28" s="1"/>
  <c r="AT918" i="28"/>
  <c r="BA918" i="28" s="1"/>
  <c r="AY917" i="28"/>
  <c r="BF917" i="28" s="1"/>
  <c r="AX917" i="28"/>
  <c r="BE917" i="28" s="1"/>
  <c r="AW917" i="28"/>
  <c r="BD917" i="28" s="1"/>
  <c r="AV917" i="28"/>
  <c r="BC917" i="28" s="1"/>
  <c r="AU917" i="28"/>
  <c r="BB917" i="28" s="1"/>
  <c r="AT917" i="28"/>
  <c r="BA917" i="28" s="1"/>
  <c r="AY916" i="28"/>
  <c r="BF916" i="28" s="1"/>
  <c r="AX916" i="28"/>
  <c r="BE916" i="28" s="1"/>
  <c r="AW916" i="28"/>
  <c r="BD916" i="28" s="1"/>
  <c r="AV916" i="28"/>
  <c r="BC916" i="28" s="1"/>
  <c r="AU916" i="28"/>
  <c r="BB916" i="28" s="1"/>
  <c r="AT916" i="28"/>
  <c r="BA916" i="28" s="1"/>
  <c r="AX915" i="28"/>
  <c r="BE915" i="28" s="1"/>
  <c r="AW915" i="28"/>
  <c r="BD915" i="28" s="1"/>
  <c r="AV915" i="28"/>
  <c r="BC915" i="28" s="1"/>
  <c r="AU915" i="28"/>
  <c r="BB915" i="28" s="1"/>
  <c r="AT915" i="28"/>
  <c r="BA915" i="28" s="1"/>
  <c r="AY914" i="28"/>
  <c r="BF914" i="28" s="1"/>
  <c r="AX914" i="28"/>
  <c r="BE914" i="28" s="1"/>
  <c r="AW914" i="28"/>
  <c r="BD914" i="28" s="1"/>
  <c r="AV914" i="28"/>
  <c r="BC914" i="28" s="1"/>
  <c r="AU914" i="28"/>
  <c r="BB914" i="28" s="1"/>
  <c r="AT914" i="28"/>
  <c r="BA914" i="28" s="1"/>
  <c r="AY913" i="28"/>
  <c r="BF913" i="28" s="1"/>
  <c r="AX913" i="28"/>
  <c r="BE913" i="28" s="1"/>
  <c r="AW913" i="28"/>
  <c r="BD913" i="28" s="1"/>
  <c r="AV913" i="28"/>
  <c r="BC913" i="28" s="1"/>
  <c r="AU913" i="28"/>
  <c r="BB913" i="28" s="1"/>
  <c r="AT913" i="28"/>
  <c r="BA913" i="28" s="1"/>
  <c r="AX912" i="28"/>
  <c r="BE912" i="28" s="1"/>
  <c r="AW912" i="28"/>
  <c r="BD912" i="28" s="1"/>
  <c r="AV912" i="28"/>
  <c r="BC912" i="28" s="1"/>
  <c r="AU912" i="28"/>
  <c r="BB912" i="28" s="1"/>
  <c r="AT912" i="28"/>
  <c r="BA912" i="28" s="1"/>
  <c r="AY911" i="28"/>
  <c r="BF911" i="28" s="1"/>
  <c r="AX911" i="28"/>
  <c r="BE911" i="28" s="1"/>
  <c r="AW911" i="28"/>
  <c r="BD911" i="28" s="1"/>
  <c r="AV911" i="28"/>
  <c r="BC911" i="28" s="1"/>
  <c r="AU911" i="28"/>
  <c r="BB911" i="28" s="1"/>
  <c r="AT911" i="28"/>
  <c r="BA911" i="28" s="1"/>
  <c r="AX910" i="28"/>
  <c r="BE910" i="28" s="1"/>
  <c r="AW910" i="28"/>
  <c r="BD910" i="28" s="1"/>
  <c r="AV910" i="28"/>
  <c r="BC910" i="28" s="1"/>
  <c r="AU910" i="28"/>
  <c r="BB910" i="28" s="1"/>
  <c r="AT910" i="28"/>
  <c r="BA910" i="28" s="1"/>
  <c r="AY909" i="28"/>
  <c r="BF909" i="28" s="1"/>
  <c r="AX909" i="28"/>
  <c r="BE909" i="28" s="1"/>
  <c r="AW909" i="28"/>
  <c r="BD909" i="28" s="1"/>
  <c r="AV909" i="28"/>
  <c r="BC909" i="28" s="1"/>
  <c r="AU909" i="28"/>
  <c r="BB909" i="28" s="1"/>
  <c r="AT909" i="28"/>
  <c r="BA909" i="28" s="1"/>
  <c r="AY908" i="28"/>
  <c r="BF908" i="28" s="1"/>
  <c r="AX908" i="28"/>
  <c r="BE908" i="28" s="1"/>
  <c r="AW908" i="28"/>
  <c r="BD908" i="28" s="1"/>
  <c r="AV908" i="28"/>
  <c r="BC908" i="28" s="1"/>
  <c r="AU908" i="28"/>
  <c r="BB908" i="28" s="1"/>
  <c r="AT908" i="28"/>
  <c r="BA908" i="28" s="1"/>
  <c r="AY907" i="28"/>
  <c r="BF907" i="28" s="1"/>
  <c r="AX907" i="28"/>
  <c r="BE907" i="28" s="1"/>
  <c r="AW907" i="28"/>
  <c r="BD907" i="28" s="1"/>
  <c r="AV907" i="28"/>
  <c r="BC907" i="28" s="1"/>
  <c r="AU907" i="28"/>
  <c r="BB907" i="28" s="1"/>
  <c r="AT907" i="28"/>
  <c r="BA907" i="28" s="1"/>
  <c r="AY906" i="28"/>
  <c r="BF906" i="28" s="1"/>
  <c r="AX906" i="28"/>
  <c r="BE906" i="28" s="1"/>
  <c r="AW906" i="28"/>
  <c r="BD906" i="28" s="1"/>
  <c r="AV906" i="28"/>
  <c r="BC906" i="28" s="1"/>
  <c r="AU906" i="28"/>
  <c r="BB906" i="28" s="1"/>
  <c r="AT906" i="28"/>
  <c r="BA906" i="28" s="1"/>
  <c r="AX905" i="28"/>
  <c r="BE905" i="28" s="1"/>
  <c r="AW905" i="28"/>
  <c r="BD905" i="28" s="1"/>
  <c r="AV905" i="28"/>
  <c r="BC905" i="28" s="1"/>
  <c r="AU905" i="28"/>
  <c r="BB905" i="28" s="1"/>
  <c r="AT905" i="28"/>
  <c r="BA905" i="28" s="1"/>
  <c r="AX904" i="28"/>
  <c r="BE904" i="28" s="1"/>
  <c r="AW904" i="28"/>
  <c r="BD904" i="28" s="1"/>
  <c r="AV904" i="28"/>
  <c r="BC904" i="28" s="1"/>
  <c r="AU904" i="28"/>
  <c r="BB904" i="28" s="1"/>
  <c r="AT904" i="28"/>
  <c r="BA904" i="28" s="1"/>
  <c r="AX903" i="28"/>
  <c r="BE903" i="28" s="1"/>
  <c r="AW903" i="28"/>
  <c r="BD903" i="28" s="1"/>
  <c r="AV903" i="28"/>
  <c r="BC903" i="28" s="1"/>
  <c r="AU903" i="28"/>
  <c r="BB903" i="28" s="1"/>
  <c r="AT903" i="28"/>
  <c r="BA903" i="28" s="1"/>
  <c r="AX902" i="28"/>
  <c r="BE902" i="28" s="1"/>
  <c r="AW902" i="28"/>
  <c r="BD902" i="28" s="1"/>
  <c r="AV902" i="28"/>
  <c r="BC902" i="28" s="1"/>
  <c r="AU902" i="28"/>
  <c r="BB902" i="28" s="1"/>
  <c r="AT902" i="28"/>
  <c r="BA902" i="28" s="1"/>
  <c r="AY901" i="28"/>
  <c r="BF901" i="28" s="1"/>
  <c r="AX901" i="28"/>
  <c r="BE901" i="28" s="1"/>
  <c r="AW901" i="28"/>
  <c r="BD901" i="28" s="1"/>
  <c r="AV901" i="28"/>
  <c r="BC901" i="28" s="1"/>
  <c r="AU901" i="28"/>
  <c r="BB901" i="28" s="1"/>
  <c r="AT901" i="28"/>
  <c r="BA901" i="28" s="1"/>
  <c r="AY900" i="28"/>
  <c r="BF900" i="28" s="1"/>
  <c r="AX900" i="28"/>
  <c r="BE900" i="28" s="1"/>
  <c r="AW900" i="28"/>
  <c r="BD900" i="28" s="1"/>
  <c r="AV900" i="28"/>
  <c r="BC900" i="28" s="1"/>
  <c r="AU900" i="28"/>
  <c r="BB900" i="28" s="1"/>
  <c r="AT900" i="28"/>
  <c r="BA900" i="28" s="1"/>
  <c r="AX899" i="28"/>
  <c r="BE899" i="28" s="1"/>
  <c r="AW899" i="28"/>
  <c r="BD899" i="28" s="1"/>
  <c r="AV899" i="28"/>
  <c r="BC899" i="28" s="1"/>
  <c r="AU899" i="28"/>
  <c r="BB899" i="28" s="1"/>
  <c r="AT899" i="28"/>
  <c r="BA899" i="28" s="1"/>
  <c r="AY898" i="28"/>
  <c r="BF898" i="28" s="1"/>
  <c r="AX898" i="28"/>
  <c r="BE898" i="28" s="1"/>
  <c r="AW898" i="28"/>
  <c r="BD898" i="28" s="1"/>
  <c r="AV898" i="28"/>
  <c r="BC898" i="28" s="1"/>
  <c r="AU898" i="28"/>
  <c r="BB898" i="28" s="1"/>
  <c r="AT898" i="28"/>
  <c r="BA898" i="28" s="1"/>
  <c r="AX897" i="28"/>
  <c r="BE897" i="28" s="1"/>
  <c r="AW897" i="28"/>
  <c r="BD897" i="28" s="1"/>
  <c r="AV897" i="28"/>
  <c r="BC897" i="28" s="1"/>
  <c r="AU897" i="28"/>
  <c r="BB897" i="28" s="1"/>
  <c r="AT897" i="28"/>
  <c r="BA897" i="28" s="1"/>
  <c r="AX896" i="28"/>
  <c r="BE896" i="28" s="1"/>
  <c r="AW896" i="28"/>
  <c r="BD896" i="28" s="1"/>
  <c r="AV896" i="28"/>
  <c r="BC896" i="28" s="1"/>
  <c r="AU896" i="28"/>
  <c r="BB896" i="28" s="1"/>
  <c r="AT896" i="28"/>
  <c r="BA896" i="28" s="1"/>
  <c r="AY895" i="28"/>
  <c r="BF895" i="28" s="1"/>
  <c r="AX895" i="28"/>
  <c r="BE895" i="28" s="1"/>
  <c r="AW895" i="28"/>
  <c r="BD895" i="28" s="1"/>
  <c r="AV895" i="28"/>
  <c r="BC895" i="28" s="1"/>
  <c r="AU895" i="28"/>
  <c r="BB895" i="28" s="1"/>
  <c r="AT895" i="28"/>
  <c r="BA895" i="28" s="1"/>
  <c r="AX894" i="28"/>
  <c r="BE894" i="28" s="1"/>
  <c r="AW894" i="28"/>
  <c r="BD894" i="28" s="1"/>
  <c r="AV894" i="28"/>
  <c r="BC894" i="28" s="1"/>
  <c r="AU894" i="28"/>
  <c r="BB894" i="28" s="1"/>
  <c r="AT894" i="28"/>
  <c r="BA894" i="28" s="1"/>
  <c r="AY893" i="28"/>
  <c r="BF893" i="28" s="1"/>
  <c r="AX893" i="28"/>
  <c r="BE893" i="28" s="1"/>
  <c r="AW893" i="28"/>
  <c r="BD893" i="28" s="1"/>
  <c r="AV893" i="28"/>
  <c r="BC893" i="28" s="1"/>
  <c r="AU893" i="28"/>
  <c r="BB893" i="28" s="1"/>
  <c r="AT893" i="28"/>
  <c r="BA893" i="28" s="1"/>
  <c r="AY892" i="28"/>
  <c r="BF892" i="28" s="1"/>
  <c r="AX892" i="28"/>
  <c r="BE892" i="28" s="1"/>
  <c r="AW892" i="28"/>
  <c r="BD892" i="28" s="1"/>
  <c r="AV892" i="28"/>
  <c r="BC892" i="28" s="1"/>
  <c r="AU892" i="28"/>
  <c r="BB892" i="28" s="1"/>
  <c r="AT892" i="28"/>
  <c r="BA892" i="28" s="1"/>
  <c r="AY891" i="28"/>
  <c r="BF891" i="28" s="1"/>
  <c r="AX891" i="28"/>
  <c r="BE891" i="28" s="1"/>
  <c r="AW891" i="28"/>
  <c r="BD891" i="28" s="1"/>
  <c r="AV891" i="28"/>
  <c r="BC891" i="28" s="1"/>
  <c r="AU891" i="28"/>
  <c r="BB891" i="28" s="1"/>
  <c r="AT891" i="28"/>
  <c r="BA891" i="28" s="1"/>
  <c r="AY890" i="28"/>
  <c r="BF890" i="28" s="1"/>
  <c r="AX890" i="28"/>
  <c r="BE890" i="28" s="1"/>
  <c r="AW890" i="28"/>
  <c r="BD890" i="28" s="1"/>
  <c r="AV890" i="28"/>
  <c r="BC890" i="28" s="1"/>
  <c r="AU890" i="28"/>
  <c r="BB890" i="28" s="1"/>
  <c r="AT890" i="28"/>
  <c r="BA890" i="28" s="1"/>
  <c r="AY889" i="28"/>
  <c r="BF889" i="28" s="1"/>
  <c r="AX889" i="28"/>
  <c r="BE889" i="28" s="1"/>
  <c r="AW889" i="28"/>
  <c r="BD889" i="28" s="1"/>
  <c r="AV889" i="28"/>
  <c r="BC889" i="28" s="1"/>
  <c r="AU889" i="28"/>
  <c r="BB889" i="28" s="1"/>
  <c r="AT889" i="28"/>
  <c r="BA889" i="28" s="1"/>
  <c r="AX888" i="28"/>
  <c r="BE888" i="28" s="1"/>
  <c r="AW888" i="28"/>
  <c r="BD888" i="28" s="1"/>
  <c r="AV888" i="28"/>
  <c r="BC888" i="28" s="1"/>
  <c r="AU888" i="28"/>
  <c r="BB888" i="28" s="1"/>
  <c r="AT888" i="28"/>
  <c r="BA888" i="28" s="1"/>
  <c r="AX887" i="28"/>
  <c r="BE887" i="28" s="1"/>
  <c r="AW887" i="28"/>
  <c r="BD887" i="28" s="1"/>
  <c r="AV887" i="28"/>
  <c r="BC887" i="28" s="1"/>
  <c r="AU887" i="28"/>
  <c r="BB887" i="28" s="1"/>
  <c r="AT887" i="28"/>
  <c r="BA887" i="28" s="1"/>
  <c r="AX886" i="28"/>
  <c r="BE886" i="28" s="1"/>
  <c r="AW886" i="28"/>
  <c r="BD886" i="28" s="1"/>
  <c r="AV886" i="28"/>
  <c r="BC886" i="28" s="1"/>
  <c r="AU886" i="28"/>
  <c r="BB886" i="28" s="1"/>
  <c r="AT886" i="28"/>
  <c r="BA886" i="28" s="1"/>
  <c r="AY885" i="28"/>
  <c r="BF885" i="28" s="1"/>
  <c r="AX885" i="28"/>
  <c r="BE885" i="28" s="1"/>
  <c r="AW885" i="28"/>
  <c r="BD885" i="28" s="1"/>
  <c r="AV885" i="28"/>
  <c r="BC885" i="28" s="1"/>
  <c r="AU885" i="28"/>
  <c r="BB885" i="28" s="1"/>
  <c r="AT885" i="28"/>
  <c r="BA885" i="28" s="1"/>
  <c r="AY884" i="28"/>
  <c r="BF884" i="28" s="1"/>
  <c r="AX884" i="28"/>
  <c r="BE884" i="28" s="1"/>
  <c r="AW884" i="28"/>
  <c r="BD884" i="28" s="1"/>
  <c r="AV884" i="28"/>
  <c r="BC884" i="28" s="1"/>
  <c r="AU884" i="28"/>
  <c r="BB884" i="28" s="1"/>
  <c r="AT884" i="28"/>
  <c r="BA884" i="28" s="1"/>
  <c r="AY883" i="28"/>
  <c r="BF883" i="28" s="1"/>
  <c r="AX883" i="28"/>
  <c r="BE883" i="28" s="1"/>
  <c r="AW883" i="28"/>
  <c r="BD883" i="28" s="1"/>
  <c r="AV883" i="28"/>
  <c r="BC883" i="28" s="1"/>
  <c r="AU883" i="28"/>
  <c r="BB883" i="28" s="1"/>
  <c r="AT883" i="28"/>
  <c r="BA883" i="28" s="1"/>
  <c r="AY882" i="28"/>
  <c r="BF882" i="28" s="1"/>
  <c r="AX882" i="28"/>
  <c r="BE882" i="28" s="1"/>
  <c r="AW882" i="28"/>
  <c r="BD882" i="28" s="1"/>
  <c r="AV882" i="28"/>
  <c r="BC882" i="28" s="1"/>
  <c r="AU882" i="28"/>
  <c r="BB882" i="28" s="1"/>
  <c r="AT882" i="28"/>
  <c r="BA882" i="28" s="1"/>
  <c r="AY881" i="28"/>
  <c r="BF881" i="28" s="1"/>
  <c r="AX881" i="28"/>
  <c r="BE881" i="28" s="1"/>
  <c r="AW881" i="28"/>
  <c r="BD881" i="28" s="1"/>
  <c r="AV881" i="28"/>
  <c r="BC881" i="28" s="1"/>
  <c r="AU881" i="28"/>
  <c r="BB881" i="28" s="1"/>
  <c r="AT881" i="28"/>
  <c r="BA881" i="28" s="1"/>
  <c r="AX880" i="28"/>
  <c r="BE880" i="28" s="1"/>
  <c r="AW880" i="28"/>
  <c r="BD880" i="28" s="1"/>
  <c r="AV880" i="28"/>
  <c r="BC880" i="28" s="1"/>
  <c r="AU880" i="28"/>
  <c r="BB880" i="28" s="1"/>
  <c r="AT880" i="28"/>
  <c r="BA880" i="28" s="1"/>
  <c r="AX879" i="28"/>
  <c r="BE879" i="28" s="1"/>
  <c r="AW879" i="28"/>
  <c r="BD879" i="28" s="1"/>
  <c r="AV879" i="28"/>
  <c r="BC879" i="28" s="1"/>
  <c r="AU879" i="28"/>
  <c r="BB879" i="28" s="1"/>
  <c r="AT879" i="28"/>
  <c r="BA879" i="28" s="1"/>
  <c r="AX878" i="28"/>
  <c r="BE878" i="28" s="1"/>
  <c r="AW878" i="28"/>
  <c r="BD878" i="28" s="1"/>
  <c r="AV878" i="28"/>
  <c r="BC878" i="28" s="1"/>
  <c r="AU878" i="28"/>
  <c r="BB878" i="28" s="1"/>
  <c r="AT878" i="28"/>
  <c r="BA878" i="28" s="1"/>
  <c r="AY877" i="28"/>
  <c r="BF877" i="28" s="1"/>
  <c r="AX877" i="28"/>
  <c r="BE877" i="28" s="1"/>
  <c r="AW877" i="28"/>
  <c r="BD877" i="28" s="1"/>
  <c r="AV877" i="28"/>
  <c r="BC877" i="28" s="1"/>
  <c r="AU877" i="28"/>
  <c r="BB877" i="28" s="1"/>
  <c r="AT877" i="28"/>
  <c r="BA877" i="28" s="1"/>
  <c r="AY876" i="28"/>
  <c r="BF876" i="28" s="1"/>
  <c r="AX876" i="28"/>
  <c r="BE876" i="28" s="1"/>
  <c r="AW876" i="28"/>
  <c r="BD876" i="28" s="1"/>
  <c r="AV876" i="28"/>
  <c r="BC876" i="28" s="1"/>
  <c r="AU876" i="28"/>
  <c r="BB876" i="28" s="1"/>
  <c r="AT876" i="28"/>
  <c r="BA876" i="28" s="1"/>
  <c r="AY875" i="28"/>
  <c r="BF875" i="28" s="1"/>
  <c r="AX875" i="28"/>
  <c r="BE875" i="28" s="1"/>
  <c r="AW875" i="28"/>
  <c r="BD875" i="28" s="1"/>
  <c r="AV875" i="28"/>
  <c r="BC875" i="28" s="1"/>
  <c r="AU875" i="28"/>
  <c r="BB875" i="28" s="1"/>
  <c r="AT875" i="28"/>
  <c r="BA875" i="28" s="1"/>
  <c r="AY874" i="28"/>
  <c r="BF874" i="28" s="1"/>
  <c r="AX874" i="28"/>
  <c r="BE874" i="28" s="1"/>
  <c r="AW874" i="28"/>
  <c r="BD874" i="28" s="1"/>
  <c r="AV874" i="28"/>
  <c r="BC874" i="28" s="1"/>
  <c r="AU874" i="28"/>
  <c r="BB874" i="28" s="1"/>
  <c r="AT874" i="28"/>
  <c r="BA874" i="28" s="1"/>
  <c r="AX873" i="28"/>
  <c r="BE873" i="28" s="1"/>
  <c r="AW873" i="28"/>
  <c r="BD873" i="28" s="1"/>
  <c r="AV873" i="28"/>
  <c r="BC873" i="28" s="1"/>
  <c r="AU873" i="28"/>
  <c r="BB873" i="28" s="1"/>
  <c r="AT873" i="28"/>
  <c r="BA873" i="28" s="1"/>
  <c r="AX872" i="28"/>
  <c r="BE872" i="28" s="1"/>
  <c r="AW872" i="28"/>
  <c r="BD872" i="28" s="1"/>
  <c r="AV872" i="28"/>
  <c r="BC872" i="28" s="1"/>
  <c r="AU872" i="28"/>
  <c r="BB872" i="28" s="1"/>
  <c r="AT872" i="28"/>
  <c r="BA872" i="28" s="1"/>
  <c r="AY871" i="28"/>
  <c r="BF871" i="28" s="1"/>
  <c r="AX871" i="28"/>
  <c r="BE871" i="28" s="1"/>
  <c r="AW871" i="28"/>
  <c r="BD871" i="28" s="1"/>
  <c r="AV871" i="28"/>
  <c r="BC871" i="28" s="1"/>
  <c r="AU871" i="28"/>
  <c r="BB871" i="28" s="1"/>
  <c r="AT871" i="28"/>
  <c r="BA871" i="28" s="1"/>
  <c r="AX870" i="28"/>
  <c r="BE870" i="28" s="1"/>
  <c r="AW870" i="28"/>
  <c r="BD870" i="28" s="1"/>
  <c r="AV870" i="28"/>
  <c r="BC870" i="28" s="1"/>
  <c r="AU870" i="28"/>
  <c r="BB870" i="28" s="1"/>
  <c r="AT870" i="28"/>
  <c r="BA870" i="28" s="1"/>
  <c r="AY869" i="28"/>
  <c r="BF869" i="28" s="1"/>
  <c r="AX869" i="28"/>
  <c r="BE869" i="28" s="1"/>
  <c r="AW869" i="28"/>
  <c r="BD869" i="28" s="1"/>
  <c r="AV869" i="28"/>
  <c r="BC869" i="28" s="1"/>
  <c r="AU869" i="28"/>
  <c r="BB869" i="28" s="1"/>
  <c r="AT869" i="28"/>
  <c r="BA869" i="28" s="1"/>
  <c r="AY868" i="28"/>
  <c r="BF868" i="28" s="1"/>
  <c r="AX868" i="28"/>
  <c r="BE868" i="28" s="1"/>
  <c r="AW868" i="28"/>
  <c r="BD868" i="28" s="1"/>
  <c r="AV868" i="28"/>
  <c r="BC868" i="28" s="1"/>
  <c r="AU868" i="28"/>
  <c r="BB868" i="28" s="1"/>
  <c r="AT868" i="28"/>
  <c r="BA868" i="28" s="1"/>
  <c r="AX867" i="28"/>
  <c r="BE867" i="28" s="1"/>
  <c r="AW867" i="28"/>
  <c r="BD867" i="28" s="1"/>
  <c r="AV867" i="28"/>
  <c r="BC867" i="28" s="1"/>
  <c r="AU867" i="28"/>
  <c r="BB867" i="28" s="1"/>
  <c r="AT867" i="28"/>
  <c r="BA867" i="28" s="1"/>
  <c r="AY866" i="28"/>
  <c r="BF866" i="28" s="1"/>
  <c r="AX866" i="28"/>
  <c r="BE866" i="28" s="1"/>
  <c r="AW866" i="28"/>
  <c r="BD866" i="28" s="1"/>
  <c r="AV866" i="28"/>
  <c r="BC866" i="28" s="1"/>
  <c r="AU866" i="28"/>
  <c r="BB866" i="28" s="1"/>
  <c r="AT866" i="28"/>
  <c r="BA866" i="28" s="1"/>
  <c r="AY865" i="28"/>
  <c r="BF865" i="28" s="1"/>
  <c r="AX865" i="28"/>
  <c r="BE865" i="28" s="1"/>
  <c r="AW865" i="28"/>
  <c r="BD865" i="28" s="1"/>
  <c r="AV865" i="28"/>
  <c r="BC865" i="28" s="1"/>
  <c r="AU865" i="28"/>
  <c r="BB865" i="28" s="1"/>
  <c r="AT865" i="28"/>
  <c r="BA865" i="28" s="1"/>
  <c r="AX864" i="28"/>
  <c r="BE864" i="28" s="1"/>
  <c r="AW864" i="28"/>
  <c r="BD864" i="28" s="1"/>
  <c r="AV864" i="28"/>
  <c r="BC864" i="28" s="1"/>
  <c r="AU864" i="28"/>
  <c r="BB864" i="28" s="1"/>
  <c r="AT864" i="28"/>
  <c r="BA864" i="28" s="1"/>
  <c r="AX863" i="28"/>
  <c r="BE863" i="28" s="1"/>
  <c r="AW863" i="28"/>
  <c r="BD863" i="28" s="1"/>
  <c r="AV863" i="28"/>
  <c r="BC863" i="28" s="1"/>
  <c r="AU863" i="28"/>
  <c r="BB863" i="28" s="1"/>
  <c r="AT863" i="28"/>
  <c r="BA863" i="28" s="1"/>
  <c r="AX862" i="28"/>
  <c r="BE862" i="28" s="1"/>
  <c r="AW862" i="28"/>
  <c r="BD862" i="28" s="1"/>
  <c r="AV862" i="28"/>
  <c r="BC862" i="28" s="1"/>
  <c r="AU862" i="28"/>
  <c r="BB862" i="28" s="1"/>
  <c r="AT862" i="28"/>
  <c r="BA862" i="28" s="1"/>
  <c r="AY861" i="28"/>
  <c r="BF861" i="28" s="1"/>
  <c r="AX861" i="28"/>
  <c r="BE861" i="28" s="1"/>
  <c r="AW861" i="28"/>
  <c r="BD861" i="28" s="1"/>
  <c r="AV861" i="28"/>
  <c r="BC861" i="28" s="1"/>
  <c r="AU861" i="28"/>
  <c r="BB861" i="28" s="1"/>
  <c r="AT861" i="28"/>
  <c r="BA861" i="28" s="1"/>
  <c r="AY860" i="28"/>
  <c r="BF860" i="28" s="1"/>
  <c r="AX860" i="28"/>
  <c r="BE860" i="28" s="1"/>
  <c r="AW860" i="28"/>
  <c r="BD860" i="28" s="1"/>
  <c r="AV860" i="28"/>
  <c r="BC860" i="28" s="1"/>
  <c r="AU860" i="28"/>
  <c r="BB860" i="28" s="1"/>
  <c r="AT860" i="28"/>
  <c r="BA860" i="28" s="1"/>
  <c r="AY859" i="28"/>
  <c r="BF859" i="28" s="1"/>
  <c r="AX859" i="28"/>
  <c r="BE859" i="28" s="1"/>
  <c r="AW859" i="28"/>
  <c r="BD859" i="28" s="1"/>
  <c r="AV859" i="28"/>
  <c r="BC859" i="28" s="1"/>
  <c r="AU859" i="28"/>
  <c r="BB859" i="28" s="1"/>
  <c r="AT859" i="28"/>
  <c r="BA859" i="28" s="1"/>
  <c r="AY858" i="28"/>
  <c r="BF858" i="28" s="1"/>
  <c r="AX858" i="28"/>
  <c r="BE858" i="28" s="1"/>
  <c r="AW858" i="28"/>
  <c r="BD858" i="28" s="1"/>
  <c r="AV858" i="28"/>
  <c r="BC858" i="28" s="1"/>
  <c r="AU858" i="28"/>
  <c r="BB858" i="28" s="1"/>
  <c r="AT858" i="28"/>
  <c r="BA858" i="28" s="1"/>
  <c r="AX857" i="28"/>
  <c r="BE857" i="28" s="1"/>
  <c r="AW857" i="28"/>
  <c r="BD857" i="28" s="1"/>
  <c r="AV857" i="28"/>
  <c r="BC857" i="28" s="1"/>
  <c r="AU857" i="28"/>
  <c r="BB857" i="28" s="1"/>
  <c r="AT857" i="28"/>
  <c r="BA857" i="28" s="1"/>
  <c r="AX856" i="28"/>
  <c r="BE856" i="28" s="1"/>
  <c r="AW856" i="28"/>
  <c r="BD856" i="28" s="1"/>
  <c r="AV856" i="28"/>
  <c r="BC856" i="28" s="1"/>
  <c r="AU856" i="28"/>
  <c r="BB856" i="28" s="1"/>
  <c r="AT856" i="28"/>
  <c r="BA856" i="28" s="1"/>
  <c r="AX855" i="28"/>
  <c r="BE855" i="28" s="1"/>
  <c r="AW855" i="28"/>
  <c r="BD855" i="28" s="1"/>
  <c r="AV855" i="28"/>
  <c r="BC855" i="28" s="1"/>
  <c r="AU855" i="28"/>
  <c r="BB855" i="28" s="1"/>
  <c r="AT855" i="28"/>
  <c r="BA855" i="28" s="1"/>
  <c r="AX854" i="28"/>
  <c r="BE854" i="28" s="1"/>
  <c r="AW854" i="28"/>
  <c r="BD854" i="28" s="1"/>
  <c r="AV854" i="28"/>
  <c r="BC854" i="28" s="1"/>
  <c r="AU854" i="28"/>
  <c r="BB854" i="28" s="1"/>
  <c r="AT854" i="28"/>
  <c r="BA854" i="28" s="1"/>
  <c r="AY853" i="28"/>
  <c r="BF853" i="28" s="1"/>
  <c r="AX853" i="28"/>
  <c r="BE853" i="28" s="1"/>
  <c r="AW853" i="28"/>
  <c r="BD853" i="28" s="1"/>
  <c r="AV853" i="28"/>
  <c r="BC853" i="28" s="1"/>
  <c r="AU853" i="28"/>
  <c r="BB853" i="28" s="1"/>
  <c r="AT853" i="28"/>
  <c r="BA853" i="28" s="1"/>
  <c r="AY852" i="28"/>
  <c r="BF852" i="28" s="1"/>
  <c r="AX852" i="28"/>
  <c r="BE852" i="28" s="1"/>
  <c r="AW852" i="28"/>
  <c r="BD852" i="28" s="1"/>
  <c r="AV852" i="28"/>
  <c r="BC852" i="28" s="1"/>
  <c r="AU852" i="28"/>
  <c r="BB852" i="28" s="1"/>
  <c r="AT852" i="28"/>
  <c r="BA852" i="28" s="1"/>
  <c r="AX851" i="28"/>
  <c r="BE851" i="28" s="1"/>
  <c r="AW851" i="28"/>
  <c r="BD851" i="28" s="1"/>
  <c r="AV851" i="28"/>
  <c r="BC851" i="28" s="1"/>
  <c r="AU851" i="28"/>
  <c r="BB851" i="28" s="1"/>
  <c r="AT851" i="28"/>
  <c r="BA851" i="28" s="1"/>
  <c r="AY850" i="28"/>
  <c r="BF850" i="28" s="1"/>
  <c r="AX850" i="28"/>
  <c r="BE850" i="28" s="1"/>
  <c r="AW850" i="28"/>
  <c r="BD850" i="28" s="1"/>
  <c r="AV850" i="28"/>
  <c r="BC850" i="28" s="1"/>
  <c r="AU850" i="28"/>
  <c r="BB850" i="28" s="1"/>
  <c r="AT850" i="28"/>
  <c r="BA850" i="28" s="1"/>
  <c r="AY849" i="28"/>
  <c r="BF849" i="28" s="1"/>
  <c r="AX849" i="28"/>
  <c r="BE849" i="28" s="1"/>
  <c r="AW849" i="28"/>
  <c r="BD849" i="28" s="1"/>
  <c r="AV849" i="28"/>
  <c r="BC849" i="28" s="1"/>
  <c r="AU849" i="28"/>
  <c r="BB849" i="28" s="1"/>
  <c r="AT849" i="28"/>
  <c r="BA849" i="28" s="1"/>
  <c r="AX848" i="28"/>
  <c r="BE848" i="28" s="1"/>
  <c r="AW848" i="28"/>
  <c r="BD848" i="28" s="1"/>
  <c r="AV848" i="28"/>
  <c r="BC848" i="28" s="1"/>
  <c r="AU848" i="28"/>
  <c r="BB848" i="28" s="1"/>
  <c r="AT848" i="28"/>
  <c r="BA848" i="28" s="1"/>
  <c r="AY847" i="28"/>
  <c r="BF847" i="28" s="1"/>
  <c r="AX847" i="28"/>
  <c r="BE847" i="28" s="1"/>
  <c r="AW847" i="28"/>
  <c r="BD847" i="28" s="1"/>
  <c r="AV847" i="28"/>
  <c r="BC847" i="28" s="1"/>
  <c r="AU847" i="28"/>
  <c r="BB847" i="28" s="1"/>
  <c r="AT847" i="28"/>
  <c r="BA847" i="28" s="1"/>
  <c r="AX846" i="28"/>
  <c r="BE846" i="28" s="1"/>
  <c r="AW846" i="28"/>
  <c r="BD846" i="28" s="1"/>
  <c r="AV846" i="28"/>
  <c r="BC846" i="28" s="1"/>
  <c r="AU846" i="28"/>
  <c r="BB846" i="28" s="1"/>
  <c r="AT846" i="28"/>
  <c r="BA846" i="28" s="1"/>
  <c r="AY845" i="28"/>
  <c r="BF845" i="28" s="1"/>
  <c r="AX845" i="28"/>
  <c r="BE845" i="28" s="1"/>
  <c r="AW845" i="28"/>
  <c r="BD845" i="28" s="1"/>
  <c r="AV845" i="28"/>
  <c r="BC845" i="28" s="1"/>
  <c r="AU845" i="28"/>
  <c r="BB845" i="28" s="1"/>
  <c r="AT845" i="28"/>
  <c r="BA845" i="28" s="1"/>
  <c r="AY844" i="28"/>
  <c r="BF844" i="28" s="1"/>
  <c r="AX844" i="28"/>
  <c r="BE844" i="28" s="1"/>
  <c r="AW844" i="28"/>
  <c r="BD844" i="28" s="1"/>
  <c r="AV844" i="28"/>
  <c r="BC844" i="28" s="1"/>
  <c r="AU844" i="28"/>
  <c r="BB844" i="28" s="1"/>
  <c r="AT844" i="28"/>
  <c r="BA844" i="28" s="1"/>
  <c r="AX843" i="28"/>
  <c r="BE843" i="28" s="1"/>
  <c r="AW843" i="28"/>
  <c r="BD843" i="28" s="1"/>
  <c r="AV843" i="28"/>
  <c r="BC843" i="28" s="1"/>
  <c r="AU843" i="28"/>
  <c r="BB843" i="28" s="1"/>
  <c r="AT843" i="28"/>
  <c r="BA843" i="28" s="1"/>
  <c r="AY842" i="28"/>
  <c r="BF842" i="28" s="1"/>
  <c r="AX842" i="28"/>
  <c r="BE842" i="28" s="1"/>
  <c r="AW842" i="28"/>
  <c r="BD842" i="28" s="1"/>
  <c r="AV842" i="28"/>
  <c r="BC842" i="28" s="1"/>
  <c r="AU842" i="28"/>
  <c r="BB842" i="28" s="1"/>
  <c r="AT842" i="28"/>
  <c r="BA842" i="28" s="1"/>
  <c r="AY841" i="28"/>
  <c r="BF841" i="28" s="1"/>
  <c r="AX841" i="28"/>
  <c r="BE841" i="28" s="1"/>
  <c r="AW841" i="28"/>
  <c r="BD841" i="28" s="1"/>
  <c r="AV841" i="28"/>
  <c r="BC841" i="28" s="1"/>
  <c r="AU841" i="28"/>
  <c r="BB841" i="28" s="1"/>
  <c r="AT841" i="28"/>
  <c r="BA841" i="28" s="1"/>
  <c r="AX840" i="28"/>
  <c r="BE840" i="28" s="1"/>
  <c r="AW840" i="28"/>
  <c r="BD840" i="28" s="1"/>
  <c r="AV840" i="28"/>
  <c r="BC840" i="28" s="1"/>
  <c r="AU840" i="28"/>
  <c r="BB840" i="28" s="1"/>
  <c r="AT840" i="28"/>
  <c r="BA840" i="28" s="1"/>
  <c r="AX839" i="28"/>
  <c r="BE839" i="28" s="1"/>
  <c r="AW839" i="28"/>
  <c r="BD839" i="28" s="1"/>
  <c r="AV839" i="28"/>
  <c r="BC839" i="28" s="1"/>
  <c r="AU839" i="28"/>
  <c r="BB839" i="28" s="1"/>
  <c r="AT839" i="28"/>
  <c r="BA839" i="28" s="1"/>
  <c r="AX838" i="28"/>
  <c r="BE838" i="28" s="1"/>
  <c r="AW838" i="28"/>
  <c r="BD838" i="28" s="1"/>
  <c r="AV838" i="28"/>
  <c r="BC838" i="28" s="1"/>
  <c r="AU838" i="28"/>
  <c r="BB838" i="28" s="1"/>
  <c r="AT838" i="28"/>
  <c r="BA838" i="28" s="1"/>
  <c r="AY837" i="28"/>
  <c r="BF837" i="28" s="1"/>
  <c r="AX837" i="28"/>
  <c r="BE837" i="28" s="1"/>
  <c r="AW837" i="28"/>
  <c r="BD837" i="28" s="1"/>
  <c r="AV837" i="28"/>
  <c r="BC837" i="28" s="1"/>
  <c r="AU837" i="28"/>
  <c r="BB837" i="28" s="1"/>
  <c r="AT837" i="28"/>
  <c r="BA837" i="28" s="1"/>
  <c r="AY836" i="28"/>
  <c r="BF836" i="28" s="1"/>
  <c r="AX836" i="28"/>
  <c r="BE836" i="28" s="1"/>
  <c r="AW836" i="28"/>
  <c r="BD836" i="28" s="1"/>
  <c r="AV836" i="28"/>
  <c r="BC836" i="28" s="1"/>
  <c r="AU836" i="28"/>
  <c r="BB836" i="28" s="1"/>
  <c r="AT836" i="28"/>
  <c r="BA836" i="28" s="1"/>
  <c r="AY835" i="28"/>
  <c r="BF835" i="28" s="1"/>
  <c r="AX835" i="28"/>
  <c r="BE835" i="28" s="1"/>
  <c r="AW835" i="28"/>
  <c r="BD835" i="28" s="1"/>
  <c r="AV835" i="28"/>
  <c r="BC835" i="28" s="1"/>
  <c r="AU835" i="28"/>
  <c r="BB835" i="28" s="1"/>
  <c r="AT835" i="28"/>
  <c r="BA835" i="28" s="1"/>
  <c r="AY834" i="28"/>
  <c r="BF834" i="28" s="1"/>
  <c r="AX834" i="28"/>
  <c r="BE834" i="28" s="1"/>
  <c r="AW834" i="28"/>
  <c r="BD834" i="28" s="1"/>
  <c r="AV834" i="28"/>
  <c r="BC834" i="28" s="1"/>
  <c r="AU834" i="28"/>
  <c r="BB834" i="28" s="1"/>
  <c r="AT834" i="28"/>
  <c r="BA834" i="28" s="1"/>
  <c r="AY833" i="28"/>
  <c r="BF833" i="28" s="1"/>
  <c r="AX833" i="28"/>
  <c r="BE833" i="28" s="1"/>
  <c r="AW833" i="28"/>
  <c r="BD833" i="28" s="1"/>
  <c r="AV833" i="28"/>
  <c r="BC833" i="28" s="1"/>
  <c r="AU833" i="28"/>
  <c r="BB833" i="28" s="1"/>
  <c r="AT833" i="28"/>
  <c r="BA833" i="28" s="1"/>
  <c r="AX832" i="28"/>
  <c r="BE832" i="28" s="1"/>
  <c r="AW832" i="28"/>
  <c r="BD832" i="28" s="1"/>
  <c r="AV832" i="28"/>
  <c r="BC832" i="28" s="1"/>
  <c r="AU832" i="28"/>
  <c r="BB832" i="28" s="1"/>
  <c r="AT832" i="28"/>
  <c r="BA832" i="28" s="1"/>
  <c r="AX831" i="28"/>
  <c r="BE831" i="28" s="1"/>
  <c r="AW831" i="28"/>
  <c r="BD831" i="28" s="1"/>
  <c r="AV831" i="28"/>
  <c r="BC831" i="28" s="1"/>
  <c r="AU831" i="28"/>
  <c r="BB831" i="28" s="1"/>
  <c r="AT831" i="28"/>
  <c r="BA831" i="28" s="1"/>
  <c r="AY830" i="28"/>
  <c r="BF830" i="28" s="1"/>
  <c r="AX830" i="28"/>
  <c r="BE830" i="28" s="1"/>
  <c r="AW830" i="28"/>
  <c r="BD830" i="28" s="1"/>
  <c r="AV830" i="28"/>
  <c r="BC830" i="28" s="1"/>
  <c r="AU830" i="28"/>
  <c r="BB830" i="28" s="1"/>
  <c r="AT830" i="28"/>
  <c r="BA830" i="28" s="1"/>
  <c r="AY829" i="28"/>
  <c r="BF829" i="28" s="1"/>
  <c r="AX829" i="28"/>
  <c r="BE829" i="28" s="1"/>
  <c r="AW829" i="28"/>
  <c r="BD829" i="28" s="1"/>
  <c r="AV829" i="28"/>
  <c r="BC829" i="28" s="1"/>
  <c r="AU829" i="28"/>
  <c r="BB829" i="28" s="1"/>
  <c r="AT829" i="28"/>
  <c r="BA829" i="28" s="1"/>
  <c r="AY828" i="28"/>
  <c r="BF828" i="28" s="1"/>
  <c r="AX828" i="28"/>
  <c r="BE828" i="28" s="1"/>
  <c r="AW828" i="28"/>
  <c r="BD828" i="28" s="1"/>
  <c r="AV828" i="28"/>
  <c r="BC828" i="28" s="1"/>
  <c r="AU828" i="28"/>
  <c r="BB828" i="28" s="1"/>
  <c r="AT828" i="28"/>
  <c r="BA828" i="28" s="1"/>
  <c r="AY827" i="28"/>
  <c r="BF827" i="28" s="1"/>
  <c r="AX827" i="28"/>
  <c r="BE827" i="28" s="1"/>
  <c r="AW827" i="28"/>
  <c r="BD827" i="28" s="1"/>
  <c r="AV827" i="28"/>
  <c r="BC827" i="28" s="1"/>
  <c r="AU827" i="28"/>
  <c r="BB827" i="28" s="1"/>
  <c r="AT827" i="28"/>
  <c r="BA827" i="28" s="1"/>
  <c r="AY826" i="28"/>
  <c r="BF826" i="28" s="1"/>
  <c r="AX826" i="28"/>
  <c r="BE826" i="28" s="1"/>
  <c r="AW826" i="28"/>
  <c r="BD826" i="28" s="1"/>
  <c r="AV826" i="28"/>
  <c r="BC826" i="28" s="1"/>
  <c r="AU826" i="28"/>
  <c r="BB826" i="28" s="1"/>
  <c r="AT826" i="28"/>
  <c r="BA826" i="28" s="1"/>
  <c r="AX825" i="28"/>
  <c r="BE825" i="28" s="1"/>
  <c r="AW825" i="28"/>
  <c r="BD825" i="28" s="1"/>
  <c r="AV825" i="28"/>
  <c r="BC825" i="28" s="1"/>
  <c r="AU825" i="28"/>
  <c r="BB825" i="28" s="1"/>
  <c r="AT825" i="28"/>
  <c r="BA825" i="28" s="1"/>
  <c r="AX824" i="28"/>
  <c r="BE824" i="28" s="1"/>
  <c r="AW824" i="28"/>
  <c r="BD824" i="28" s="1"/>
  <c r="AV824" i="28"/>
  <c r="BC824" i="28" s="1"/>
  <c r="AU824" i="28"/>
  <c r="BB824" i="28" s="1"/>
  <c r="AT824" i="28"/>
  <c r="BA824" i="28" s="1"/>
  <c r="AY823" i="28"/>
  <c r="BF823" i="28" s="1"/>
  <c r="AX823" i="28"/>
  <c r="BE823" i="28" s="1"/>
  <c r="AW823" i="28"/>
  <c r="BD823" i="28" s="1"/>
  <c r="AV823" i="28"/>
  <c r="BC823" i="28" s="1"/>
  <c r="AU823" i="28"/>
  <c r="BB823" i="28" s="1"/>
  <c r="AT823" i="28"/>
  <c r="BA823" i="28" s="1"/>
  <c r="AX822" i="28"/>
  <c r="BE822" i="28" s="1"/>
  <c r="AW822" i="28"/>
  <c r="BD822" i="28" s="1"/>
  <c r="AV822" i="28"/>
  <c r="BC822" i="28" s="1"/>
  <c r="AU822" i="28"/>
  <c r="BB822" i="28" s="1"/>
  <c r="AT822" i="28"/>
  <c r="BA822" i="28" s="1"/>
  <c r="AY821" i="28"/>
  <c r="BF821" i="28" s="1"/>
  <c r="AX821" i="28"/>
  <c r="BE821" i="28" s="1"/>
  <c r="AW821" i="28"/>
  <c r="BD821" i="28" s="1"/>
  <c r="AV821" i="28"/>
  <c r="BC821" i="28" s="1"/>
  <c r="AU821" i="28"/>
  <c r="BB821" i="28" s="1"/>
  <c r="AT821" i="28"/>
  <c r="BA821" i="28" s="1"/>
  <c r="AY820" i="28"/>
  <c r="BF820" i="28" s="1"/>
  <c r="AX820" i="28"/>
  <c r="BE820" i="28" s="1"/>
  <c r="AW820" i="28"/>
  <c r="BD820" i="28" s="1"/>
  <c r="AV820" i="28"/>
  <c r="BC820" i="28" s="1"/>
  <c r="AU820" i="28"/>
  <c r="BB820" i="28" s="1"/>
  <c r="AT820" i="28"/>
  <c r="BA820" i="28" s="1"/>
  <c r="AY819" i="28"/>
  <c r="BF819" i="28" s="1"/>
  <c r="AX819" i="28"/>
  <c r="BE819" i="28" s="1"/>
  <c r="AW819" i="28"/>
  <c r="BD819" i="28" s="1"/>
  <c r="AV819" i="28"/>
  <c r="BC819" i="28" s="1"/>
  <c r="AU819" i="28"/>
  <c r="BB819" i="28" s="1"/>
  <c r="AT819" i="28"/>
  <c r="BA819" i="28" s="1"/>
  <c r="AY818" i="28"/>
  <c r="BF818" i="28" s="1"/>
  <c r="AX818" i="28"/>
  <c r="BE818" i="28" s="1"/>
  <c r="AW818" i="28"/>
  <c r="BD818" i="28" s="1"/>
  <c r="AV818" i="28"/>
  <c r="BC818" i="28" s="1"/>
  <c r="AU818" i="28"/>
  <c r="BB818" i="28" s="1"/>
  <c r="AT818" i="28"/>
  <c r="BA818" i="28" s="1"/>
  <c r="AY817" i="28"/>
  <c r="BF817" i="28" s="1"/>
  <c r="AX817" i="28"/>
  <c r="BE817" i="28" s="1"/>
  <c r="AW817" i="28"/>
  <c r="BD817" i="28" s="1"/>
  <c r="AV817" i="28"/>
  <c r="BC817" i="28" s="1"/>
  <c r="AU817" i="28"/>
  <c r="BB817" i="28" s="1"/>
  <c r="AT817" i="28"/>
  <c r="BA817" i="28" s="1"/>
  <c r="AX816" i="28"/>
  <c r="BE816" i="28" s="1"/>
  <c r="AW816" i="28"/>
  <c r="BD816" i="28" s="1"/>
  <c r="AV816" i="28"/>
  <c r="BC816" i="28" s="1"/>
  <c r="AU816" i="28"/>
  <c r="BB816" i="28" s="1"/>
  <c r="AT816" i="28"/>
  <c r="BA816" i="28" s="1"/>
  <c r="AY815" i="28"/>
  <c r="BF815" i="28" s="1"/>
  <c r="AX815" i="28"/>
  <c r="BE815" i="28" s="1"/>
  <c r="AW815" i="28"/>
  <c r="BD815" i="28" s="1"/>
  <c r="AV815" i="28"/>
  <c r="BC815" i="28" s="1"/>
  <c r="AU815" i="28"/>
  <c r="BB815" i="28" s="1"/>
  <c r="AT815" i="28"/>
  <c r="BA815" i="28" s="1"/>
  <c r="AX814" i="28"/>
  <c r="BE814" i="28" s="1"/>
  <c r="AW814" i="28"/>
  <c r="BD814" i="28" s="1"/>
  <c r="AV814" i="28"/>
  <c r="BC814" i="28" s="1"/>
  <c r="AU814" i="28"/>
  <c r="BB814" i="28" s="1"/>
  <c r="AT814" i="28"/>
  <c r="BA814" i="28" s="1"/>
  <c r="AY813" i="28"/>
  <c r="BF813" i="28" s="1"/>
  <c r="AX813" i="28"/>
  <c r="BE813" i="28" s="1"/>
  <c r="AW813" i="28"/>
  <c r="BD813" i="28" s="1"/>
  <c r="AV813" i="28"/>
  <c r="BC813" i="28" s="1"/>
  <c r="AU813" i="28"/>
  <c r="BB813" i="28" s="1"/>
  <c r="AT813" i="28"/>
  <c r="BA813" i="28" s="1"/>
  <c r="AY812" i="28"/>
  <c r="BF812" i="28" s="1"/>
  <c r="AX812" i="28"/>
  <c r="BE812" i="28" s="1"/>
  <c r="AW812" i="28"/>
  <c r="BD812" i="28" s="1"/>
  <c r="AV812" i="28"/>
  <c r="BC812" i="28" s="1"/>
  <c r="AU812" i="28"/>
  <c r="BB812" i="28" s="1"/>
  <c r="AT812" i="28"/>
  <c r="BA812" i="28" s="1"/>
  <c r="AX811" i="28"/>
  <c r="BE811" i="28" s="1"/>
  <c r="AW811" i="28"/>
  <c r="BD811" i="28" s="1"/>
  <c r="AV811" i="28"/>
  <c r="BC811" i="28" s="1"/>
  <c r="AU811" i="28"/>
  <c r="BB811" i="28" s="1"/>
  <c r="AT811" i="28"/>
  <c r="BA811" i="28" s="1"/>
  <c r="AY810" i="28"/>
  <c r="BF810" i="28" s="1"/>
  <c r="AX810" i="28"/>
  <c r="BE810" i="28" s="1"/>
  <c r="AW810" i="28"/>
  <c r="BD810" i="28" s="1"/>
  <c r="AV810" i="28"/>
  <c r="BC810" i="28" s="1"/>
  <c r="AU810" i="28"/>
  <c r="BB810" i="28" s="1"/>
  <c r="AT810" i="28"/>
  <c r="BA810" i="28" s="1"/>
  <c r="AX809" i="28"/>
  <c r="BE809" i="28" s="1"/>
  <c r="AW809" i="28"/>
  <c r="BD809" i="28" s="1"/>
  <c r="AV809" i="28"/>
  <c r="BC809" i="28" s="1"/>
  <c r="AU809" i="28"/>
  <c r="BB809" i="28" s="1"/>
  <c r="AT809" i="28"/>
  <c r="BA809" i="28" s="1"/>
  <c r="AX808" i="28"/>
  <c r="BE808" i="28" s="1"/>
  <c r="AW808" i="28"/>
  <c r="BD808" i="28" s="1"/>
  <c r="AV808" i="28"/>
  <c r="BC808" i="28" s="1"/>
  <c r="AU808" i="28"/>
  <c r="BB808" i="28" s="1"/>
  <c r="AT808" i="28"/>
  <c r="BA808" i="28" s="1"/>
  <c r="AX807" i="28"/>
  <c r="BE807" i="28" s="1"/>
  <c r="AW807" i="28"/>
  <c r="BD807" i="28" s="1"/>
  <c r="AV807" i="28"/>
  <c r="BC807" i="28" s="1"/>
  <c r="AU807" i="28"/>
  <c r="BB807" i="28" s="1"/>
  <c r="AT807" i="28"/>
  <c r="BA807" i="28" s="1"/>
  <c r="AX806" i="28"/>
  <c r="BE806" i="28" s="1"/>
  <c r="AW806" i="28"/>
  <c r="BD806" i="28" s="1"/>
  <c r="AV806" i="28"/>
  <c r="BC806" i="28" s="1"/>
  <c r="AU806" i="28"/>
  <c r="BB806" i="28" s="1"/>
  <c r="AT806" i="28"/>
  <c r="BA806" i="28" s="1"/>
  <c r="AY805" i="28"/>
  <c r="BF805" i="28" s="1"/>
  <c r="AX805" i="28"/>
  <c r="BE805" i="28" s="1"/>
  <c r="AW805" i="28"/>
  <c r="BD805" i="28" s="1"/>
  <c r="AV805" i="28"/>
  <c r="BC805" i="28" s="1"/>
  <c r="AU805" i="28"/>
  <c r="BB805" i="28" s="1"/>
  <c r="AT805" i="28"/>
  <c r="BA805" i="28" s="1"/>
  <c r="AY804" i="28"/>
  <c r="BF804" i="28" s="1"/>
  <c r="AX804" i="28"/>
  <c r="BE804" i="28" s="1"/>
  <c r="AW804" i="28"/>
  <c r="BD804" i="28" s="1"/>
  <c r="AV804" i="28"/>
  <c r="BC804" i="28" s="1"/>
  <c r="AU804" i="28"/>
  <c r="BB804" i="28" s="1"/>
  <c r="AT804" i="28"/>
  <c r="BA804" i="28" s="1"/>
  <c r="AX803" i="28"/>
  <c r="BE803" i="28" s="1"/>
  <c r="AW803" i="28"/>
  <c r="BD803" i="28" s="1"/>
  <c r="AV803" i="28"/>
  <c r="BC803" i="28" s="1"/>
  <c r="AU803" i="28"/>
  <c r="BB803" i="28" s="1"/>
  <c r="AT803" i="28"/>
  <c r="BA803" i="28" s="1"/>
  <c r="AY802" i="28"/>
  <c r="BF802" i="28" s="1"/>
  <c r="AX802" i="28"/>
  <c r="BE802" i="28" s="1"/>
  <c r="AW802" i="28"/>
  <c r="BD802" i="28" s="1"/>
  <c r="AV802" i="28"/>
  <c r="BC802" i="28" s="1"/>
  <c r="AU802" i="28"/>
  <c r="BB802" i="28" s="1"/>
  <c r="AT802" i="28"/>
  <c r="BA802" i="28" s="1"/>
  <c r="AY801" i="28"/>
  <c r="BF801" i="28" s="1"/>
  <c r="AX801" i="28"/>
  <c r="BE801" i="28" s="1"/>
  <c r="AW801" i="28"/>
  <c r="BD801" i="28" s="1"/>
  <c r="AV801" i="28"/>
  <c r="BC801" i="28" s="1"/>
  <c r="AU801" i="28"/>
  <c r="BB801" i="28" s="1"/>
  <c r="AT801" i="28"/>
  <c r="BA801" i="28" s="1"/>
  <c r="AX800" i="28"/>
  <c r="BE800" i="28" s="1"/>
  <c r="AW800" i="28"/>
  <c r="BD800" i="28" s="1"/>
  <c r="AV800" i="28"/>
  <c r="BC800" i="28" s="1"/>
  <c r="AU800" i="28"/>
  <c r="BB800" i="28" s="1"/>
  <c r="AT800" i="28"/>
  <c r="BA800" i="28" s="1"/>
  <c r="AX799" i="28"/>
  <c r="BE799" i="28" s="1"/>
  <c r="AW799" i="28"/>
  <c r="BD799" i="28" s="1"/>
  <c r="AV799" i="28"/>
  <c r="BC799" i="28" s="1"/>
  <c r="AU799" i="28"/>
  <c r="BB799" i="28" s="1"/>
  <c r="AT799" i="28"/>
  <c r="BA799" i="28" s="1"/>
  <c r="AX798" i="28"/>
  <c r="BE798" i="28" s="1"/>
  <c r="AW798" i="28"/>
  <c r="BD798" i="28" s="1"/>
  <c r="AV798" i="28"/>
  <c r="BC798" i="28" s="1"/>
  <c r="AU798" i="28"/>
  <c r="BB798" i="28" s="1"/>
  <c r="AT798" i="28"/>
  <c r="BA798" i="28" s="1"/>
  <c r="AY797" i="28"/>
  <c r="BF797" i="28" s="1"/>
  <c r="AX797" i="28"/>
  <c r="BE797" i="28" s="1"/>
  <c r="AW797" i="28"/>
  <c r="BD797" i="28" s="1"/>
  <c r="AV797" i="28"/>
  <c r="BC797" i="28" s="1"/>
  <c r="AU797" i="28"/>
  <c r="BB797" i="28" s="1"/>
  <c r="AT797" i="28"/>
  <c r="BA797" i="28" s="1"/>
  <c r="AY796" i="28"/>
  <c r="BF796" i="28" s="1"/>
  <c r="AX796" i="28"/>
  <c r="BE796" i="28" s="1"/>
  <c r="AW796" i="28"/>
  <c r="BD796" i="28" s="1"/>
  <c r="AV796" i="28"/>
  <c r="BC796" i="28" s="1"/>
  <c r="AU796" i="28"/>
  <c r="BB796" i="28" s="1"/>
  <c r="AT796" i="28"/>
  <c r="BA796" i="28" s="1"/>
  <c r="AX795" i="28"/>
  <c r="BE795" i="28" s="1"/>
  <c r="AW795" i="28"/>
  <c r="BD795" i="28" s="1"/>
  <c r="AV795" i="28"/>
  <c r="BC795" i="28" s="1"/>
  <c r="AU795" i="28"/>
  <c r="BB795" i="28" s="1"/>
  <c r="AT795" i="28"/>
  <c r="BA795" i="28" s="1"/>
  <c r="AY794" i="28"/>
  <c r="BF794" i="28" s="1"/>
  <c r="AX794" i="28"/>
  <c r="BE794" i="28" s="1"/>
  <c r="AW794" i="28"/>
  <c r="BD794" i="28" s="1"/>
  <c r="AV794" i="28"/>
  <c r="BC794" i="28" s="1"/>
  <c r="AU794" i="28"/>
  <c r="BB794" i="28" s="1"/>
  <c r="AT794" i="28"/>
  <c r="BA794" i="28" s="1"/>
  <c r="AY793" i="28"/>
  <c r="BF793" i="28" s="1"/>
  <c r="AX793" i="28"/>
  <c r="BE793" i="28" s="1"/>
  <c r="AW793" i="28"/>
  <c r="BD793" i="28" s="1"/>
  <c r="AV793" i="28"/>
  <c r="BC793" i="28" s="1"/>
  <c r="AU793" i="28"/>
  <c r="BB793" i="28" s="1"/>
  <c r="AT793" i="28"/>
  <c r="BA793" i="28" s="1"/>
  <c r="AX792" i="28"/>
  <c r="BE792" i="28" s="1"/>
  <c r="AW792" i="28"/>
  <c r="BD792" i="28" s="1"/>
  <c r="AV792" i="28"/>
  <c r="BC792" i="28" s="1"/>
  <c r="AU792" i="28"/>
  <c r="BB792" i="28" s="1"/>
  <c r="AT792" i="28"/>
  <c r="BA792" i="28" s="1"/>
  <c r="AY791" i="28"/>
  <c r="BF791" i="28" s="1"/>
  <c r="AX791" i="28"/>
  <c r="BE791" i="28" s="1"/>
  <c r="AW791" i="28"/>
  <c r="BD791" i="28" s="1"/>
  <c r="AV791" i="28"/>
  <c r="BC791" i="28" s="1"/>
  <c r="AU791" i="28"/>
  <c r="BB791" i="28" s="1"/>
  <c r="AT791" i="28"/>
  <c r="BA791" i="28" s="1"/>
  <c r="AX790" i="28"/>
  <c r="BE790" i="28" s="1"/>
  <c r="AW790" i="28"/>
  <c r="BD790" i="28" s="1"/>
  <c r="AV790" i="28"/>
  <c r="BC790" i="28" s="1"/>
  <c r="AU790" i="28"/>
  <c r="BB790" i="28" s="1"/>
  <c r="AT790" i="28"/>
  <c r="BA790" i="28" s="1"/>
  <c r="AY789" i="28"/>
  <c r="BF789" i="28" s="1"/>
  <c r="AX789" i="28"/>
  <c r="BE789" i="28" s="1"/>
  <c r="AW789" i="28"/>
  <c r="BD789" i="28" s="1"/>
  <c r="AV789" i="28"/>
  <c r="BC789" i="28" s="1"/>
  <c r="AU789" i="28"/>
  <c r="BB789" i="28" s="1"/>
  <c r="AT789" i="28"/>
  <c r="BA789" i="28" s="1"/>
  <c r="AY788" i="28"/>
  <c r="BF788" i="28" s="1"/>
  <c r="AX788" i="28"/>
  <c r="BE788" i="28" s="1"/>
  <c r="AW788" i="28"/>
  <c r="BD788" i="28" s="1"/>
  <c r="AV788" i="28"/>
  <c r="BC788" i="28" s="1"/>
  <c r="AU788" i="28"/>
  <c r="BB788" i="28" s="1"/>
  <c r="AT788" i="28"/>
  <c r="BA788" i="28" s="1"/>
  <c r="AY787" i="28"/>
  <c r="BF787" i="28" s="1"/>
  <c r="AX787" i="28"/>
  <c r="BE787" i="28" s="1"/>
  <c r="AW787" i="28"/>
  <c r="BD787" i="28" s="1"/>
  <c r="AV787" i="28"/>
  <c r="BC787" i="28" s="1"/>
  <c r="AU787" i="28"/>
  <c r="BB787" i="28" s="1"/>
  <c r="AT787" i="28"/>
  <c r="BA787" i="28" s="1"/>
  <c r="AY786" i="28"/>
  <c r="BF786" i="28" s="1"/>
  <c r="AX786" i="28"/>
  <c r="BE786" i="28" s="1"/>
  <c r="AW786" i="28"/>
  <c r="BD786" i="28" s="1"/>
  <c r="AV786" i="28"/>
  <c r="BC786" i="28" s="1"/>
  <c r="AU786" i="28"/>
  <c r="BB786" i="28" s="1"/>
  <c r="AT786" i="28"/>
  <c r="BA786" i="28" s="1"/>
  <c r="AY785" i="28"/>
  <c r="BF785" i="28" s="1"/>
  <c r="AX785" i="28"/>
  <c r="BE785" i="28" s="1"/>
  <c r="AW785" i="28"/>
  <c r="BD785" i="28" s="1"/>
  <c r="AV785" i="28"/>
  <c r="BC785" i="28" s="1"/>
  <c r="AU785" i="28"/>
  <c r="BB785" i="28" s="1"/>
  <c r="AT785" i="28"/>
  <c r="BA785" i="28" s="1"/>
  <c r="AX784" i="28"/>
  <c r="BE784" i="28" s="1"/>
  <c r="AW784" i="28"/>
  <c r="BD784" i="28" s="1"/>
  <c r="AV784" i="28"/>
  <c r="BC784" i="28" s="1"/>
  <c r="AU784" i="28"/>
  <c r="BB784" i="28" s="1"/>
  <c r="AT784" i="28"/>
  <c r="BA784" i="28" s="1"/>
  <c r="AX783" i="28"/>
  <c r="BE783" i="28" s="1"/>
  <c r="AW783" i="28"/>
  <c r="BD783" i="28" s="1"/>
  <c r="AV783" i="28"/>
  <c r="BC783" i="28" s="1"/>
  <c r="AU783" i="28"/>
  <c r="BB783" i="28" s="1"/>
  <c r="AT783" i="28"/>
  <c r="BA783" i="28" s="1"/>
  <c r="AX782" i="28"/>
  <c r="BE782" i="28" s="1"/>
  <c r="AW782" i="28"/>
  <c r="BD782" i="28" s="1"/>
  <c r="AV782" i="28"/>
  <c r="BC782" i="28" s="1"/>
  <c r="AU782" i="28"/>
  <c r="BB782" i="28" s="1"/>
  <c r="AT782" i="28"/>
  <c r="BA782" i="28" s="1"/>
  <c r="AY781" i="28"/>
  <c r="BF781" i="28" s="1"/>
  <c r="AX781" i="28"/>
  <c r="BE781" i="28" s="1"/>
  <c r="AW781" i="28"/>
  <c r="BD781" i="28" s="1"/>
  <c r="AV781" i="28"/>
  <c r="BC781" i="28" s="1"/>
  <c r="AU781" i="28"/>
  <c r="BB781" i="28" s="1"/>
  <c r="AT781" i="28"/>
  <c r="BA781" i="28" s="1"/>
  <c r="AY780" i="28"/>
  <c r="BF780" i="28" s="1"/>
  <c r="AX780" i="28"/>
  <c r="BE780" i="28" s="1"/>
  <c r="AW780" i="28"/>
  <c r="BD780" i="28" s="1"/>
  <c r="AV780" i="28"/>
  <c r="BC780" i="28" s="1"/>
  <c r="AU780" i="28"/>
  <c r="BB780" i="28" s="1"/>
  <c r="AT780" i="28"/>
  <c r="BA780" i="28" s="1"/>
  <c r="AY779" i="28"/>
  <c r="BF779" i="28" s="1"/>
  <c r="AX779" i="28"/>
  <c r="BE779" i="28" s="1"/>
  <c r="AW779" i="28"/>
  <c r="BD779" i="28" s="1"/>
  <c r="AV779" i="28"/>
  <c r="BC779" i="28" s="1"/>
  <c r="AU779" i="28"/>
  <c r="BB779" i="28" s="1"/>
  <c r="AT779" i="28"/>
  <c r="BA779" i="28" s="1"/>
  <c r="AY778" i="28"/>
  <c r="BF778" i="28" s="1"/>
  <c r="AX778" i="28"/>
  <c r="BE778" i="28" s="1"/>
  <c r="AW778" i="28"/>
  <c r="BD778" i="28" s="1"/>
  <c r="AV778" i="28"/>
  <c r="BC778" i="28" s="1"/>
  <c r="AU778" i="28"/>
  <c r="BB778" i="28" s="1"/>
  <c r="AT778" i="28"/>
  <c r="BA778" i="28" s="1"/>
  <c r="AY777" i="28"/>
  <c r="BF777" i="28" s="1"/>
  <c r="AX777" i="28"/>
  <c r="BE777" i="28" s="1"/>
  <c r="AW777" i="28"/>
  <c r="BD777" i="28" s="1"/>
  <c r="AV777" i="28"/>
  <c r="BC777" i="28" s="1"/>
  <c r="AU777" i="28"/>
  <c r="BB777" i="28" s="1"/>
  <c r="AT777" i="28"/>
  <c r="BA777" i="28" s="1"/>
  <c r="AX776" i="28"/>
  <c r="BE776" i="28" s="1"/>
  <c r="AW776" i="28"/>
  <c r="BD776" i="28" s="1"/>
  <c r="AV776" i="28"/>
  <c r="BC776" i="28" s="1"/>
  <c r="AU776" i="28"/>
  <c r="BB776" i="28" s="1"/>
  <c r="AT776" i="28"/>
  <c r="BA776" i="28" s="1"/>
  <c r="AX775" i="28"/>
  <c r="BE775" i="28" s="1"/>
  <c r="AW775" i="28"/>
  <c r="BD775" i="28" s="1"/>
  <c r="AV775" i="28"/>
  <c r="BC775" i="28" s="1"/>
  <c r="AU775" i="28"/>
  <c r="BB775" i="28" s="1"/>
  <c r="AT775" i="28"/>
  <c r="BA775" i="28" s="1"/>
  <c r="AX774" i="28"/>
  <c r="BE774" i="28" s="1"/>
  <c r="AW774" i="28"/>
  <c r="BD774" i="28" s="1"/>
  <c r="AV774" i="28"/>
  <c r="BC774" i="28" s="1"/>
  <c r="AU774" i="28"/>
  <c r="BB774" i="28" s="1"/>
  <c r="AT774" i="28"/>
  <c r="BA774" i="28" s="1"/>
  <c r="AY773" i="28"/>
  <c r="BF773" i="28" s="1"/>
  <c r="AX773" i="28"/>
  <c r="BE773" i="28" s="1"/>
  <c r="AW773" i="28"/>
  <c r="BD773" i="28" s="1"/>
  <c r="AV773" i="28"/>
  <c r="BC773" i="28" s="1"/>
  <c r="AU773" i="28"/>
  <c r="BB773" i="28" s="1"/>
  <c r="AT773" i="28"/>
  <c r="BA773" i="28" s="1"/>
  <c r="AY772" i="28"/>
  <c r="BF772" i="28" s="1"/>
  <c r="AX772" i="28"/>
  <c r="BE772" i="28" s="1"/>
  <c r="AW772" i="28"/>
  <c r="BD772" i="28" s="1"/>
  <c r="AV772" i="28"/>
  <c r="BC772" i="28" s="1"/>
  <c r="AU772" i="28"/>
  <c r="BB772" i="28" s="1"/>
  <c r="AT772" i="28"/>
  <c r="BA772" i="28" s="1"/>
  <c r="AY771" i="28"/>
  <c r="BF771" i="28" s="1"/>
  <c r="AX771" i="28"/>
  <c r="BE771" i="28" s="1"/>
  <c r="AW771" i="28"/>
  <c r="BD771" i="28" s="1"/>
  <c r="AV771" i="28"/>
  <c r="BC771" i="28" s="1"/>
  <c r="AU771" i="28"/>
  <c r="BB771" i="28" s="1"/>
  <c r="AT771" i="28"/>
  <c r="BA771" i="28" s="1"/>
  <c r="AY770" i="28"/>
  <c r="BF770" i="28" s="1"/>
  <c r="AX770" i="28"/>
  <c r="BE770" i="28" s="1"/>
  <c r="AW770" i="28"/>
  <c r="BD770" i="28" s="1"/>
  <c r="AV770" i="28"/>
  <c r="BC770" i="28" s="1"/>
  <c r="AU770" i="28"/>
  <c r="BB770" i="28" s="1"/>
  <c r="AT770" i="28"/>
  <c r="BA770" i="28" s="1"/>
  <c r="AY769" i="28"/>
  <c r="BF769" i="28" s="1"/>
  <c r="AX769" i="28"/>
  <c r="BE769" i="28" s="1"/>
  <c r="AW769" i="28"/>
  <c r="BD769" i="28" s="1"/>
  <c r="AV769" i="28"/>
  <c r="BC769" i="28" s="1"/>
  <c r="AU769" i="28"/>
  <c r="BB769" i="28" s="1"/>
  <c r="AT769" i="28"/>
  <c r="BA769" i="28" s="1"/>
  <c r="AX768" i="28"/>
  <c r="BE768" i="28" s="1"/>
  <c r="AW768" i="28"/>
  <c r="BD768" i="28" s="1"/>
  <c r="AV768" i="28"/>
  <c r="BC768" i="28" s="1"/>
  <c r="AU768" i="28"/>
  <c r="BB768" i="28" s="1"/>
  <c r="AT768" i="28"/>
  <c r="BA768" i="28" s="1"/>
  <c r="AX767" i="28"/>
  <c r="BE767" i="28" s="1"/>
  <c r="AW767" i="28"/>
  <c r="BD767" i="28" s="1"/>
  <c r="AV767" i="28"/>
  <c r="BC767" i="28" s="1"/>
  <c r="AU767" i="28"/>
  <c r="BB767" i="28" s="1"/>
  <c r="AT767" i="28"/>
  <c r="BA767" i="28" s="1"/>
  <c r="AX766" i="28"/>
  <c r="BE766" i="28" s="1"/>
  <c r="AW766" i="28"/>
  <c r="BD766" i="28" s="1"/>
  <c r="AV766" i="28"/>
  <c r="BC766" i="28" s="1"/>
  <c r="AU766" i="28"/>
  <c r="BB766" i="28" s="1"/>
  <c r="AT766" i="28"/>
  <c r="BA766" i="28" s="1"/>
  <c r="AY765" i="28"/>
  <c r="BF765" i="28" s="1"/>
  <c r="AX765" i="28"/>
  <c r="BE765" i="28" s="1"/>
  <c r="AW765" i="28"/>
  <c r="BD765" i="28" s="1"/>
  <c r="AV765" i="28"/>
  <c r="BC765" i="28" s="1"/>
  <c r="AU765" i="28"/>
  <c r="BB765" i="28" s="1"/>
  <c r="AT765" i="28"/>
  <c r="BA765" i="28" s="1"/>
  <c r="AY764" i="28"/>
  <c r="BF764" i="28" s="1"/>
  <c r="AX764" i="28"/>
  <c r="BE764" i="28" s="1"/>
  <c r="AW764" i="28"/>
  <c r="BD764" i="28" s="1"/>
  <c r="AV764" i="28"/>
  <c r="BC764" i="28" s="1"/>
  <c r="AU764" i="28"/>
  <c r="BB764" i="28" s="1"/>
  <c r="AT764" i="28"/>
  <c r="BA764" i="28" s="1"/>
  <c r="AY763" i="28"/>
  <c r="BF763" i="28" s="1"/>
  <c r="AX763" i="28"/>
  <c r="BE763" i="28" s="1"/>
  <c r="AW763" i="28"/>
  <c r="BD763" i="28" s="1"/>
  <c r="AV763" i="28"/>
  <c r="BC763" i="28" s="1"/>
  <c r="AU763" i="28"/>
  <c r="BB763" i="28" s="1"/>
  <c r="AT763" i="28"/>
  <c r="BA763" i="28" s="1"/>
  <c r="AY762" i="28"/>
  <c r="BF762" i="28" s="1"/>
  <c r="AX762" i="28"/>
  <c r="BE762" i="28" s="1"/>
  <c r="AW762" i="28"/>
  <c r="BD762" i="28" s="1"/>
  <c r="AV762" i="28"/>
  <c r="BC762" i="28" s="1"/>
  <c r="AU762" i="28"/>
  <c r="BB762" i="28" s="1"/>
  <c r="AT762" i="28"/>
  <c r="BA762" i="28" s="1"/>
  <c r="AY761" i="28"/>
  <c r="BF761" i="28" s="1"/>
  <c r="AX761" i="28"/>
  <c r="BE761" i="28" s="1"/>
  <c r="AW761" i="28"/>
  <c r="BD761" i="28" s="1"/>
  <c r="AV761" i="28"/>
  <c r="BC761" i="28" s="1"/>
  <c r="AU761" i="28"/>
  <c r="BB761" i="28" s="1"/>
  <c r="AT761" i="28"/>
  <c r="BA761" i="28" s="1"/>
  <c r="AX760" i="28"/>
  <c r="BE760" i="28" s="1"/>
  <c r="AW760" i="28"/>
  <c r="BD760" i="28" s="1"/>
  <c r="AV760" i="28"/>
  <c r="BC760" i="28" s="1"/>
  <c r="AU760" i="28"/>
  <c r="BB760" i="28" s="1"/>
  <c r="AT760" i="28"/>
  <c r="BA760" i="28" s="1"/>
  <c r="AX759" i="28"/>
  <c r="BE759" i="28" s="1"/>
  <c r="AW759" i="28"/>
  <c r="BD759" i="28" s="1"/>
  <c r="AV759" i="28"/>
  <c r="BC759" i="28" s="1"/>
  <c r="AU759" i="28"/>
  <c r="BB759" i="28" s="1"/>
  <c r="AT759" i="28"/>
  <c r="BA759" i="28" s="1"/>
  <c r="AX758" i="28"/>
  <c r="BE758" i="28" s="1"/>
  <c r="AW758" i="28"/>
  <c r="BD758" i="28" s="1"/>
  <c r="AV758" i="28"/>
  <c r="BC758" i="28" s="1"/>
  <c r="AU758" i="28"/>
  <c r="BB758" i="28" s="1"/>
  <c r="AT758" i="28"/>
  <c r="BA758" i="28" s="1"/>
  <c r="AY757" i="28"/>
  <c r="BF757" i="28" s="1"/>
  <c r="AX757" i="28"/>
  <c r="BE757" i="28" s="1"/>
  <c r="AW757" i="28"/>
  <c r="BD757" i="28" s="1"/>
  <c r="AV757" i="28"/>
  <c r="BC757" i="28" s="1"/>
  <c r="AU757" i="28"/>
  <c r="BB757" i="28" s="1"/>
  <c r="AT757" i="28"/>
  <c r="BA757" i="28" s="1"/>
  <c r="AY756" i="28"/>
  <c r="BF756" i="28" s="1"/>
  <c r="AX756" i="28"/>
  <c r="BE756" i="28" s="1"/>
  <c r="AW756" i="28"/>
  <c r="BD756" i="28" s="1"/>
  <c r="AV756" i="28"/>
  <c r="BC756" i="28" s="1"/>
  <c r="AU756" i="28"/>
  <c r="BB756" i="28" s="1"/>
  <c r="AT756" i="28"/>
  <c r="BA756" i="28" s="1"/>
  <c r="AY755" i="28"/>
  <c r="BF755" i="28" s="1"/>
  <c r="AX755" i="28"/>
  <c r="BE755" i="28" s="1"/>
  <c r="AW755" i="28"/>
  <c r="BD755" i="28" s="1"/>
  <c r="AV755" i="28"/>
  <c r="BC755" i="28" s="1"/>
  <c r="AU755" i="28"/>
  <c r="BB755" i="28" s="1"/>
  <c r="AT755" i="28"/>
  <c r="BA755" i="28" s="1"/>
  <c r="AY754" i="28"/>
  <c r="BF754" i="28" s="1"/>
  <c r="AX754" i="28"/>
  <c r="BE754" i="28" s="1"/>
  <c r="AW754" i="28"/>
  <c r="BD754" i="28" s="1"/>
  <c r="AV754" i="28"/>
  <c r="BC754" i="28" s="1"/>
  <c r="AU754" i="28"/>
  <c r="BB754" i="28" s="1"/>
  <c r="AT754" i="28"/>
  <c r="BA754" i="28" s="1"/>
  <c r="AY753" i="28"/>
  <c r="BF753" i="28" s="1"/>
  <c r="AX753" i="28"/>
  <c r="BE753" i="28" s="1"/>
  <c r="AW753" i="28"/>
  <c r="BD753" i="28" s="1"/>
  <c r="AV753" i="28"/>
  <c r="BC753" i="28" s="1"/>
  <c r="AU753" i="28"/>
  <c r="BB753" i="28" s="1"/>
  <c r="AT753" i="28"/>
  <c r="BA753" i="28" s="1"/>
  <c r="AX752" i="28"/>
  <c r="BE752" i="28" s="1"/>
  <c r="AW752" i="28"/>
  <c r="BD752" i="28" s="1"/>
  <c r="AV752" i="28"/>
  <c r="BC752" i="28" s="1"/>
  <c r="AU752" i="28"/>
  <c r="BB752" i="28" s="1"/>
  <c r="AT752" i="28"/>
  <c r="BA752" i="28" s="1"/>
  <c r="AX751" i="28"/>
  <c r="BE751" i="28" s="1"/>
  <c r="AW751" i="28"/>
  <c r="BD751" i="28" s="1"/>
  <c r="AV751" i="28"/>
  <c r="BC751" i="28" s="1"/>
  <c r="AU751" i="28"/>
  <c r="BB751" i="28" s="1"/>
  <c r="AT751" i="28"/>
  <c r="BA751" i="28" s="1"/>
  <c r="AX750" i="28"/>
  <c r="BE750" i="28" s="1"/>
  <c r="AW750" i="28"/>
  <c r="BD750" i="28" s="1"/>
  <c r="AV750" i="28"/>
  <c r="BC750" i="28" s="1"/>
  <c r="AU750" i="28"/>
  <c r="BB750" i="28" s="1"/>
  <c r="AT750" i="28"/>
  <c r="BA750" i="28" s="1"/>
  <c r="AY749" i="28"/>
  <c r="BF749" i="28" s="1"/>
  <c r="AX749" i="28"/>
  <c r="BE749" i="28" s="1"/>
  <c r="AW749" i="28"/>
  <c r="BD749" i="28" s="1"/>
  <c r="AV749" i="28"/>
  <c r="BC749" i="28" s="1"/>
  <c r="AU749" i="28"/>
  <c r="BB749" i="28" s="1"/>
  <c r="AT749" i="28"/>
  <c r="BA749" i="28" s="1"/>
  <c r="AY748" i="28"/>
  <c r="BF748" i="28" s="1"/>
  <c r="AX748" i="28"/>
  <c r="BE748" i="28" s="1"/>
  <c r="AW748" i="28"/>
  <c r="BD748" i="28" s="1"/>
  <c r="AV748" i="28"/>
  <c r="BC748" i="28" s="1"/>
  <c r="AU748" i="28"/>
  <c r="BB748" i="28" s="1"/>
  <c r="AT748" i="28"/>
  <c r="BA748" i="28" s="1"/>
  <c r="AY747" i="28"/>
  <c r="BF747" i="28" s="1"/>
  <c r="AX747" i="28"/>
  <c r="BE747" i="28" s="1"/>
  <c r="AW747" i="28"/>
  <c r="BD747" i="28" s="1"/>
  <c r="AV747" i="28"/>
  <c r="BC747" i="28" s="1"/>
  <c r="AU747" i="28"/>
  <c r="BB747" i="28" s="1"/>
  <c r="AT747" i="28"/>
  <c r="BA747" i="28" s="1"/>
  <c r="AY746" i="28"/>
  <c r="BF746" i="28" s="1"/>
  <c r="AX746" i="28"/>
  <c r="BE746" i="28" s="1"/>
  <c r="AW746" i="28"/>
  <c r="BD746" i="28" s="1"/>
  <c r="AV746" i="28"/>
  <c r="BC746" i="28" s="1"/>
  <c r="AU746" i="28"/>
  <c r="BB746" i="28" s="1"/>
  <c r="AT746" i="28"/>
  <c r="BA746" i="28" s="1"/>
  <c r="AY745" i="28"/>
  <c r="BF745" i="28" s="1"/>
  <c r="AX745" i="28"/>
  <c r="BE745" i="28" s="1"/>
  <c r="AW745" i="28"/>
  <c r="BD745" i="28" s="1"/>
  <c r="AV745" i="28"/>
  <c r="BC745" i="28" s="1"/>
  <c r="AU745" i="28"/>
  <c r="BB745" i="28" s="1"/>
  <c r="AT745" i="28"/>
  <c r="BA745" i="28" s="1"/>
  <c r="AX744" i="28"/>
  <c r="BE744" i="28" s="1"/>
  <c r="AW744" i="28"/>
  <c r="BD744" i="28" s="1"/>
  <c r="AV744" i="28"/>
  <c r="BC744" i="28" s="1"/>
  <c r="AU744" i="28"/>
  <c r="BB744" i="28" s="1"/>
  <c r="AT744" i="28"/>
  <c r="BA744" i="28" s="1"/>
  <c r="AX743" i="28"/>
  <c r="BE743" i="28" s="1"/>
  <c r="AW743" i="28"/>
  <c r="BD743" i="28" s="1"/>
  <c r="AV743" i="28"/>
  <c r="BC743" i="28" s="1"/>
  <c r="AU743" i="28"/>
  <c r="BB743" i="28" s="1"/>
  <c r="AT743" i="28"/>
  <c r="BA743" i="28" s="1"/>
  <c r="AY742" i="28"/>
  <c r="BF742" i="28" s="1"/>
  <c r="AX742" i="28"/>
  <c r="BE742" i="28" s="1"/>
  <c r="AW742" i="28"/>
  <c r="BD742" i="28" s="1"/>
  <c r="AV742" i="28"/>
  <c r="BC742" i="28" s="1"/>
  <c r="AU742" i="28"/>
  <c r="BB742" i="28" s="1"/>
  <c r="AT742" i="28"/>
  <c r="BA742" i="28" s="1"/>
  <c r="AY741" i="28"/>
  <c r="BF741" i="28" s="1"/>
  <c r="AX741" i="28"/>
  <c r="BE741" i="28" s="1"/>
  <c r="AW741" i="28"/>
  <c r="BD741" i="28" s="1"/>
  <c r="AV741" i="28"/>
  <c r="BC741" i="28" s="1"/>
  <c r="AU741" i="28"/>
  <c r="BB741" i="28" s="1"/>
  <c r="AT741" i="28"/>
  <c r="BA741" i="28" s="1"/>
  <c r="AY740" i="28"/>
  <c r="BF740" i="28" s="1"/>
  <c r="AX740" i="28"/>
  <c r="BE740" i="28" s="1"/>
  <c r="AW740" i="28"/>
  <c r="BD740" i="28" s="1"/>
  <c r="AV740" i="28"/>
  <c r="BC740" i="28" s="1"/>
  <c r="AU740" i="28"/>
  <c r="BB740" i="28" s="1"/>
  <c r="AT740" i="28"/>
  <c r="BA740" i="28" s="1"/>
  <c r="AY739" i="28"/>
  <c r="BF739" i="28" s="1"/>
  <c r="AX739" i="28"/>
  <c r="BE739" i="28" s="1"/>
  <c r="AW739" i="28"/>
  <c r="BD739" i="28" s="1"/>
  <c r="AV739" i="28"/>
  <c r="BC739" i="28" s="1"/>
  <c r="AU739" i="28"/>
  <c r="BB739" i="28" s="1"/>
  <c r="AT739" i="28"/>
  <c r="BA739" i="28" s="1"/>
  <c r="AY738" i="28"/>
  <c r="BF738" i="28" s="1"/>
  <c r="AX738" i="28"/>
  <c r="BE738" i="28" s="1"/>
  <c r="AW738" i="28"/>
  <c r="BD738" i="28" s="1"/>
  <c r="AV738" i="28"/>
  <c r="BC738" i="28" s="1"/>
  <c r="AU738" i="28"/>
  <c r="BB738" i="28" s="1"/>
  <c r="AT738" i="28"/>
  <c r="BA738" i="28" s="1"/>
  <c r="AY737" i="28"/>
  <c r="BF737" i="28" s="1"/>
  <c r="AX737" i="28"/>
  <c r="BE737" i="28" s="1"/>
  <c r="AW737" i="28"/>
  <c r="BD737" i="28" s="1"/>
  <c r="AV737" i="28"/>
  <c r="BC737" i="28" s="1"/>
  <c r="AU737" i="28"/>
  <c r="BB737" i="28" s="1"/>
  <c r="AT737" i="28"/>
  <c r="BA737" i="28" s="1"/>
  <c r="AX736" i="28"/>
  <c r="BE736" i="28" s="1"/>
  <c r="AW736" i="28"/>
  <c r="BD736" i="28" s="1"/>
  <c r="AV736" i="28"/>
  <c r="BC736" i="28" s="1"/>
  <c r="AU736" i="28"/>
  <c r="BB736" i="28" s="1"/>
  <c r="AT736" i="28"/>
  <c r="BA736" i="28" s="1"/>
  <c r="AX735" i="28"/>
  <c r="BE735" i="28" s="1"/>
  <c r="AW735" i="28"/>
  <c r="BD735" i="28" s="1"/>
  <c r="AV735" i="28"/>
  <c r="BC735" i="28" s="1"/>
  <c r="AU735" i="28"/>
  <c r="BB735" i="28" s="1"/>
  <c r="AT735" i="28"/>
  <c r="BA735" i="28" s="1"/>
  <c r="BF734" i="28"/>
  <c r="AX734" i="28"/>
  <c r="BE734" i="28" s="1"/>
  <c r="AW734" i="28"/>
  <c r="BD734" i="28" s="1"/>
  <c r="AV734" i="28"/>
  <c r="BC734" i="28" s="1"/>
  <c r="AU734" i="28"/>
  <c r="BB734" i="28" s="1"/>
  <c r="AT734" i="28"/>
  <c r="BA734" i="28" s="1"/>
  <c r="AY733" i="28"/>
  <c r="BF733" i="28" s="1"/>
  <c r="AX733" i="28"/>
  <c r="BE733" i="28" s="1"/>
  <c r="AW733" i="28"/>
  <c r="BD733" i="28" s="1"/>
  <c r="AV733" i="28"/>
  <c r="BC733" i="28" s="1"/>
  <c r="AU733" i="28"/>
  <c r="BB733" i="28" s="1"/>
  <c r="AT733" i="28"/>
  <c r="BA733" i="28" s="1"/>
  <c r="AY732" i="28"/>
  <c r="BF732" i="28" s="1"/>
  <c r="AX732" i="28"/>
  <c r="BE732" i="28" s="1"/>
  <c r="AW732" i="28"/>
  <c r="BD732" i="28" s="1"/>
  <c r="AV732" i="28"/>
  <c r="BC732" i="28" s="1"/>
  <c r="AU732" i="28"/>
  <c r="BB732" i="28" s="1"/>
  <c r="AT732" i="28"/>
  <c r="BA732" i="28" s="1"/>
  <c r="AY731" i="28"/>
  <c r="BF731" i="28" s="1"/>
  <c r="AX731" i="28"/>
  <c r="BE731" i="28" s="1"/>
  <c r="AW731" i="28"/>
  <c r="BD731" i="28" s="1"/>
  <c r="AV731" i="28"/>
  <c r="BC731" i="28" s="1"/>
  <c r="AU731" i="28"/>
  <c r="BB731" i="28" s="1"/>
  <c r="AT731" i="28"/>
  <c r="BA731" i="28" s="1"/>
  <c r="AY730" i="28"/>
  <c r="BF730" i="28" s="1"/>
  <c r="AX730" i="28"/>
  <c r="BE730" i="28" s="1"/>
  <c r="AW730" i="28"/>
  <c r="BD730" i="28" s="1"/>
  <c r="AV730" i="28"/>
  <c r="BC730" i="28" s="1"/>
  <c r="AU730" i="28"/>
  <c r="BB730" i="28" s="1"/>
  <c r="AT730" i="28"/>
  <c r="BA730" i="28" s="1"/>
  <c r="AY729" i="28"/>
  <c r="BF729" i="28" s="1"/>
  <c r="AX729" i="28"/>
  <c r="BE729" i="28" s="1"/>
  <c r="AW729" i="28"/>
  <c r="BD729" i="28" s="1"/>
  <c r="AV729" i="28"/>
  <c r="BC729" i="28" s="1"/>
  <c r="AU729" i="28"/>
  <c r="BB729" i="28" s="1"/>
  <c r="AT729" i="28"/>
  <c r="BA729" i="28" s="1"/>
  <c r="AX728" i="28"/>
  <c r="BE728" i="28" s="1"/>
  <c r="AW728" i="28"/>
  <c r="BD728" i="28" s="1"/>
  <c r="AV728" i="28"/>
  <c r="BC728" i="28" s="1"/>
  <c r="AU728" i="28"/>
  <c r="BB728" i="28" s="1"/>
  <c r="AT728" i="28"/>
  <c r="BA728" i="28" s="1"/>
  <c r="AX727" i="28"/>
  <c r="BE727" i="28" s="1"/>
  <c r="AW727" i="28"/>
  <c r="BD727" i="28" s="1"/>
  <c r="AV727" i="28"/>
  <c r="BC727" i="28" s="1"/>
  <c r="AU727" i="28"/>
  <c r="BB727" i="28" s="1"/>
  <c r="AT727" i="28"/>
  <c r="BA727" i="28" s="1"/>
  <c r="AX726" i="28"/>
  <c r="BE726" i="28" s="1"/>
  <c r="AW726" i="28"/>
  <c r="BD726" i="28" s="1"/>
  <c r="AV726" i="28"/>
  <c r="BC726" i="28" s="1"/>
  <c r="AU726" i="28"/>
  <c r="BB726" i="28" s="1"/>
  <c r="AT726" i="28"/>
  <c r="BA726" i="28" s="1"/>
  <c r="AY725" i="28"/>
  <c r="BF725" i="28" s="1"/>
  <c r="AX725" i="28"/>
  <c r="BE725" i="28" s="1"/>
  <c r="AW725" i="28"/>
  <c r="BD725" i="28" s="1"/>
  <c r="AV725" i="28"/>
  <c r="BC725" i="28" s="1"/>
  <c r="AU725" i="28"/>
  <c r="BB725" i="28" s="1"/>
  <c r="AT725" i="28"/>
  <c r="BA725" i="28" s="1"/>
  <c r="AY724" i="28"/>
  <c r="BF724" i="28" s="1"/>
  <c r="AX724" i="28"/>
  <c r="BE724" i="28" s="1"/>
  <c r="AW724" i="28"/>
  <c r="BD724" i="28" s="1"/>
  <c r="AV724" i="28"/>
  <c r="BC724" i="28" s="1"/>
  <c r="AU724" i="28"/>
  <c r="BB724" i="28" s="1"/>
  <c r="AT724" i="28"/>
  <c r="BA724" i="28" s="1"/>
  <c r="AY723" i="28"/>
  <c r="BF723" i="28" s="1"/>
  <c r="AX723" i="28"/>
  <c r="BE723" i="28" s="1"/>
  <c r="AW723" i="28"/>
  <c r="BD723" i="28" s="1"/>
  <c r="AV723" i="28"/>
  <c r="BC723" i="28" s="1"/>
  <c r="AU723" i="28"/>
  <c r="BB723" i="28" s="1"/>
  <c r="AT723" i="28"/>
  <c r="BA723" i="28" s="1"/>
  <c r="AY722" i="28"/>
  <c r="BF722" i="28" s="1"/>
  <c r="AX722" i="28"/>
  <c r="BE722" i="28" s="1"/>
  <c r="AW722" i="28"/>
  <c r="BD722" i="28" s="1"/>
  <c r="AV722" i="28"/>
  <c r="BC722" i="28" s="1"/>
  <c r="AU722" i="28"/>
  <c r="BB722" i="28" s="1"/>
  <c r="AT722" i="28"/>
  <c r="BA722" i="28" s="1"/>
  <c r="AY721" i="28"/>
  <c r="BF721" i="28" s="1"/>
  <c r="AX721" i="28"/>
  <c r="BE721" i="28" s="1"/>
  <c r="AW721" i="28"/>
  <c r="BD721" i="28" s="1"/>
  <c r="AV721" i="28"/>
  <c r="BC721" i="28" s="1"/>
  <c r="AU721" i="28"/>
  <c r="BB721" i="28" s="1"/>
  <c r="AT721" i="28"/>
  <c r="BA721" i="28" s="1"/>
  <c r="AX720" i="28"/>
  <c r="BE720" i="28" s="1"/>
  <c r="AW720" i="28"/>
  <c r="BD720" i="28" s="1"/>
  <c r="AV720" i="28"/>
  <c r="BC720" i="28" s="1"/>
  <c r="AU720" i="28"/>
  <c r="BB720" i="28" s="1"/>
  <c r="AT720" i="28"/>
  <c r="BA720" i="28" s="1"/>
  <c r="AY719" i="28"/>
  <c r="BF719" i="28" s="1"/>
  <c r="AX719" i="28"/>
  <c r="BE719" i="28" s="1"/>
  <c r="AW719" i="28"/>
  <c r="BD719" i="28" s="1"/>
  <c r="AV719" i="28"/>
  <c r="BC719" i="28" s="1"/>
  <c r="AU719" i="28"/>
  <c r="BB719" i="28" s="1"/>
  <c r="AT719" i="28"/>
  <c r="BA719" i="28" s="1"/>
  <c r="AX718" i="28"/>
  <c r="BE718" i="28" s="1"/>
  <c r="AW718" i="28"/>
  <c r="BD718" i="28" s="1"/>
  <c r="AV718" i="28"/>
  <c r="BC718" i="28" s="1"/>
  <c r="AU718" i="28"/>
  <c r="BB718" i="28" s="1"/>
  <c r="AT718" i="28"/>
  <c r="BA718" i="28" s="1"/>
  <c r="AY717" i="28"/>
  <c r="BF717" i="28" s="1"/>
  <c r="AX717" i="28"/>
  <c r="BE717" i="28" s="1"/>
  <c r="AW717" i="28"/>
  <c r="BD717" i="28" s="1"/>
  <c r="AV717" i="28"/>
  <c r="BC717" i="28" s="1"/>
  <c r="AU717" i="28"/>
  <c r="BB717" i="28" s="1"/>
  <c r="AT717" i="28"/>
  <c r="BA717" i="28" s="1"/>
  <c r="AY716" i="28"/>
  <c r="BF716" i="28" s="1"/>
  <c r="AX716" i="28"/>
  <c r="BE716" i="28" s="1"/>
  <c r="AW716" i="28"/>
  <c r="BD716" i="28" s="1"/>
  <c r="AV716" i="28"/>
  <c r="BC716" i="28" s="1"/>
  <c r="AU716" i="28"/>
  <c r="BB716" i="28" s="1"/>
  <c r="AT716" i="28"/>
  <c r="BA716" i="28" s="1"/>
  <c r="AY715" i="28"/>
  <c r="BF715" i="28" s="1"/>
  <c r="AX715" i="28"/>
  <c r="BE715" i="28" s="1"/>
  <c r="AW715" i="28"/>
  <c r="BD715" i="28" s="1"/>
  <c r="AV715" i="28"/>
  <c r="BC715" i="28" s="1"/>
  <c r="AU715" i="28"/>
  <c r="BB715" i="28" s="1"/>
  <c r="AT715" i="28"/>
  <c r="BA715" i="28" s="1"/>
  <c r="AY714" i="28"/>
  <c r="BF714" i="28" s="1"/>
  <c r="AX714" i="28"/>
  <c r="BE714" i="28" s="1"/>
  <c r="AW714" i="28"/>
  <c r="BD714" i="28" s="1"/>
  <c r="AV714" i="28"/>
  <c r="BC714" i="28" s="1"/>
  <c r="AU714" i="28"/>
  <c r="BB714" i="28" s="1"/>
  <c r="AT714" i="28"/>
  <c r="BA714" i="28" s="1"/>
  <c r="AY713" i="28"/>
  <c r="BF713" i="28" s="1"/>
  <c r="AX713" i="28"/>
  <c r="BE713" i="28" s="1"/>
  <c r="AW713" i="28"/>
  <c r="BD713" i="28" s="1"/>
  <c r="AV713" i="28"/>
  <c r="BC713" i="28" s="1"/>
  <c r="AU713" i="28"/>
  <c r="BB713" i="28" s="1"/>
  <c r="AT713" i="28"/>
  <c r="BA713" i="28" s="1"/>
  <c r="AX712" i="28"/>
  <c r="BE712" i="28" s="1"/>
  <c r="AW712" i="28"/>
  <c r="BD712" i="28" s="1"/>
  <c r="AV712" i="28"/>
  <c r="BC712" i="28" s="1"/>
  <c r="AU712" i="28"/>
  <c r="BB712" i="28" s="1"/>
  <c r="AT712" i="28"/>
  <c r="BA712" i="28" s="1"/>
  <c r="AX711" i="28"/>
  <c r="BE711" i="28" s="1"/>
  <c r="AW711" i="28"/>
  <c r="BD711" i="28" s="1"/>
  <c r="AV711" i="28"/>
  <c r="BC711" i="28" s="1"/>
  <c r="AU711" i="28"/>
  <c r="BB711" i="28" s="1"/>
  <c r="AT711" i="28"/>
  <c r="BA711" i="28" s="1"/>
  <c r="AX710" i="28"/>
  <c r="BE710" i="28" s="1"/>
  <c r="AW710" i="28"/>
  <c r="BD710" i="28" s="1"/>
  <c r="AV710" i="28"/>
  <c r="BC710" i="28" s="1"/>
  <c r="AU710" i="28"/>
  <c r="BB710" i="28" s="1"/>
  <c r="AT710" i="28"/>
  <c r="BA710" i="28" s="1"/>
  <c r="AY709" i="28"/>
  <c r="BF709" i="28" s="1"/>
  <c r="AX709" i="28"/>
  <c r="BE709" i="28" s="1"/>
  <c r="AW709" i="28"/>
  <c r="BD709" i="28" s="1"/>
  <c r="AV709" i="28"/>
  <c r="BC709" i="28" s="1"/>
  <c r="AU709" i="28"/>
  <c r="BB709" i="28" s="1"/>
  <c r="AT709" i="28"/>
  <c r="BA709" i="28" s="1"/>
  <c r="AY708" i="28"/>
  <c r="BF708" i="28" s="1"/>
  <c r="AX708" i="28"/>
  <c r="BE708" i="28" s="1"/>
  <c r="AW708" i="28"/>
  <c r="BD708" i="28" s="1"/>
  <c r="AV708" i="28"/>
  <c r="BC708" i="28" s="1"/>
  <c r="AU708" i="28"/>
  <c r="BB708" i="28" s="1"/>
  <c r="AT708" i="28"/>
  <c r="BA708" i="28" s="1"/>
  <c r="AY707" i="28"/>
  <c r="BF707" i="28" s="1"/>
  <c r="AX707" i="28"/>
  <c r="BE707" i="28" s="1"/>
  <c r="AW707" i="28"/>
  <c r="BD707" i="28" s="1"/>
  <c r="AV707" i="28"/>
  <c r="BC707" i="28" s="1"/>
  <c r="AU707" i="28"/>
  <c r="BB707" i="28" s="1"/>
  <c r="AT707" i="28"/>
  <c r="BA707" i="28" s="1"/>
  <c r="AY706" i="28"/>
  <c r="BF706" i="28" s="1"/>
  <c r="AX706" i="28"/>
  <c r="BE706" i="28" s="1"/>
  <c r="AW706" i="28"/>
  <c r="BD706" i="28" s="1"/>
  <c r="AV706" i="28"/>
  <c r="BC706" i="28" s="1"/>
  <c r="AU706" i="28"/>
  <c r="BB706" i="28" s="1"/>
  <c r="AT706" i="28"/>
  <c r="BA706" i="28" s="1"/>
  <c r="AY705" i="28"/>
  <c r="BF705" i="28" s="1"/>
  <c r="AX705" i="28"/>
  <c r="BE705" i="28" s="1"/>
  <c r="AW705" i="28"/>
  <c r="BD705" i="28" s="1"/>
  <c r="AV705" i="28"/>
  <c r="BC705" i="28" s="1"/>
  <c r="AU705" i="28"/>
  <c r="BB705" i="28" s="1"/>
  <c r="AT705" i="28"/>
  <c r="BA705" i="28" s="1"/>
  <c r="AX704" i="28"/>
  <c r="BE704" i="28" s="1"/>
  <c r="AW704" i="28"/>
  <c r="BD704" i="28" s="1"/>
  <c r="AV704" i="28"/>
  <c r="BC704" i="28" s="1"/>
  <c r="AU704" i="28"/>
  <c r="BB704" i="28" s="1"/>
  <c r="AT704" i="28"/>
  <c r="BA704" i="28" s="1"/>
  <c r="AY703" i="28"/>
  <c r="BF703" i="28" s="1"/>
  <c r="AX703" i="28"/>
  <c r="BE703" i="28" s="1"/>
  <c r="AW703" i="28"/>
  <c r="BD703" i="28" s="1"/>
  <c r="AV703" i="28"/>
  <c r="BC703" i="28" s="1"/>
  <c r="AU703" i="28"/>
  <c r="BB703" i="28" s="1"/>
  <c r="AT703" i="28"/>
  <c r="BA703" i="28" s="1"/>
  <c r="AX702" i="28"/>
  <c r="BE702" i="28" s="1"/>
  <c r="AW702" i="28"/>
  <c r="BD702" i="28" s="1"/>
  <c r="AV702" i="28"/>
  <c r="BC702" i="28" s="1"/>
  <c r="AU702" i="28"/>
  <c r="BB702" i="28" s="1"/>
  <c r="AT702" i="28"/>
  <c r="BA702" i="28" s="1"/>
  <c r="AY701" i="28"/>
  <c r="BF701" i="28" s="1"/>
  <c r="AX701" i="28"/>
  <c r="BE701" i="28" s="1"/>
  <c r="AW701" i="28"/>
  <c r="BD701" i="28" s="1"/>
  <c r="AV701" i="28"/>
  <c r="BC701" i="28" s="1"/>
  <c r="AU701" i="28"/>
  <c r="BB701" i="28" s="1"/>
  <c r="AT701" i="28"/>
  <c r="BA701" i="28" s="1"/>
  <c r="AY700" i="28"/>
  <c r="BF700" i="28" s="1"/>
  <c r="AX700" i="28"/>
  <c r="BE700" i="28" s="1"/>
  <c r="AW700" i="28"/>
  <c r="BD700" i="28" s="1"/>
  <c r="AV700" i="28"/>
  <c r="BC700" i="28" s="1"/>
  <c r="AU700" i="28"/>
  <c r="BB700" i="28" s="1"/>
  <c r="AT700" i="28"/>
  <c r="BA700" i="28" s="1"/>
  <c r="AY699" i="28"/>
  <c r="BF699" i="28" s="1"/>
  <c r="AX699" i="28"/>
  <c r="BE699" i="28" s="1"/>
  <c r="AW699" i="28"/>
  <c r="BD699" i="28" s="1"/>
  <c r="AV699" i="28"/>
  <c r="BC699" i="28" s="1"/>
  <c r="AU699" i="28"/>
  <c r="BB699" i="28" s="1"/>
  <c r="AT699" i="28"/>
  <c r="BA699" i="28" s="1"/>
  <c r="AY698" i="28"/>
  <c r="BF698" i="28" s="1"/>
  <c r="AX698" i="28"/>
  <c r="BE698" i="28" s="1"/>
  <c r="AW698" i="28"/>
  <c r="BD698" i="28" s="1"/>
  <c r="AV698" i="28"/>
  <c r="BC698" i="28" s="1"/>
  <c r="AU698" i="28"/>
  <c r="BB698" i="28" s="1"/>
  <c r="AT698" i="28"/>
  <c r="BA698" i="28" s="1"/>
  <c r="AY697" i="28"/>
  <c r="BF697" i="28" s="1"/>
  <c r="AX697" i="28"/>
  <c r="BE697" i="28" s="1"/>
  <c r="AW697" i="28"/>
  <c r="BD697" i="28" s="1"/>
  <c r="AV697" i="28"/>
  <c r="BC697" i="28" s="1"/>
  <c r="AU697" i="28"/>
  <c r="BB697" i="28" s="1"/>
  <c r="AT697" i="28"/>
  <c r="BA697" i="28" s="1"/>
  <c r="AX696" i="28"/>
  <c r="BE696" i="28" s="1"/>
  <c r="AW696" i="28"/>
  <c r="BD696" i="28" s="1"/>
  <c r="AV696" i="28"/>
  <c r="BC696" i="28" s="1"/>
  <c r="AU696" i="28"/>
  <c r="BB696" i="28" s="1"/>
  <c r="AT696" i="28"/>
  <c r="BA696" i="28" s="1"/>
  <c r="AX695" i="28"/>
  <c r="BE695" i="28" s="1"/>
  <c r="AW695" i="28"/>
  <c r="BD695" i="28" s="1"/>
  <c r="AV695" i="28"/>
  <c r="BC695" i="28" s="1"/>
  <c r="AU695" i="28"/>
  <c r="BB695" i="28" s="1"/>
  <c r="AT695" i="28"/>
  <c r="BA695" i="28" s="1"/>
  <c r="AX694" i="28"/>
  <c r="BE694" i="28" s="1"/>
  <c r="AW694" i="28"/>
  <c r="BD694" i="28" s="1"/>
  <c r="AV694" i="28"/>
  <c r="BC694" i="28" s="1"/>
  <c r="AU694" i="28"/>
  <c r="BB694" i="28" s="1"/>
  <c r="AT694" i="28"/>
  <c r="BA694" i="28" s="1"/>
  <c r="AY693" i="28"/>
  <c r="BF693" i="28" s="1"/>
  <c r="AX693" i="28"/>
  <c r="BE693" i="28" s="1"/>
  <c r="AW693" i="28"/>
  <c r="BD693" i="28" s="1"/>
  <c r="AV693" i="28"/>
  <c r="BC693" i="28" s="1"/>
  <c r="AU693" i="28"/>
  <c r="BB693" i="28" s="1"/>
  <c r="AT693" i="28"/>
  <c r="BA693" i="28" s="1"/>
  <c r="AY692" i="28"/>
  <c r="BF692" i="28" s="1"/>
  <c r="AX692" i="28"/>
  <c r="BE692" i="28" s="1"/>
  <c r="AW692" i="28"/>
  <c r="BD692" i="28" s="1"/>
  <c r="AV692" i="28"/>
  <c r="BC692" i="28" s="1"/>
  <c r="AU692" i="28"/>
  <c r="BB692" i="28" s="1"/>
  <c r="AT692" i="28"/>
  <c r="BA692" i="28" s="1"/>
  <c r="AY691" i="28"/>
  <c r="BF691" i="28" s="1"/>
  <c r="AX691" i="28"/>
  <c r="BE691" i="28" s="1"/>
  <c r="AW691" i="28"/>
  <c r="BD691" i="28" s="1"/>
  <c r="AV691" i="28"/>
  <c r="BC691" i="28" s="1"/>
  <c r="AU691" i="28"/>
  <c r="BB691" i="28" s="1"/>
  <c r="AT691" i="28"/>
  <c r="BA691" i="28" s="1"/>
  <c r="AY690" i="28"/>
  <c r="BF690" i="28" s="1"/>
  <c r="AX690" i="28"/>
  <c r="BE690" i="28" s="1"/>
  <c r="AW690" i="28"/>
  <c r="BD690" i="28" s="1"/>
  <c r="AV690" i="28"/>
  <c r="BC690" i="28" s="1"/>
  <c r="AU690" i="28"/>
  <c r="BB690" i="28" s="1"/>
  <c r="AT690" i="28"/>
  <c r="BA690" i="28" s="1"/>
  <c r="AY689" i="28"/>
  <c r="BF689" i="28" s="1"/>
  <c r="AX689" i="28"/>
  <c r="BE689" i="28" s="1"/>
  <c r="AW689" i="28"/>
  <c r="BD689" i="28" s="1"/>
  <c r="AV689" i="28"/>
  <c r="BC689" i="28" s="1"/>
  <c r="AU689" i="28"/>
  <c r="BB689" i="28" s="1"/>
  <c r="AT689" i="28"/>
  <c r="BA689" i="28" s="1"/>
  <c r="AX688" i="28"/>
  <c r="BE688" i="28" s="1"/>
  <c r="AW688" i="28"/>
  <c r="BD688" i="28" s="1"/>
  <c r="AV688" i="28"/>
  <c r="BC688" i="28" s="1"/>
  <c r="AU688" i="28"/>
  <c r="BB688" i="28" s="1"/>
  <c r="AT688" i="28"/>
  <c r="BA688" i="28" s="1"/>
  <c r="AX687" i="28"/>
  <c r="BE687" i="28" s="1"/>
  <c r="AW687" i="28"/>
  <c r="BD687" i="28" s="1"/>
  <c r="AV687" i="28"/>
  <c r="BC687" i="28" s="1"/>
  <c r="AU687" i="28"/>
  <c r="BB687" i="28" s="1"/>
  <c r="AT687" i="28"/>
  <c r="BA687" i="28" s="1"/>
  <c r="AX686" i="28"/>
  <c r="BE686" i="28" s="1"/>
  <c r="AW686" i="28"/>
  <c r="BD686" i="28" s="1"/>
  <c r="AV686" i="28"/>
  <c r="BC686" i="28" s="1"/>
  <c r="AU686" i="28"/>
  <c r="BB686" i="28" s="1"/>
  <c r="AT686" i="28"/>
  <c r="BA686" i="28" s="1"/>
  <c r="AY685" i="28"/>
  <c r="BF685" i="28" s="1"/>
  <c r="AX685" i="28"/>
  <c r="BE685" i="28" s="1"/>
  <c r="AW685" i="28"/>
  <c r="BD685" i="28" s="1"/>
  <c r="AV685" i="28"/>
  <c r="BC685" i="28" s="1"/>
  <c r="AU685" i="28"/>
  <c r="BB685" i="28" s="1"/>
  <c r="AT685" i="28"/>
  <c r="BA685" i="28" s="1"/>
  <c r="AY684" i="28"/>
  <c r="BF684" i="28" s="1"/>
  <c r="AX684" i="28"/>
  <c r="BE684" i="28" s="1"/>
  <c r="AW684" i="28"/>
  <c r="BD684" i="28" s="1"/>
  <c r="AV684" i="28"/>
  <c r="BC684" i="28" s="1"/>
  <c r="AU684" i="28"/>
  <c r="BB684" i="28" s="1"/>
  <c r="AT684" i="28"/>
  <c r="BA684" i="28" s="1"/>
  <c r="AY683" i="28"/>
  <c r="BF683" i="28" s="1"/>
  <c r="AX683" i="28"/>
  <c r="BE683" i="28" s="1"/>
  <c r="AW683" i="28"/>
  <c r="BD683" i="28" s="1"/>
  <c r="AV683" i="28"/>
  <c r="BC683" i="28" s="1"/>
  <c r="AU683" i="28"/>
  <c r="BB683" i="28" s="1"/>
  <c r="AT683" i="28"/>
  <c r="BA683" i="28" s="1"/>
  <c r="AY682" i="28"/>
  <c r="BF682" i="28" s="1"/>
  <c r="AX682" i="28"/>
  <c r="BE682" i="28" s="1"/>
  <c r="AW682" i="28"/>
  <c r="BD682" i="28" s="1"/>
  <c r="AV682" i="28"/>
  <c r="BC682" i="28" s="1"/>
  <c r="AU682" i="28"/>
  <c r="BB682" i="28" s="1"/>
  <c r="AT682" i="28"/>
  <c r="BA682" i="28" s="1"/>
  <c r="AY681" i="28"/>
  <c r="BF681" i="28" s="1"/>
  <c r="AX681" i="28"/>
  <c r="BE681" i="28" s="1"/>
  <c r="AW681" i="28"/>
  <c r="BD681" i="28" s="1"/>
  <c r="AV681" i="28"/>
  <c r="BC681" i="28" s="1"/>
  <c r="AU681" i="28"/>
  <c r="BB681" i="28" s="1"/>
  <c r="AT681" i="28"/>
  <c r="BA681" i="28" s="1"/>
  <c r="AX680" i="28"/>
  <c r="BE680" i="28" s="1"/>
  <c r="AW680" i="28"/>
  <c r="BD680" i="28" s="1"/>
  <c r="AV680" i="28"/>
  <c r="BC680" i="28" s="1"/>
  <c r="AU680" i="28"/>
  <c r="BB680" i="28" s="1"/>
  <c r="AT680" i="28"/>
  <c r="BA680" i="28" s="1"/>
  <c r="AY679" i="28"/>
  <c r="BF679" i="28" s="1"/>
  <c r="AX679" i="28"/>
  <c r="BE679" i="28" s="1"/>
  <c r="AW679" i="28"/>
  <c r="BD679" i="28" s="1"/>
  <c r="AV679" i="28"/>
  <c r="BC679" i="28" s="1"/>
  <c r="AU679" i="28"/>
  <c r="BB679" i="28" s="1"/>
  <c r="AT679" i="28"/>
  <c r="BA679" i="28" s="1"/>
  <c r="AX678" i="28"/>
  <c r="BE678" i="28" s="1"/>
  <c r="AW678" i="28"/>
  <c r="BD678" i="28" s="1"/>
  <c r="AV678" i="28"/>
  <c r="BC678" i="28" s="1"/>
  <c r="AU678" i="28"/>
  <c r="BB678" i="28" s="1"/>
  <c r="AT678" i="28"/>
  <c r="BA678" i="28" s="1"/>
  <c r="AY677" i="28"/>
  <c r="BF677" i="28" s="1"/>
  <c r="AX677" i="28"/>
  <c r="BE677" i="28" s="1"/>
  <c r="AW677" i="28"/>
  <c r="BD677" i="28" s="1"/>
  <c r="AV677" i="28"/>
  <c r="BC677" i="28" s="1"/>
  <c r="AU677" i="28"/>
  <c r="BB677" i="28" s="1"/>
  <c r="AT677" i="28"/>
  <c r="BA677" i="28" s="1"/>
  <c r="AY676" i="28"/>
  <c r="BF676" i="28" s="1"/>
  <c r="AX676" i="28"/>
  <c r="BE676" i="28" s="1"/>
  <c r="AW676" i="28"/>
  <c r="BD676" i="28" s="1"/>
  <c r="AV676" i="28"/>
  <c r="BC676" i="28" s="1"/>
  <c r="AU676" i="28"/>
  <c r="BB676" i="28" s="1"/>
  <c r="AT676" i="28"/>
  <c r="BA676" i="28" s="1"/>
  <c r="AY675" i="28"/>
  <c r="BF675" i="28" s="1"/>
  <c r="AX675" i="28"/>
  <c r="BE675" i="28" s="1"/>
  <c r="AW675" i="28"/>
  <c r="BD675" i="28" s="1"/>
  <c r="AV675" i="28"/>
  <c r="BC675" i="28" s="1"/>
  <c r="AU675" i="28"/>
  <c r="BB675" i="28" s="1"/>
  <c r="AT675" i="28"/>
  <c r="BA675" i="28" s="1"/>
  <c r="AY674" i="28"/>
  <c r="BF674" i="28" s="1"/>
  <c r="AX674" i="28"/>
  <c r="BE674" i="28" s="1"/>
  <c r="AW674" i="28"/>
  <c r="BD674" i="28" s="1"/>
  <c r="AV674" i="28"/>
  <c r="BC674" i="28" s="1"/>
  <c r="AU674" i="28"/>
  <c r="BB674" i="28" s="1"/>
  <c r="AT674" i="28"/>
  <c r="BA674" i="28" s="1"/>
  <c r="AY673" i="28"/>
  <c r="BF673" i="28" s="1"/>
  <c r="AX673" i="28"/>
  <c r="BE673" i="28" s="1"/>
  <c r="AW673" i="28"/>
  <c r="BD673" i="28" s="1"/>
  <c r="AV673" i="28"/>
  <c r="BC673" i="28" s="1"/>
  <c r="AU673" i="28"/>
  <c r="BB673" i="28" s="1"/>
  <c r="AT673" i="28"/>
  <c r="BA673" i="28" s="1"/>
  <c r="AX672" i="28"/>
  <c r="BE672" i="28" s="1"/>
  <c r="AW672" i="28"/>
  <c r="BD672" i="28" s="1"/>
  <c r="AV672" i="28"/>
  <c r="BC672" i="28" s="1"/>
  <c r="AU672" i="28"/>
  <c r="BB672" i="28" s="1"/>
  <c r="AT672" i="28"/>
  <c r="BA672" i="28" s="1"/>
  <c r="AX671" i="28"/>
  <c r="BE671" i="28" s="1"/>
  <c r="AW671" i="28"/>
  <c r="BD671" i="28" s="1"/>
  <c r="AV671" i="28"/>
  <c r="BC671" i="28" s="1"/>
  <c r="AU671" i="28"/>
  <c r="BB671" i="28" s="1"/>
  <c r="AT671" i="28"/>
  <c r="BA671" i="28" s="1"/>
  <c r="AX670" i="28"/>
  <c r="BE670" i="28" s="1"/>
  <c r="AW670" i="28"/>
  <c r="BD670" i="28" s="1"/>
  <c r="AV670" i="28"/>
  <c r="BC670" i="28" s="1"/>
  <c r="AU670" i="28"/>
  <c r="BB670" i="28" s="1"/>
  <c r="AT670" i="28"/>
  <c r="BA670" i="28" s="1"/>
  <c r="AY669" i="28"/>
  <c r="BF669" i="28" s="1"/>
  <c r="AX669" i="28"/>
  <c r="BE669" i="28" s="1"/>
  <c r="AW669" i="28"/>
  <c r="BD669" i="28" s="1"/>
  <c r="AV669" i="28"/>
  <c r="BC669" i="28" s="1"/>
  <c r="AU669" i="28"/>
  <c r="BB669" i="28" s="1"/>
  <c r="AT669" i="28"/>
  <c r="BA669" i="28" s="1"/>
  <c r="AY668" i="28"/>
  <c r="BF668" i="28" s="1"/>
  <c r="AX668" i="28"/>
  <c r="BE668" i="28" s="1"/>
  <c r="AW668" i="28"/>
  <c r="BD668" i="28" s="1"/>
  <c r="AV668" i="28"/>
  <c r="BC668" i="28" s="1"/>
  <c r="AU668" i="28"/>
  <c r="BB668" i="28" s="1"/>
  <c r="AT668" i="28"/>
  <c r="BA668" i="28" s="1"/>
  <c r="AY667" i="28"/>
  <c r="BF667" i="28" s="1"/>
  <c r="AX667" i="28"/>
  <c r="BE667" i="28" s="1"/>
  <c r="AW667" i="28"/>
  <c r="BD667" i="28" s="1"/>
  <c r="AV667" i="28"/>
  <c r="BC667" i="28" s="1"/>
  <c r="AU667" i="28"/>
  <c r="BB667" i="28" s="1"/>
  <c r="AT667" i="28"/>
  <c r="BA667" i="28" s="1"/>
  <c r="AY666" i="28"/>
  <c r="BF666" i="28" s="1"/>
  <c r="AX666" i="28"/>
  <c r="BE666" i="28" s="1"/>
  <c r="AW666" i="28"/>
  <c r="BD666" i="28" s="1"/>
  <c r="AV666" i="28"/>
  <c r="BC666" i="28" s="1"/>
  <c r="AU666" i="28"/>
  <c r="BB666" i="28" s="1"/>
  <c r="AT666" i="28"/>
  <c r="BA666" i="28" s="1"/>
  <c r="AY665" i="28"/>
  <c r="BF665" i="28" s="1"/>
  <c r="AX665" i="28"/>
  <c r="BE665" i="28" s="1"/>
  <c r="AW665" i="28"/>
  <c r="BD665" i="28" s="1"/>
  <c r="AV665" i="28"/>
  <c r="BC665" i="28" s="1"/>
  <c r="AU665" i="28"/>
  <c r="BB665" i="28" s="1"/>
  <c r="AT665" i="28"/>
  <c r="BA665" i="28" s="1"/>
  <c r="AX664" i="28"/>
  <c r="BE664" i="28" s="1"/>
  <c r="AW664" i="28"/>
  <c r="BD664" i="28" s="1"/>
  <c r="AV664" i="28"/>
  <c r="BC664" i="28" s="1"/>
  <c r="AU664" i="28"/>
  <c r="BB664" i="28" s="1"/>
  <c r="AT664" i="28"/>
  <c r="BA664" i="28" s="1"/>
  <c r="AX663" i="28"/>
  <c r="BE663" i="28" s="1"/>
  <c r="AW663" i="28"/>
  <c r="BD663" i="28" s="1"/>
  <c r="AV663" i="28"/>
  <c r="BC663" i="28" s="1"/>
  <c r="AU663" i="28"/>
  <c r="BB663" i="28" s="1"/>
  <c r="AT663" i="28"/>
  <c r="BA663" i="28" s="1"/>
  <c r="AX662" i="28"/>
  <c r="BE662" i="28" s="1"/>
  <c r="AW662" i="28"/>
  <c r="BD662" i="28" s="1"/>
  <c r="AV662" i="28"/>
  <c r="BC662" i="28" s="1"/>
  <c r="AU662" i="28"/>
  <c r="BB662" i="28" s="1"/>
  <c r="AT662" i="28"/>
  <c r="BA662" i="28" s="1"/>
  <c r="AY661" i="28"/>
  <c r="BF661" i="28" s="1"/>
  <c r="AX661" i="28"/>
  <c r="BE661" i="28" s="1"/>
  <c r="AW661" i="28"/>
  <c r="BD661" i="28" s="1"/>
  <c r="AV661" i="28"/>
  <c r="BC661" i="28" s="1"/>
  <c r="AU661" i="28"/>
  <c r="BB661" i="28" s="1"/>
  <c r="AT661" i="28"/>
  <c r="BA661" i="28" s="1"/>
  <c r="AY660" i="28"/>
  <c r="BF660" i="28" s="1"/>
  <c r="AX660" i="28"/>
  <c r="BE660" i="28" s="1"/>
  <c r="AW660" i="28"/>
  <c r="BD660" i="28" s="1"/>
  <c r="AV660" i="28"/>
  <c r="BC660" i="28" s="1"/>
  <c r="AU660" i="28"/>
  <c r="BB660" i="28" s="1"/>
  <c r="AT660" i="28"/>
  <c r="BA660" i="28" s="1"/>
  <c r="AY659" i="28"/>
  <c r="BF659" i="28" s="1"/>
  <c r="AX659" i="28"/>
  <c r="BE659" i="28" s="1"/>
  <c r="AW659" i="28"/>
  <c r="BD659" i="28" s="1"/>
  <c r="AV659" i="28"/>
  <c r="BC659" i="28" s="1"/>
  <c r="AU659" i="28"/>
  <c r="BB659" i="28" s="1"/>
  <c r="AT659" i="28"/>
  <c r="BA659" i="28" s="1"/>
  <c r="AY658" i="28"/>
  <c r="BF658" i="28" s="1"/>
  <c r="AX658" i="28"/>
  <c r="BE658" i="28" s="1"/>
  <c r="AW658" i="28"/>
  <c r="BD658" i="28" s="1"/>
  <c r="AV658" i="28"/>
  <c r="BC658" i="28" s="1"/>
  <c r="AU658" i="28"/>
  <c r="BB658" i="28" s="1"/>
  <c r="AT658" i="28"/>
  <c r="BA658" i="28" s="1"/>
  <c r="AY657" i="28"/>
  <c r="BF657" i="28" s="1"/>
  <c r="AX657" i="28"/>
  <c r="BE657" i="28" s="1"/>
  <c r="AW657" i="28"/>
  <c r="BD657" i="28" s="1"/>
  <c r="AV657" i="28"/>
  <c r="BC657" i="28" s="1"/>
  <c r="AU657" i="28"/>
  <c r="BB657" i="28" s="1"/>
  <c r="AT657" i="28"/>
  <c r="BA657" i="28" s="1"/>
  <c r="AX656" i="28"/>
  <c r="BE656" i="28" s="1"/>
  <c r="AW656" i="28"/>
  <c r="BD656" i="28" s="1"/>
  <c r="AV656" i="28"/>
  <c r="BC656" i="28" s="1"/>
  <c r="AU656" i="28"/>
  <c r="BB656" i="28" s="1"/>
  <c r="AT656" i="28"/>
  <c r="BA656" i="28" s="1"/>
  <c r="AX655" i="28"/>
  <c r="BE655" i="28" s="1"/>
  <c r="AW655" i="28"/>
  <c r="BD655" i="28" s="1"/>
  <c r="AV655" i="28"/>
  <c r="BC655" i="28" s="1"/>
  <c r="AU655" i="28"/>
  <c r="BB655" i="28" s="1"/>
  <c r="AT655" i="28"/>
  <c r="BA655" i="28" s="1"/>
  <c r="AX654" i="28"/>
  <c r="BE654" i="28" s="1"/>
  <c r="AW654" i="28"/>
  <c r="BD654" i="28" s="1"/>
  <c r="AV654" i="28"/>
  <c r="BC654" i="28" s="1"/>
  <c r="AU654" i="28"/>
  <c r="BB654" i="28" s="1"/>
  <c r="AT654" i="28"/>
  <c r="BA654" i="28" s="1"/>
  <c r="AY653" i="28"/>
  <c r="BF653" i="28" s="1"/>
  <c r="AX653" i="28"/>
  <c r="BE653" i="28" s="1"/>
  <c r="AW653" i="28"/>
  <c r="BD653" i="28" s="1"/>
  <c r="AV653" i="28"/>
  <c r="BC653" i="28" s="1"/>
  <c r="AU653" i="28"/>
  <c r="BB653" i="28" s="1"/>
  <c r="AT653" i="28"/>
  <c r="BA653" i="28" s="1"/>
  <c r="AY652" i="28"/>
  <c r="BF652" i="28" s="1"/>
  <c r="AX652" i="28"/>
  <c r="BE652" i="28" s="1"/>
  <c r="AW652" i="28"/>
  <c r="BD652" i="28" s="1"/>
  <c r="AV652" i="28"/>
  <c r="BC652" i="28" s="1"/>
  <c r="AU652" i="28"/>
  <c r="BB652" i="28" s="1"/>
  <c r="AT652" i="28"/>
  <c r="BA652" i="28" s="1"/>
  <c r="AY651" i="28"/>
  <c r="BF651" i="28" s="1"/>
  <c r="AX651" i="28"/>
  <c r="BE651" i="28" s="1"/>
  <c r="AW651" i="28"/>
  <c r="BD651" i="28" s="1"/>
  <c r="AV651" i="28"/>
  <c r="BC651" i="28" s="1"/>
  <c r="AU651" i="28"/>
  <c r="BB651" i="28" s="1"/>
  <c r="AT651" i="28"/>
  <c r="BA651" i="28" s="1"/>
  <c r="AY650" i="28"/>
  <c r="BF650" i="28" s="1"/>
  <c r="AX650" i="28"/>
  <c r="BE650" i="28" s="1"/>
  <c r="AW650" i="28"/>
  <c r="BD650" i="28" s="1"/>
  <c r="AV650" i="28"/>
  <c r="BC650" i="28" s="1"/>
  <c r="AU650" i="28"/>
  <c r="BB650" i="28" s="1"/>
  <c r="AT650" i="28"/>
  <c r="BA650" i="28" s="1"/>
  <c r="AY649" i="28"/>
  <c r="BF649" i="28" s="1"/>
  <c r="AX649" i="28"/>
  <c r="BE649" i="28" s="1"/>
  <c r="AW649" i="28"/>
  <c r="BD649" i="28" s="1"/>
  <c r="AV649" i="28"/>
  <c r="BC649" i="28" s="1"/>
  <c r="AU649" i="28"/>
  <c r="BB649" i="28" s="1"/>
  <c r="AT649" i="28"/>
  <c r="BA649" i="28" s="1"/>
  <c r="AX648" i="28"/>
  <c r="BE648" i="28" s="1"/>
  <c r="AW648" i="28"/>
  <c r="BD648" i="28" s="1"/>
  <c r="AV648" i="28"/>
  <c r="BC648" i="28" s="1"/>
  <c r="AU648" i="28"/>
  <c r="BB648" i="28" s="1"/>
  <c r="AT648" i="28"/>
  <c r="BA648" i="28" s="1"/>
  <c r="AY647" i="28"/>
  <c r="BF647" i="28" s="1"/>
  <c r="AX647" i="28"/>
  <c r="BE647" i="28" s="1"/>
  <c r="AW647" i="28"/>
  <c r="BD647" i="28" s="1"/>
  <c r="AV647" i="28"/>
  <c r="BC647" i="28" s="1"/>
  <c r="AU647" i="28"/>
  <c r="BB647" i="28" s="1"/>
  <c r="AT647" i="28"/>
  <c r="BA647" i="28" s="1"/>
  <c r="AX646" i="28"/>
  <c r="BE646" i="28" s="1"/>
  <c r="AW646" i="28"/>
  <c r="BD646" i="28" s="1"/>
  <c r="AV646" i="28"/>
  <c r="BC646" i="28" s="1"/>
  <c r="AU646" i="28"/>
  <c r="BB646" i="28" s="1"/>
  <c r="AT646" i="28"/>
  <c r="BA646" i="28" s="1"/>
  <c r="AY645" i="28"/>
  <c r="BF645" i="28" s="1"/>
  <c r="AX645" i="28"/>
  <c r="BE645" i="28" s="1"/>
  <c r="AW645" i="28"/>
  <c r="BD645" i="28" s="1"/>
  <c r="AV645" i="28"/>
  <c r="BC645" i="28" s="1"/>
  <c r="AU645" i="28"/>
  <c r="BB645" i="28" s="1"/>
  <c r="AT645" i="28"/>
  <c r="BA645" i="28" s="1"/>
  <c r="AY644" i="28"/>
  <c r="BF644" i="28" s="1"/>
  <c r="AX644" i="28"/>
  <c r="BE644" i="28" s="1"/>
  <c r="AW644" i="28"/>
  <c r="BD644" i="28" s="1"/>
  <c r="AV644" i="28"/>
  <c r="BC644" i="28" s="1"/>
  <c r="AU644" i="28"/>
  <c r="BB644" i="28" s="1"/>
  <c r="AT644" i="28"/>
  <c r="BA644" i="28" s="1"/>
  <c r="AY643" i="28"/>
  <c r="BF643" i="28" s="1"/>
  <c r="AX643" i="28"/>
  <c r="BE643" i="28" s="1"/>
  <c r="AW643" i="28"/>
  <c r="BD643" i="28" s="1"/>
  <c r="AV643" i="28"/>
  <c r="BC643" i="28" s="1"/>
  <c r="AU643" i="28"/>
  <c r="BB643" i="28" s="1"/>
  <c r="AT643" i="28"/>
  <c r="BA643" i="28" s="1"/>
  <c r="AY642" i="28"/>
  <c r="BF642" i="28" s="1"/>
  <c r="AX642" i="28"/>
  <c r="BE642" i="28" s="1"/>
  <c r="AW642" i="28"/>
  <c r="BD642" i="28" s="1"/>
  <c r="AV642" i="28"/>
  <c r="BC642" i="28" s="1"/>
  <c r="AU642" i="28"/>
  <c r="BB642" i="28" s="1"/>
  <c r="AT642" i="28"/>
  <c r="BA642" i="28" s="1"/>
  <c r="AY641" i="28"/>
  <c r="BF641" i="28" s="1"/>
  <c r="AX641" i="28"/>
  <c r="BE641" i="28" s="1"/>
  <c r="AW641" i="28"/>
  <c r="BD641" i="28" s="1"/>
  <c r="AV641" i="28"/>
  <c r="BC641" i="28" s="1"/>
  <c r="AU641" i="28"/>
  <c r="BB641" i="28" s="1"/>
  <c r="AT641" i="28"/>
  <c r="BA641" i="28" s="1"/>
  <c r="AX640" i="28"/>
  <c r="BE640" i="28" s="1"/>
  <c r="AW640" i="28"/>
  <c r="BD640" i="28" s="1"/>
  <c r="AV640" i="28"/>
  <c r="BC640" i="28" s="1"/>
  <c r="AU640" i="28"/>
  <c r="BB640" i="28" s="1"/>
  <c r="AT640" i="28"/>
  <c r="BA640" i="28" s="1"/>
  <c r="AX639" i="28"/>
  <c r="BE639" i="28" s="1"/>
  <c r="AW639" i="28"/>
  <c r="BD639" i="28" s="1"/>
  <c r="AV639" i="28"/>
  <c r="BC639" i="28" s="1"/>
  <c r="AU639" i="28"/>
  <c r="BB639" i="28" s="1"/>
  <c r="AT639" i="28"/>
  <c r="BA639" i="28" s="1"/>
  <c r="AY638" i="28"/>
  <c r="BF638" i="28" s="1"/>
  <c r="AX638" i="28"/>
  <c r="BE638" i="28" s="1"/>
  <c r="AW638" i="28"/>
  <c r="BD638" i="28" s="1"/>
  <c r="AV638" i="28"/>
  <c r="BC638" i="28" s="1"/>
  <c r="AU638" i="28"/>
  <c r="BB638" i="28" s="1"/>
  <c r="AT638" i="28"/>
  <c r="BA638" i="28" s="1"/>
  <c r="AY637" i="28"/>
  <c r="BF637" i="28" s="1"/>
  <c r="AX637" i="28"/>
  <c r="BE637" i="28" s="1"/>
  <c r="AW637" i="28"/>
  <c r="BD637" i="28" s="1"/>
  <c r="AV637" i="28"/>
  <c r="BC637" i="28" s="1"/>
  <c r="AU637" i="28"/>
  <c r="BB637" i="28" s="1"/>
  <c r="AT637" i="28"/>
  <c r="BA637" i="28" s="1"/>
  <c r="AY636" i="28"/>
  <c r="BF636" i="28" s="1"/>
  <c r="AX636" i="28"/>
  <c r="BE636" i="28" s="1"/>
  <c r="AW636" i="28"/>
  <c r="BD636" i="28" s="1"/>
  <c r="AV636" i="28"/>
  <c r="BC636" i="28" s="1"/>
  <c r="AU636" i="28"/>
  <c r="BB636" i="28" s="1"/>
  <c r="AT636" i="28"/>
  <c r="BA636" i="28" s="1"/>
  <c r="AY635" i="28"/>
  <c r="BF635" i="28" s="1"/>
  <c r="AX635" i="28"/>
  <c r="BE635" i="28" s="1"/>
  <c r="AW635" i="28"/>
  <c r="BD635" i="28" s="1"/>
  <c r="AV635" i="28"/>
  <c r="BC635" i="28" s="1"/>
  <c r="AU635" i="28"/>
  <c r="BB635" i="28" s="1"/>
  <c r="AT635" i="28"/>
  <c r="BA635" i="28" s="1"/>
  <c r="AY634" i="28"/>
  <c r="BF634" i="28" s="1"/>
  <c r="AX634" i="28"/>
  <c r="BE634" i="28" s="1"/>
  <c r="AW634" i="28"/>
  <c r="BD634" i="28" s="1"/>
  <c r="AV634" i="28"/>
  <c r="BC634" i="28" s="1"/>
  <c r="AU634" i="28"/>
  <c r="BB634" i="28" s="1"/>
  <c r="AT634" i="28"/>
  <c r="BA634" i="28" s="1"/>
  <c r="AY633" i="28"/>
  <c r="BF633" i="28" s="1"/>
  <c r="AX633" i="28"/>
  <c r="BE633" i="28" s="1"/>
  <c r="AW633" i="28"/>
  <c r="BD633" i="28" s="1"/>
  <c r="AV633" i="28"/>
  <c r="BC633" i="28" s="1"/>
  <c r="AU633" i="28"/>
  <c r="BB633" i="28" s="1"/>
  <c r="AT633" i="28"/>
  <c r="BA633" i="28" s="1"/>
  <c r="AX632" i="28"/>
  <c r="BE632" i="28" s="1"/>
  <c r="AW632" i="28"/>
  <c r="BD632" i="28" s="1"/>
  <c r="AV632" i="28"/>
  <c r="BC632" i="28" s="1"/>
  <c r="AU632" i="28"/>
  <c r="BB632" i="28" s="1"/>
  <c r="AT632" i="28"/>
  <c r="BA632" i="28" s="1"/>
  <c r="AX631" i="28"/>
  <c r="BE631" i="28" s="1"/>
  <c r="AW631" i="28"/>
  <c r="BD631" i="28" s="1"/>
  <c r="AV631" i="28"/>
  <c r="BC631" i="28" s="1"/>
  <c r="AU631" i="28"/>
  <c r="BB631" i="28" s="1"/>
  <c r="AT631" i="28"/>
  <c r="BA631" i="28" s="1"/>
  <c r="AY630" i="28"/>
  <c r="BF630" i="28" s="1"/>
  <c r="AX630" i="28"/>
  <c r="BE630" i="28" s="1"/>
  <c r="AW630" i="28"/>
  <c r="BD630" i="28" s="1"/>
  <c r="AV630" i="28"/>
  <c r="BC630" i="28" s="1"/>
  <c r="AU630" i="28"/>
  <c r="BB630" i="28" s="1"/>
  <c r="AT630" i="28"/>
  <c r="BA630" i="28" s="1"/>
  <c r="AY629" i="28"/>
  <c r="BF629" i="28" s="1"/>
  <c r="AX629" i="28"/>
  <c r="BE629" i="28" s="1"/>
  <c r="AW629" i="28"/>
  <c r="BD629" i="28" s="1"/>
  <c r="AV629" i="28"/>
  <c r="BC629" i="28" s="1"/>
  <c r="AU629" i="28"/>
  <c r="BB629" i="28" s="1"/>
  <c r="AT629" i="28"/>
  <c r="BA629" i="28" s="1"/>
  <c r="AY628" i="28"/>
  <c r="BF628" i="28" s="1"/>
  <c r="AX628" i="28"/>
  <c r="BE628" i="28" s="1"/>
  <c r="AW628" i="28"/>
  <c r="BD628" i="28" s="1"/>
  <c r="AV628" i="28"/>
  <c r="BC628" i="28" s="1"/>
  <c r="AU628" i="28"/>
  <c r="BB628" i="28" s="1"/>
  <c r="AT628" i="28"/>
  <c r="BA628" i="28" s="1"/>
  <c r="AY627" i="28"/>
  <c r="BF627" i="28" s="1"/>
  <c r="AX627" i="28"/>
  <c r="BE627" i="28" s="1"/>
  <c r="AW627" i="28"/>
  <c r="BD627" i="28" s="1"/>
  <c r="AV627" i="28"/>
  <c r="BC627" i="28" s="1"/>
  <c r="AU627" i="28"/>
  <c r="BB627" i="28" s="1"/>
  <c r="AT627" i="28"/>
  <c r="BA627" i="28" s="1"/>
  <c r="AY626" i="28"/>
  <c r="BF626" i="28" s="1"/>
  <c r="AX626" i="28"/>
  <c r="BE626" i="28" s="1"/>
  <c r="AW626" i="28"/>
  <c r="BD626" i="28" s="1"/>
  <c r="AV626" i="28"/>
  <c r="BC626" i="28" s="1"/>
  <c r="AU626" i="28"/>
  <c r="BB626" i="28" s="1"/>
  <c r="AT626" i="28"/>
  <c r="BA626" i="28" s="1"/>
  <c r="AY625" i="28"/>
  <c r="BF625" i="28" s="1"/>
  <c r="AX625" i="28"/>
  <c r="BE625" i="28" s="1"/>
  <c r="AW625" i="28"/>
  <c r="BD625" i="28" s="1"/>
  <c r="AV625" i="28"/>
  <c r="BC625" i="28" s="1"/>
  <c r="AU625" i="28"/>
  <c r="BB625" i="28" s="1"/>
  <c r="AT625" i="28"/>
  <c r="BA625" i="28" s="1"/>
  <c r="AX624" i="28"/>
  <c r="BE624" i="28" s="1"/>
  <c r="AW624" i="28"/>
  <c r="BD624" i="28" s="1"/>
  <c r="AV624" i="28"/>
  <c r="BC624" i="28" s="1"/>
  <c r="AU624" i="28"/>
  <c r="BB624" i="28" s="1"/>
  <c r="AT624" i="28"/>
  <c r="BA624" i="28" s="1"/>
  <c r="AX623" i="28"/>
  <c r="BE623" i="28" s="1"/>
  <c r="AW623" i="28"/>
  <c r="BD623" i="28" s="1"/>
  <c r="AV623" i="28"/>
  <c r="BC623" i="28" s="1"/>
  <c r="AU623" i="28"/>
  <c r="BB623" i="28" s="1"/>
  <c r="AT623" i="28"/>
  <c r="BA623" i="28" s="1"/>
  <c r="AX622" i="28"/>
  <c r="BE622" i="28" s="1"/>
  <c r="AW622" i="28"/>
  <c r="BD622" i="28" s="1"/>
  <c r="AV622" i="28"/>
  <c r="BC622" i="28" s="1"/>
  <c r="AU622" i="28"/>
  <c r="BB622" i="28" s="1"/>
  <c r="AT622" i="28"/>
  <c r="BA622" i="28" s="1"/>
  <c r="AY621" i="28"/>
  <c r="BF621" i="28" s="1"/>
  <c r="AX621" i="28"/>
  <c r="BE621" i="28" s="1"/>
  <c r="AW621" i="28"/>
  <c r="BD621" i="28" s="1"/>
  <c r="AV621" i="28"/>
  <c r="BC621" i="28" s="1"/>
  <c r="AU621" i="28"/>
  <c r="BB621" i="28" s="1"/>
  <c r="AT621" i="28"/>
  <c r="BA621" i="28" s="1"/>
  <c r="AY620" i="28"/>
  <c r="BF620" i="28" s="1"/>
  <c r="AX620" i="28"/>
  <c r="BE620" i="28" s="1"/>
  <c r="AW620" i="28"/>
  <c r="BD620" i="28" s="1"/>
  <c r="AV620" i="28"/>
  <c r="BC620" i="28" s="1"/>
  <c r="AU620" i="28"/>
  <c r="BB620" i="28" s="1"/>
  <c r="AT620" i="28"/>
  <c r="BA620" i="28" s="1"/>
  <c r="AY619" i="28"/>
  <c r="BF619" i="28" s="1"/>
  <c r="AX619" i="28"/>
  <c r="BE619" i="28" s="1"/>
  <c r="AW619" i="28"/>
  <c r="BD619" i="28" s="1"/>
  <c r="AV619" i="28"/>
  <c r="BC619" i="28" s="1"/>
  <c r="AU619" i="28"/>
  <c r="BB619" i="28" s="1"/>
  <c r="AT619" i="28"/>
  <c r="BA619" i="28" s="1"/>
  <c r="AY618" i="28"/>
  <c r="BF618" i="28" s="1"/>
  <c r="AX618" i="28"/>
  <c r="BE618" i="28" s="1"/>
  <c r="AW618" i="28"/>
  <c r="BD618" i="28" s="1"/>
  <c r="AV618" i="28"/>
  <c r="BC618" i="28" s="1"/>
  <c r="AU618" i="28"/>
  <c r="BB618" i="28" s="1"/>
  <c r="AT618" i="28"/>
  <c r="BA618" i="28" s="1"/>
  <c r="AY617" i="28"/>
  <c r="BF617" i="28" s="1"/>
  <c r="AX617" i="28"/>
  <c r="BE617" i="28" s="1"/>
  <c r="AW617" i="28"/>
  <c r="BD617" i="28" s="1"/>
  <c r="AV617" i="28"/>
  <c r="BC617" i="28" s="1"/>
  <c r="AU617" i="28"/>
  <c r="BB617" i="28" s="1"/>
  <c r="AT617" i="28"/>
  <c r="BA617" i="28" s="1"/>
  <c r="AX616" i="28"/>
  <c r="BE616" i="28" s="1"/>
  <c r="AW616" i="28"/>
  <c r="BD616" i="28" s="1"/>
  <c r="AV616" i="28"/>
  <c r="BC616" i="28" s="1"/>
  <c r="AU616" i="28"/>
  <c r="BB616" i="28" s="1"/>
  <c r="AT616" i="28"/>
  <c r="BA616" i="28" s="1"/>
  <c r="AX615" i="28"/>
  <c r="BE615" i="28" s="1"/>
  <c r="AW615" i="28"/>
  <c r="BD615" i="28" s="1"/>
  <c r="AV615" i="28"/>
  <c r="BC615" i="28" s="1"/>
  <c r="AU615" i="28"/>
  <c r="BB615" i="28" s="1"/>
  <c r="AT615" i="28"/>
  <c r="BA615" i="28" s="1"/>
  <c r="AX614" i="28"/>
  <c r="BE614" i="28" s="1"/>
  <c r="AW614" i="28"/>
  <c r="BD614" i="28" s="1"/>
  <c r="AV614" i="28"/>
  <c r="BC614" i="28" s="1"/>
  <c r="AU614" i="28"/>
  <c r="BB614" i="28" s="1"/>
  <c r="AT614" i="28"/>
  <c r="BA614" i="28" s="1"/>
  <c r="AY613" i="28"/>
  <c r="BF613" i="28" s="1"/>
  <c r="AX613" i="28"/>
  <c r="BE613" i="28" s="1"/>
  <c r="AW613" i="28"/>
  <c r="BD613" i="28" s="1"/>
  <c r="AV613" i="28"/>
  <c r="BC613" i="28" s="1"/>
  <c r="AU613" i="28"/>
  <c r="BB613" i="28" s="1"/>
  <c r="AT613" i="28"/>
  <c r="BA613" i="28" s="1"/>
  <c r="AY612" i="28"/>
  <c r="BF612" i="28" s="1"/>
  <c r="AX612" i="28"/>
  <c r="BE612" i="28" s="1"/>
  <c r="AW612" i="28"/>
  <c r="BD612" i="28" s="1"/>
  <c r="AV612" i="28"/>
  <c r="BC612" i="28" s="1"/>
  <c r="AU612" i="28"/>
  <c r="BB612" i="28" s="1"/>
  <c r="AT612" i="28"/>
  <c r="BA612" i="28" s="1"/>
  <c r="AY611" i="28"/>
  <c r="BF611" i="28" s="1"/>
  <c r="AX611" i="28"/>
  <c r="BE611" i="28" s="1"/>
  <c r="AW611" i="28"/>
  <c r="BD611" i="28" s="1"/>
  <c r="AV611" i="28"/>
  <c r="BC611" i="28" s="1"/>
  <c r="AU611" i="28"/>
  <c r="BB611" i="28" s="1"/>
  <c r="AT611" i="28"/>
  <c r="BA611" i="28" s="1"/>
  <c r="AY610" i="28"/>
  <c r="BF610" i="28" s="1"/>
  <c r="AX610" i="28"/>
  <c r="BE610" i="28" s="1"/>
  <c r="AW610" i="28"/>
  <c r="BD610" i="28" s="1"/>
  <c r="AV610" i="28"/>
  <c r="BC610" i="28" s="1"/>
  <c r="AU610" i="28"/>
  <c r="BB610" i="28" s="1"/>
  <c r="AT610" i="28"/>
  <c r="BA610" i="28" s="1"/>
  <c r="AY609" i="28"/>
  <c r="BF609" i="28" s="1"/>
  <c r="AX609" i="28"/>
  <c r="BE609" i="28" s="1"/>
  <c r="AW609" i="28"/>
  <c r="BD609" i="28" s="1"/>
  <c r="AV609" i="28"/>
  <c r="BC609" i="28" s="1"/>
  <c r="AU609" i="28"/>
  <c r="BB609" i="28" s="1"/>
  <c r="AT609" i="28"/>
  <c r="BA609" i="28" s="1"/>
  <c r="AX608" i="28"/>
  <c r="BE608" i="28" s="1"/>
  <c r="AW608" i="28"/>
  <c r="BD608" i="28" s="1"/>
  <c r="AV608" i="28"/>
  <c r="BC608" i="28" s="1"/>
  <c r="AU608" i="28"/>
  <c r="BB608" i="28" s="1"/>
  <c r="AT608" i="28"/>
  <c r="BA608" i="28" s="1"/>
  <c r="AX607" i="28"/>
  <c r="BE607" i="28" s="1"/>
  <c r="AW607" i="28"/>
  <c r="BD607" i="28" s="1"/>
  <c r="AV607" i="28"/>
  <c r="BC607" i="28" s="1"/>
  <c r="AU607" i="28"/>
  <c r="BB607" i="28" s="1"/>
  <c r="AT607" i="28"/>
  <c r="BA607" i="28" s="1"/>
  <c r="AX606" i="28"/>
  <c r="BE606" i="28" s="1"/>
  <c r="AW606" i="28"/>
  <c r="BD606" i="28" s="1"/>
  <c r="AV606" i="28"/>
  <c r="BC606" i="28" s="1"/>
  <c r="AU606" i="28"/>
  <c r="BB606" i="28" s="1"/>
  <c r="AT606" i="28"/>
  <c r="BA606" i="28" s="1"/>
  <c r="AY605" i="28"/>
  <c r="BF605" i="28" s="1"/>
  <c r="AX605" i="28"/>
  <c r="BE605" i="28" s="1"/>
  <c r="AW605" i="28"/>
  <c r="BD605" i="28" s="1"/>
  <c r="AV605" i="28"/>
  <c r="BC605" i="28" s="1"/>
  <c r="AU605" i="28"/>
  <c r="BB605" i="28" s="1"/>
  <c r="AT605" i="28"/>
  <c r="BA605" i="28" s="1"/>
  <c r="AY604" i="28"/>
  <c r="BF604" i="28" s="1"/>
  <c r="AX604" i="28"/>
  <c r="BE604" i="28" s="1"/>
  <c r="AW604" i="28"/>
  <c r="BD604" i="28" s="1"/>
  <c r="AV604" i="28"/>
  <c r="BC604" i="28" s="1"/>
  <c r="AU604" i="28"/>
  <c r="BB604" i="28" s="1"/>
  <c r="AT604" i="28"/>
  <c r="BA604" i="28" s="1"/>
  <c r="AY603" i="28"/>
  <c r="BF603" i="28" s="1"/>
  <c r="AX603" i="28"/>
  <c r="BE603" i="28" s="1"/>
  <c r="AW603" i="28"/>
  <c r="BD603" i="28" s="1"/>
  <c r="AV603" i="28"/>
  <c r="BC603" i="28" s="1"/>
  <c r="AU603" i="28"/>
  <c r="BB603" i="28" s="1"/>
  <c r="AT603" i="28"/>
  <c r="BA603" i="28" s="1"/>
  <c r="AY602" i="28"/>
  <c r="BF602" i="28" s="1"/>
  <c r="AX602" i="28"/>
  <c r="BE602" i="28" s="1"/>
  <c r="AW602" i="28"/>
  <c r="BD602" i="28" s="1"/>
  <c r="AV602" i="28"/>
  <c r="BC602" i="28" s="1"/>
  <c r="AU602" i="28"/>
  <c r="BB602" i="28" s="1"/>
  <c r="AT602" i="28"/>
  <c r="BA602" i="28" s="1"/>
  <c r="AY601" i="28"/>
  <c r="BF601" i="28" s="1"/>
  <c r="AX601" i="28"/>
  <c r="BE601" i="28" s="1"/>
  <c r="AW601" i="28"/>
  <c r="BD601" i="28" s="1"/>
  <c r="AV601" i="28"/>
  <c r="BC601" i="28" s="1"/>
  <c r="AU601" i="28"/>
  <c r="BB601" i="28" s="1"/>
  <c r="AT601" i="28"/>
  <c r="BA601" i="28" s="1"/>
  <c r="AX600" i="28"/>
  <c r="BE600" i="28" s="1"/>
  <c r="AW600" i="28"/>
  <c r="BD600" i="28" s="1"/>
  <c r="AV600" i="28"/>
  <c r="BC600" i="28" s="1"/>
  <c r="AU600" i="28"/>
  <c r="BB600" i="28" s="1"/>
  <c r="AT600" i="28"/>
  <c r="BA600" i="28" s="1"/>
  <c r="AX599" i="28"/>
  <c r="BE599" i="28" s="1"/>
  <c r="AW599" i="28"/>
  <c r="BD599" i="28" s="1"/>
  <c r="AV599" i="28"/>
  <c r="BC599" i="28" s="1"/>
  <c r="AU599" i="28"/>
  <c r="BB599" i="28" s="1"/>
  <c r="AT599" i="28"/>
  <c r="BA599" i="28" s="1"/>
  <c r="AX598" i="28"/>
  <c r="BE598" i="28" s="1"/>
  <c r="AW598" i="28"/>
  <c r="BD598" i="28" s="1"/>
  <c r="AV598" i="28"/>
  <c r="BC598" i="28" s="1"/>
  <c r="AU598" i="28"/>
  <c r="BB598" i="28" s="1"/>
  <c r="AT598" i="28"/>
  <c r="BA598" i="28" s="1"/>
  <c r="AY597" i="28"/>
  <c r="BF597" i="28" s="1"/>
  <c r="AX597" i="28"/>
  <c r="BE597" i="28" s="1"/>
  <c r="AW597" i="28"/>
  <c r="BD597" i="28" s="1"/>
  <c r="AV597" i="28"/>
  <c r="BC597" i="28" s="1"/>
  <c r="AU597" i="28"/>
  <c r="BB597" i="28" s="1"/>
  <c r="AT597" i="28"/>
  <c r="BA597" i="28" s="1"/>
  <c r="AY596" i="28"/>
  <c r="BF596" i="28" s="1"/>
  <c r="AX596" i="28"/>
  <c r="BE596" i="28" s="1"/>
  <c r="AW596" i="28"/>
  <c r="BD596" i="28" s="1"/>
  <c r="AV596" i="28"/>
  <c r="BC596" i="28" s="1"/>
  <c r="AU596" i="28"/>
  <c r="BB596" i="28" s="1"/>
  <c r="AT596" i="28"/>
  <c r="BA596" i="28" s="1"/>
  <c r="AY595" i="28"/>
  <c r="BF595" i="28" s="1"/>
  <c r="AX595" i="28"/>
  <c r="BE595" i="28" s="1"/>
  <c r="AW595" i="28"/>
  <c r="BD595" i="28" s="1"/>
  <c r="AV595" i="28"/>
  <c r="BC595" i="28" s="1"/>
  <c r="AU595" i="28"/>
  <c r="BB595" i="28" s="1"/>
  <c r="AT595" i="28"/>
  <c r="BA595" i="28" s="1"/>
  <c r="AY594" i="28"/>
  <c r="BF594" i="28" s="1"/>
  <c r="AX594" i="28"/>
  <c r="BE594" i="28" s="1"/>
  <c r="AW594" i="28"/>
  <c r="BD594" i="28" s="1"/>
  <c r="AV594" i="28"/>
  <c r="BC594" i="28" s="1"/>
  <c r="AU594" i="28"/>
  <c r="BB594" i="28" s="1"/>
  <c r="AT594" i="28"/>
  <c r="BA594" i="28" s="1"/>
  <c r="AY593" i="28"/>
  <c r="BF593" i="28" s="1"/>
  <c r="AX593" i="28"/>
  <c r="BE593" i="28" s="1"/>
  <c r="AW593" i="28"/>
  <c r="BD593" i="28" s="1"/>
  <c r="AV593" i="28"/>
  <c r="BC593" i="28" s="1"/>
  <c r="AU593" i="28"/>
  <c r="BB593" i="28" s="1"/>
  <c r="AT593" i="28"/>
  <c r="BA593" i="28" s="1"/>
  <c r="AX592" i="28"/>
  <c r="BE592" i="28" s="1"/>
  <c r="AW592" i="28"/>
  <c r="BD592" i="28" s="1"/>
  <c r="AV592" i="28"/>
  <c r="BC592" i="28" s="1"/>
  <c r="AU592" i="28"/>
  <c r="BB592" i="28" s="1"/>
  <c r="AT592" i="28"/>
  <c r="BA592" i="28" s="1"/>
  <c r="AY591" i="28"/>
  <c r="BF591" i="28" s="1"/>
  <c r="AX591" i="28"/>
  <c r="BE591" i="28" s="1"/>
  <c r="AW591" i="28"/>
  <c r="BD591" i="28" s="1"/>
  <c r="AV591" i="28"/>
  <c r="BC591" i="28" s="1"/>
  <c r="AU591" i="28"/>
  <c r="BB591" i="28" s="1"/>
  <c r="AT591" i="28"/>
  <c r="BA591" i="28" s="1"/>
  <c r="AX590" i="28"/>
  <c r="BE590" i="28" s="1"/>
  <c r="AW590" i="28"/>
  <c r="BD590" i="28" s="1"/>
  <c r="AV590" i="28"/>
  <c r="BC590" i="28" s="1"/>
  <c r="AU590" i="28"/>
  <c r="BB590" i="28" s="1"/>
  <c r="AT590" i="28"/>
  <c r="BA590" i="28" s="1"/>
  <c r="AY589" i="28"/>
  <c r="BF589" i="28" s="1"/>
  <c r="AX589" i="28"/>
  <c r="BE589" i="28" s="1"/>
  <c r="AW589" i="28"/>
  <c r="BD589" i="28" s="1"/>
  <c r="AV589" i="28"/>
  <c r="BC589" i="28" s="1"/>
  <c r="AU589" i="28"/>
  <c r="BB589" i="28" s="1"/>
  <c r="AT589" i="28"/>
  <c r="BA589" i="28" s="1"/>
  <c r="AY588" i="28"/>
  <c r="BF588" i="28" s="1"/>
  <c r="AX588" i="28"/>
  <c r="BE588" i="28" s="1"/>
  <c r="AW588" i="28"/>
  <c r="BD588" i="28" s="1"/>
  <c r="AV588" i="28"/>
  <c r="BC588" i="28" s="1"/>
  <c r="AU588" i="28"/>
  <c r="BB588" i="28" s="1"/>
  <c r="AT588" i="28"/>
  <c r="BA588" i="28" s="1"/>
  <c r="AY587" i="28"/>
  <c r="BF587" i="28" s="1"/>
  <c r="AX587" i="28"/>
  <c r="BE587" i="28" s="1"/>
  <c r="AW587" i="28"/>
  <c r="BD587" i="28" s="1"/>
  <c r="AV587" i="28"/>
  <c r="BC587" i="28" s="1"/>
  <c r="AU587" i="28"/>
  <c r="BB587" i="28" s="1"/>
  <c r="AT587" i="28"/>
  <c r="BA587" i="28" s="1"/>
  <c r="AY586" i="28"/>
  <c r="BF586" i="28" s="1"/>
  <c r="AX586" i="28"/>
  <c r="BE586" i="28" s="1"/>
  <c r="AW586" i="28"/>
  <c r="BD586" i="28" s="1"/>
  <c r="AV586" i="28"/>
  <c r="BC586" i="28" s="1"/>
  <c r="AU586" i="28"/>
  <c r="BB586" i="28" s="1"/>
  <c r="AT586" i="28"/>
  <c r="BA586" i="28" s="1"/>
  <c r="AY585" i="28"/>
  <c r="BF585" i="28" s="1"/>
  <c r="AX585" i="28"/>
  <c r="BE585" i="28" s="1"/>
  <c r="AW585" i="28"/>
  <c r="BD585" i="28" s="1"/>
  <c r="AV585" i="28"/>
  <c r="BC585" i="28" s="1"/>
  <c r="AU585" i="28"/>
  <c r="BB585" i="28" s="1"/>
  <c r="AT585" i="28"/>
  <c r="BA585" i="28" s="1"/>
  <c r="AX584" i="28"/>
  <c r="BE584" i="28" s="1"/>
  <c r="AW584" i="28"/>
  <c r="BD584" i="28" s="1"/>
  <c r="AV584" i="28"/>
  <c r="BC584" i="28" s="1"/>
  <c r="AU584" i="28"/>
  <c r="BB584" i="28" s="1"/>
  <c r="AT584" i="28"/>
  <c r="BA584" i="28" s="1"/>
  <c r="AX583" i="28"/>
  <c r="BE583" i="28" s="1"/>
  <c r="AW583" i="28"/>
  <c r="BD583" i="28" s="1"/>
  <c r="AV583" i="28"/>
  <c r="BC583" i="28" s="1"/>
  <c r="AU583" i="28"/>
  <c r="BB583" i="28" s="1"/>
  <c r="AT583" i="28"/>
  <c r="BA583" i="28" s="1"/>
  <c r="AX582" i="28"/>
  <c r="BE582" i="28" s="1"/>
  <c r="AW582" i="28"/>
  <c r="BD582" i="28" s="1"/>
  <c r="AV582" i="28"/>
  <c r="BC582" i="28" s="1"/>
  <c r="AU582" i="28"/>
  <c r="BB582" i="28" s="1"/>
  <c r="AT582" i="28"/>
  <c r="BA582" i="28" s="1"/>
  <c r="AY581" i="28"/>
  <c r="BF581" i="28" s="1"/>
  <c r="AX581" i="28"/>
  <c r="BE581" i="28" s="1"/>
  <c r="AW581" i="28"/>
  <c r="BD581" i="28" s="1"/>
  <c r="AV581" i="28"/>
  <c r="BC581" i="28" s="1"/>
  <c r="AU581" i="28"/>
  <c r="BB581" i="28" s="1"/>
  <c r="AT581" i="28"/>
  <c r="BA581" i="28" s="1"/>
  <c r="AY580" i="28"/>
  <c r="BF580" i="28" s="1"/>
  <c r="AX580" i="28"/>
  <c r="BE580" i="28" s="1"/>
  <c r="AW580" i="28"/>
  <c r="BD580" i="28" s="1"/>
  <c r="AV580" i="28"/>
  <c r="BC580" i="28" s="1"/>
  <c r="AU580" i="28"/>
  <c r="BB580" i="28" s="1"/>
  <c r="AT580" i="28"/>
  <c r="BA580" i="28" s="1"/>
  <c r="AY579" i="28"/>
  <c r="BF579" i="28" s="1"/>
  <c r="AX579" i="28"/>
  <c r="BE579" i="28" s="1"/>
  <c r="AW579" i="28"/>
  <c r="BD579" i="28" s="1"/>
  <c r="AV579" i="28"/>
  <c r="BC579" i="28" s="1"/>
  <c r="AU579" i="28"/>
  <c r="BB579" i="28" s="1"/>
  <c r="AT579" i="28"/>
  <c r="BA579" i="28" s="1"/>
  <c r="AY578" i="28"/>
  <c r="BF578" i="28" s="1"/>
  <c r="AX578" i="28"/>
  <c r="BE578" i="28" s="1"/>
  <c r="AW578" i="28"/>
  <c r="BD578" i="28" s="1"/>
  <c r="AV578" i="28"/>
  <c r="BC578" i="28" s="1"/>
  <c r="AU578" i="28"/>
  <c r="BB578" i="28" s="1"/>
  <c r="AT578" i="28"/>
  <c r="BA578" i="28" s="1"/>
  <c r="AY577" i="28"/>
  <c r="BF577" i="28" s="1"/>
  <c r="AX577" i="28"/>
  <c r="BE577" i="28" s="1"/>
  <c r="AW577" i="28"/>
  <c r="BD577" i="28" s="1"/>
  <c r="AV577" i="28"/>
  <c r="BC577" i="28" s="1"/>
  <c r="AU577" i="28"/>
  <c r="BB577" i="28" s="1"/>
  <c r="AT577" i="28"/>
  <c r="BA577" i="28" s="1"/>
  <c r="AX576" i="28"/>
  <c r="BE576" i="28" s="1"/>
  <c r="AW576" i="28"/>
  <c r="BD576" i="28" s="1"/>
  <c r="AV576" i="28"/>
  <c r="BC576" i="28" s="1"/>
  <c r="AU576" i="28"/>
  <c r="BB576" i="28" s="1"/>
  <c r="AT576" i="28"/>
  <c r="BA576" i="28" s="1"/>
  <c r="AX575" i="28"/>
  <c r="BE575" i="28" s="1"/>
  <c r="AW575" i="28"/>
  <c r="BD575" i="28" s="1"/>
  <c r="AV575" i="28"/>
  <c r="BC575" i="28" s="1"/>
  <c r="AU575" i="28"/>
  <c r="BB575" i="28" s="1"/>
  <c r="AT575" i="28"/>
  <c r="BA575" i="28" s="1"/>
  <c r="AX574" i="28"/>
  <c r="BE574" i="28" s="1"/>
  <c r="AW574" i="28"/>
  <c r="BD574" i="28" s="1"/>
  <c r="AV574" i="28"/>
  <c r="BC574" i="28" s="1"/>
  <c r="AU574" i="28"/>
  <c r="BB574" i="28" s="1"/>
  <c r="AT574" i="28"/>
  <c r="BA574" i="28" s="1"/>
  <c r="AY573" i="28"/>
  <c r="BF573" i="28" s="1"/>
  <c r="AX573" i="28"/>
  <c r="BE573" i="28" s="1"/>
  <c r="AW573" i="28"/>
  <c r="BD573" i="28" s="1"/>
  <c r="AV573" i="28"/>
  <c r="BC573" i="28" s="1"/>
  <c r="AU573" i="28"/>
  <c r="BB573" i="28" s="1"/>
  <c r="AT573" i="28"/>
  <c r="BA573" i="28" s="1"/>
  <c r="AY572" i="28"/>
  <c r="BF572" i="28" s="1"/>
  <c r="AX572" i="28"/>
  <c r="BE572" i="28" s="1"/>
  <c r="AW572" i="28"/>
  <c r="BD572" i="28" s="1"/>
  <c r="AV572" i="28"/>
  <c r="BC572" i="28" s="1"/>
  <c r="AU572" i="28"/>
  <c r="BB572" i="28" s="1"/>
  <c r="AT572" i="28"/>
  <c r="BA572" i="28" s="1"/>
  <c r="AY571" i="28"/>
  <c r="BF571" i="28" s="1"/>
  <c r="AX571" i="28"/>
  <c r="BE571" i="28" s="1"/>
  <c r="AW571" i="28"/>
  <c r="BD571" i="28" s="1"/>
  <c r="AV571" i="28"/>
  <c r="BC571" i="28" s="1"/>
  <c r="AU571" i="28"/>
  <c r="BB571" i="28" s="1"/>
  <c r="AT571" i="28"/>
  <c r="BA571" i="28" s="1"/>
  <c r="AY570" i="28"/>
  <c r="BF570" i="28" s="1"/>
  <c r="AX570" i="28"/>
  <c r="BE570" i="28" s="1"/>
  <c r="AW570" i="28"/>
  <c r="BD570" i="28" s="1"/>
  <c r="AV570" i="28"/>
  <c r="BC570" i="28" s="1"/>
  <c r="AU570" i="28"/>
  <c r="BB570" i="28" s="1"/>
  <c r="AT570" i="28"/>
  <c r="BA570" i="28" s="1"/>
  <c r="AY569" i="28"/>
  <c r="BF569" i="28" s="1"/>
  <c r="AX569" i="28"/>
  <c r="BE569" i="28" s="1"/>
  <c r="AW569" i="28"/>
  <c r="BD569" i="28" s="1"/>
  <c r="AV569" i="28"/>
  <c r="BC569" i="28" s="1"/>
  <c r="AU569" i="28"/>
  <c r="BB569" i="28" s="1"/>
  <c r="AT569" i="28"/>
  <c r="BA569" i="28" s="1"/>
  <c r="AX568" i="28"/>
  <c r="BE568" i="28" s="1"/>
  <c r="AW568" i="28"/>
  <c r="BD568" i="28" s="1"/>
  <c r="AV568" i="28"/>
  <c r="BC568" i="28" s="1"/>
  <c r="AU568" i="28"/>
  <c r="BB568" i="28" s="1"/>
  <c r="AT568" i="28"/>
  <c r="BA568" i="28" s="1"/>
  <c r="AY567" i="28"/>
  <c r="BF567" i="28" s="1"/>
  <c r="AX567" i="28"/>
  <c r="BE567" i="28" s="1"/>
  <c r="AW567" i="28"/>
  <c r="BD567" i="28" s="1"/>
  <c r="AV567" i="28"/>
  <c r="BC567" i="28" s="1"/>
  <c r="AU567" i="28"/>
  <c r="BB567" i="28" s="1"/>
  <c r="AT567" i="28"/>
  <c r="BA567" i="28" s="1"/>
  <c r="AX566" i="28"/>
  <c r="BE566" i="28" s="1"/>
  <c r="AW566" i="28"/>
  <c r="BD566" i="28" s="1"/>
  <c r="AV566" i="28"/>
  <c r="BC566" i="28" s="1"/>
  <c r="AU566" i="28"/>
  <c r="BB566" i="28" s="1"/>
  <c r="AT566" i="28"/>
  <c r="BA566" i="28" s="1"/>
  <c r="AY565" i="28"/>
  <c r="BF565" i="28" s="1"/>
  <c r="AX565" i="28"/>
  <c r="BE565" i="28" s="1"/>
  <c r="AW565" i="28"/>
  <c r="BD565" i="28" s="1"/>
  <c r="AV565" i="28"/>
  <c r="BC565" i="28" s="1"/>
  <c r="AU565" i="28"/>
  <c r="BB565" i="28" s="1"/>
  <c r="AT565" i="28"/>
  <c r="BA565" i="28" s="1"/>
  <c r="AY564" i="28"/>
  <c r="BF564" i="28" s="1"/>
  <c r="AX564" i="28"/>
  <c r="BE564" i="28" s="1"/>
  <c r="AW564" i="28"/>
  <c r="BD564" i="28" s="1"/>
  <c r="AV564" i="28"/>
  <c r="BC564" i="28" s="1"/>
  <c r="AU564" i="28"/>
  <c r="BB564" i="28" s="1"/>
  <c r="AT564" i="28"/>
  <c r="BA564" i="28" s="1"/>
  <c r="AY563" i="28"/>
  <c r="BF563" i="28" s="1"/>
  <c r="AX563" i="28"/>
  <c r="BE563" i="28" s="1"/>
  <c r="AW563" i="28"/>
  <c r="BD563" i="28" s="1"/>
  <c r="AV563" i="28"/>
  <c r="BC563" i="28" s="1"/>
  <c r="AU563" i="28"/>
  <c r="BB563" i="28" s="1"/>
  <c r="AT563" i="28"/>
  <c r="BA563" i="28" s="1"/>
  <c r="AY562" i="28"/>
  <c r="BF562" i="28" s="1"/>
  <c r="AX562" i="28"/>
  <c r="BE562" i="28" s="1"/>
  <c r="AW562" i="28"/>
  <c r="BD562" i="28" s="1"/>
  <c r="AV562" i="28"/>
  <c r="BC562" i="28" s="1"/>
  <c r="AU562" i="28"/>
  <c r="BB562" i="28" s="1"/>
  <c r="AT562" i="28"/>
  <c r="BA562" i="28" s="1"/>
  <c r="AY561" i="28"/>
  <c r="BF561" i="28" s="1"/>
  <c r="AX561" i="28"/>
  <c r="BE561" i="28" s="1"/>
  <c r="AW561" i="28"/>
  <c r="BD561" i="28" s="1"/>
  <c r="AV561" i="28"/>
  <c r="BC561" i="28" s="1"/>
  <c r="AU561" i="28"/>
  <c r="BB561" i="28" s="1"/>
  <c r="AT561" i="28"/>
  <c r="BA561" i="28" s="1"/>
  <c r="AX560" i="28"/>
  <c r="BE560" i="28" s="1"/>
  <c r="AW560" i="28"/>
  <c r="BD560" i="28" s="1"/>
  <c r="AV560" i="28"/>
  <c r="BC560" i="28" s="1"/>
  <c r="AU560" i="28"/>
  <c r="BB560" i="28" s="1"/>
  <c r="AT560" i="28"/>
  <c r="BA560" i="28" s="1"/>
  <c r="AX559" i="28"/>
  <c r="BE559" i="28" s="1"/>
  <c r="AW559" i="28"/>
  <c r="BD559" i="28" s="1"/>
  <c r="AV559" i="28"/>
  <c r="BC559" i="28" s="1"/>
  <c r="AU559" i="28"/>
  <c r="BB559" i="28" s="1"/>
  <c r="AT559" i="28"/>
  <c r="BA559" i="28" s="1"/>
  <c r="AX558" i="28"/>
  <c r="BE558" i="28" s="1"/>
  <c r="AW558" i="28"/>
  <c r="BD558" i="28" s="1"/>
  <c r="AV558" i="28"/>
  <c r="BC558" i="28" s="1"/>
  <c r="AU558" i="28"/>
  <c r="BB558" i="28" s="1"/>
  <c r="AT558" i="28"/>
  <c r="BA558" i="28" s="1"/>
  <c r="AY557" i="28"/>
  <c r="BF557" i="28" s="1"/>
  <c r="AX557" i="28"/>
  <c r="BE557" i="28" s="1"/>
  <c r="AW557" i="28"/>
  <c r="BD557" i="28" s="1"/>
  <c r="AV557" i="28"/>
  <c r="BC557" i="28" s="1"/>
  <c r="AU557" i="28"/>
  <c r="BB557" i="28" s="1"/>
  <c r="AT557" i="28"/>
  <c r="BA557" i="28" s="1"/>
  <c r="AY556" i="28"/>
  <c r="BF556" i="28" s="1"/>
  <c r="AX556" i="28"/>
  <c r="BE556" i="28" s="1"/>
  <c r="AW556" i="28"/>
  <c r="BD556" i="28" s="1"/>
  <c r="AV556" i="28"/>
  <c r="BC556" i="28" s="1"/>
  <c r="AU556" i="28"/>
  <c r="BB556" i="28" s="1"/>
  <c r="AT556" i="28"/>
  <c r="BA556" i="28" s="1"/>
  <c r="AY555" i="28"/>
  <c r="BF555" i="28" s="1"/>
  <c r="AX555" i="28"/>
  <c r="BE555" i="28" s="1"/>
  <c r="AW555" i="28"/>
  <c r="BD555" i="28" s="1"/>
  <c r="AV555" i="28"/>
  <c r="BC555" i="28" s="1"/>
  <c r="AU555" i="28"/>
  <c r="BB555" i="28" s="1"/>
  <c r="AT555" i="28"/>
  <c r="BA555" i="28" s="1"/>
  <c r="AY554" i="28"/>
  <c r="BF554" i="28" s="1"/>
  <c r="AX554" i="28"/>
  <c r="BE554" i="28" s="1"/>
  <c r="AW554" i="28"/>
  <c r="BD554" i="28" s="1"/>
  <c r="AV554" i="28"/>
  <c r="BC554" i="28" s="1"/>
  <c r="AU554" i="28"/>
  <c r="BB554" i="28" s="1"/>
  <c r="AT554" i="28"/>
  <c r="BA554" i="28" s="1"/>
  <c r="AY553" i="28"/>
  <c r="BF553" i="28" s="1"/>
  <c r="AX553" i="28"/>
  <c r="BE553" i="28" s="1"/>
  <c r="AW553" i="28"/>
  <c r="BD553" i="28" s="1"/>
  <c r="AV553" i="28"/>
  <c r="BC553" i="28" s="1"/>
  <c r="AU553" i="28"/>
  <c r="BB553" i="28" s="1"/>
  <c r="AT553" i="28"/>
  <c r="BA553" i="28" s="1"/>
  <c r="AX552" i="28"/>
  <c r="BE552" i="28" s="1"/>
  <c r="AW552" i="28"/>
  <c r="BD552" i="28" s="1"/>
  <c r="AV552" i="28"/>
  <c r="BC552" i="28" s="1"/>
  <c r="AU552" i="28"/>
  <c r="BB552" i="28" s="1"/>
  <c r="AT552" i="28"/>
  <c r="BA552" i="28" s="1"/>
  <c r="AY551" i="28"/>
  <c r="BF551" i="28" s="1"/>
  <c r="AX551" i="28"/>
  <c r="BE551" i="28" s="1"/>
  <c r="AW551" i="28"/>
  <c r="BD551" i="28" s="1"/>
  <c r="AV551" i="28"/>
  <c r="BC551" i="28" s="1"/>
  <c r="AU551" i="28"/>
  <c r="BB551" i="28" s="1"/>
  <c r="AT551" i="28"/>
  <c r="BA551" i="28" s="1"/>
  <c r="AX550" i="28"/>
  <c r="BE550" i="28" s="1"/>
  <c r="AW550" i="28"/>
  <c r="BD550" i="28" s="1"/>
  <c r="AV550" i="28"/>
  <c r="BC550" i="28" s="1"/>
  <c r="AU550" i="28"/>
  <c r="BB550" i="28" s="1"/>
  <c r="AT550" i="28"/>
  <c r="BA550" i="28" s="1"/>
  <c r="AY549" i="28"/>
  <c r="BF549" i="28" s="1"/>
  <c r="AX549" i="28"/>
  <c r="BE549" i="28" s="1"/>
  <c r="AW549" i="28"/>
  <c r="BD549" i="28" s="1"/>
  <c r="AV549" i="28"/>
  <c r="BC549" i="28" s="1"/>
  <c r="AU549" i="28"/>
  <c r="BB549" i="28" s="1"/>
  <c r="AT549" i="28"/>
  <c r="BA549" i="28" s="1"/>
  <c r="AY548" i="28"/>
  <c r="BF548" i="28" s="1"/>
  <c r="AX548" i="28"/>
  <c r="BE548" i="28" s="1"/>
  <c r="AW548" i="28"/>
  <c r="BD548" i="28" s="1"/>
  <c r="AV548" i="28"/>
  <c r="BC548" i="28" s="1"/>
  <c r="AU548" i="28"/>
  <c r="BB548" i="28" s="1"/>
  <c r="AT548" i="28"/>
  <c r="BA548" i="28" s="1"/>
  <c r="AY547" i="28"/>
  <c r="BF547" i="28" s="1"/>
  <c r="AX547" i="28"/>
  <c r="BE547" i="28" s="1"/>
  <c r="AW547" i="28"/>
  <c r="BD547" i="28" s="1"/>
  <c r="AV547" i="28"/>
  <c r="BC547" i="28" s="1"/>
  <c r="AU547" i="28"/>
  <c r="BB547" i="28" s="1"/>
  <c r="AT547" i="28"/>
  <c r="BA547" i="28" s="1"/>
  <c r="AY546" i="28"/>
  <c r="BF546" i="28" s="1"/>
  <c r="AX546" i="28"/>
  <c r="BE546" i="28" s="1"/>
  <c r="AW546" i="28"/>
  <c r="BD546" i="28" s="1"/>
  <c r="AV546" i="28"/>
  <c r="BC546" i="28" s="1"/>
  <c r="AU546" i="28"/>
  <c r="BB546" i="28" s="1"/>
  <c r="AT546" i="28"/>
  <c r="BA546" i="28" s="1"/>
  <c r="AY545" i="28"/>
  <c r="BF545" i="28" s="1"/>
  <c r="AX545" i="28"/>
  <c r="BE545" i="28" s="1"/>
  <c r="AW545" i="28"/>
  <c r="BD545" i="28" s="1"/>
  <c r="AV545" i="28"/>
  <c r="BC545" i="28" s="1"/>
  <c r="AU545" i="28"/>
  <c r="BB545" i="28" s="1"/>
  <c r="AT545" i="28"/>
  <c r="BA545" i="28" s="1"/>
  <c r="AX544" i="28"/>
  <c r="BE544" i="28" s="1"/>
  <c r="AW544" i="28"/>
  <c r="BD544" i="28" s="1"/>
  <c r="AV544" i="28"/>
  <c r="BC544" i="28" s="1"/>
  <c r="AU544" i="28"/>
  <c r="BB544" i="28" s="1"/>
  <c r="AT544" i="28"/>
  <c r="BA544" i="28" s="1"/>
  <c r="AY543" i="28"/>
  <c r="BF543" i="28" s="1"/>
  <c r="AX543" i="28"/>
  <c r="BE543" i="28" s="1"/>
  <c r="AW543" i="28"/>
  <c r="BD543" i="28" s="1"/>
  <c r="AV543" i="28"/>
  <c r="BC543" i="28" s="1"/>
  <c r="AU543" i="28"/>
  <c r="BB543" i="28" s="1"/>
  <c r="AT543" i="28"/>
  <c r="BA543" i="28" s="1"/>
  <c r="AX542" i="28"/>
  <c r="BE542" i="28" s="1"/>
  <c r="AW542" i="28"/>
  <c r="BD542" i="28" s="1"/>
  <c r="AV542" i="28"/>
  <c r="BC542" i="28" s="1"/>
  <c r="AU542" i="28"/>
  <c r="BB542" i="28" s="1"/>
  <c r="AT542" i="28"/>
  <c r="BA542" i="28" s="1"/>
  <c r="AY541" i="28"/>
  <c r="BF541" i="28" s="1"/>
  <c r="AX541" i="28"/>
  <c r="BE541" i="28" s="1"/>
  <c r="AW541" i="28"/>
  <c r="BD541" i="28" s="1"/>
  <c r="AV541" i="28"/>
  <c r="BC541" i="28" s="1"/>
  <c r="AU541" i="28"/>
  <c r="BB541" i="28" s="1"/>
  <c r="AT541" i="28"/>
  <c r="BA541" i="28" s="1"/>
  <c r="AY540" i="28"/>
  <c r="BF540" i="28" s="1"/>
  <c r="AX540" i="28"/>
  <c r="BE540" i="28" s="1"/>
  <c r="AW540" i="28"/>
  <c r="BD540" i="28" s="1"/>
  <c r="AV540" i="28"/>
  <c r="BC540" i="28" s="1"/>
  <c r="AU540" i="28"/>
  <c r="BB540" i="28" s="1"/>
  <c r="AT540" i="28"/>
  <c r="BA540" i="28" s="1"/>
  <c r="AY539" i="28"/>
  <c r="BF539" i="28" s="1"/>
  <c r="AX539" i="28"/>
  <c r="BE539" i="28" s="1"/>
  <c r="AW539" i="28"/>
  <c r="BD539" i="28" s="1"/>
  <c r="AV539" i="28"/>
  <c r="BC539" i="28" s="1"/>
  <c r="AU539" i="28"/>
  <c r="BB539" i="28" s="1"/>
  <c r="AT539" i="28"/>
  <c r="BA539" i="28" s="1"/>
  <c r="AY538" i="28"/>
  <c r="BF538" i="28" s="1"/>
  <c r="AX538" i="28"/>
  <c r="BE538" i="28" s="1"/>
  <c r="AW538" i="28"/>
  <c r="BD538" i="28" s="1"/>
  <c r="AV538" i="28"/>
  <c r="BC538" i="28" s="1"/>
  <c r="AU538" i="28"/>
  <c r="BB538" i="28" s="1"/>
  <c r="AT538" i="28"/>
  <c r="BA538" i="28" s="1"/>
  <c r="AY537" i="28"/>
  <c r="BF537" i="28" s="1"/>
  <c r="AX537" i="28"/>
  <c r="BE537" i="28" s="1"/>
  <c r="AW537" i="28"/>
  <c r="BD537" i="28" s="1"/>
  <c r="AV537" i="28"/>
  <c r="BC537" i="28" s="1"/>
  <c r="AU537" i="28"/>
  <c r="BB537" i="28" s="1"/>
  <c r="AT537" i="28"/>
  <c r="BA537" i="28" s="1"/>
  <c r="AX536" i="28"/>
  <c r="BE536" i="28" s="1"/>
  <c r="AW536" i="28"/>
  <c r="BD536" i="28" s="1"/>
  <c r="AV536" i="28"/>
  <c r="BC536" i="28" s="1"/>
  <c r="AU536" i="28"/>
  <c r="BB536" i="28" s="1"/>
  <c r="AT536" i="28"/>
  <c r="BA536" i="28" s="1"/>
  <c r="AX535" i="28"/>
  <c r="BE535" i="28" s="1"/>
  <c r="AW535" i="28"/>
  <c r="BD535" i="28" s="1"/>
  <c r="AV535" i="28"/>
  <c r="BC535" i="28" s="1"/>
  <c r="AU535" i="28"/>
  <c r="BB535" i="28" s="1"/>
  <c r="AT535" i="28"/>
  <c r="BA535" i="28" s="1"/>
  <c r="AX534" i="28"/>
  <c r="BE534" i="28" s="1"/>
  <c r="AW534" i="28"/>
  <c r="BD534" i="28" s="1"/>
  <c r="AV534" i="28"/>
  <c r="BC534" i="28" s="1"/>
  <c r="AU534" i="28"/>
  <c r="BB534" i="28" s="1"/>
  <c r="AT534" i="28"/>
  <c r="BA534" i="28" s="1"/>
  <c r="AY533" i="28"/>
  <c r="BF533" i="28" s="1"/>
  <c r="AX533" i="28"/>
  <c r="BE533" i="28" s="1"/>
  <c r="AW533" i="28"/>
  <c r="BD533" i="28" s="1"/>
  <c r="AV533" i="28"/>
  <c r="BC533" i="28" s="1"/>
  <c r="AU533" i="28"/>
  <c r="BB533" i="28" s="1"/>
  <c r="AT533" i="28"/>
  <c r="BA533" i="28" s="1"/>
  <c r="AY532" i="28"/>
  <c r="BF532" i="28" s="1"/>
  <c r="AX532" i="28"/>
  <c r="BE532" i="28" s="1"/>
  <c r="AW532" i="28"/>
  <c r="BD532" i="28" s="1"/>
  <c r="AV532" i="28"/>
  <c r="BC532" i="28" s="1"/>
  <c r="AU532" i="28"/>
  <c r="BB532" i="28" s="1"/>
  <c r="AT532" i="28"/>
  <c r="BA532" i="28" s="1"/>
  <c r="AY531" i="28"/>
  <c r="BF531" i="28" s="1"/>
  <c r="AX531" i="28"/>
  <c r="BE531" i="28" s="1"/>
  <c r="AW531" i="28"/>
  <c r="BD531" i="28" s="1"/>
  <c r="AV531" i="28"/>
  <c r="BC531" i="28" s="1"/>
  <c r="AU531" i="28"/>
  <c r="BB531" i="28" s="1"/>
  <c r="AT531" i="28"/>
  <c r="BA531" i="28" s="1"/>
  <c r="AY530" i="28"/>
  <c r="BF530" i="28" s="1"/>
  <c r="AX530" i="28"/>
  <c r="BE530" i="28" s="1"/>
  <c r="AW530" i="28"/>
  <c r="BD530" i="28" s="1"/>
  <c r="AV530" i="28"/>
  <c r="BC530" i="28" s="1"/>
  <c r="AU530" i="28"/>
  <c r="BB530" i="28" s="1"/>
  <c r="AT530" i="28"/>
  <c r="BA530" i="28" s="1"/>
  <c r="AY529" i="28"/>
  <c r="BF529" i="28" s="1"/>
  <c r="AX529" i="28"/>
  <c r="BE529" i="28" s="1"/>
  <c r="AW529" i="28"/>
  <c r="BD529" i="28" s="1"/>
  <c r="AV529" i="28"/>
  <c r="BC529" i="28" s="1"/>
  <c r="AU529" i="28"/>
  <c r="BB529" i="28" s="1"/>
  <c r="AT529" i="28"/>
  <c r="BA529" i="28" s="1"/>
  <c r="AX528" i="28"/>
  <c r="BE528" i="28" s="1"/>
  <c r="AW528" i="28"/>
  <c r="BD528" i="28" s="1"/>
  <c r="AV528" i="28"/>
  <c r="BC528" i="28" s="1"/>
  <c r="AU528" i="28"/>
  <c r="BB528" i="28" s="1"/>
  <c r="AT528" i="28"/>
  <c r="BA528" i="28" s="1"/>
  <c r="AX527" i="28"/>
  <c r="BE527" i="28" s="1"/>
  <c r="AW527" i="28"/>
  <c r="BD527" i="28" s="1"/>
  <c r="AV527" i="28"/>
  <c r="BC527" i="28" s="1"/>
  <c r="AU527" i="28"/>
  <c r="BB527" i="28" s="1"/>
  <c r="AT527" i="28"/>
  <c r="BA527" i="28" s="1"/>
  <c r="AX526" i="28"/>
  <c r="BE526" i="28" s="1"/>
  <c r="AW526" i="28"/>
  <c r="BD526" i="28" s="1"/>
  <c r="AV526" i="28"/>
  <c r="BC526" i="28" s="1"/>
  <c r="AU526" i="28"/>
  <c r="BB526" i="28" s="1"/>
  <c r="AT526" i="28"/>
  <c r="BA526" i="28" s="1"/>
  <c r="AY525" i="28"/>
  <c r="BF525" i="28" s="1"/>
  <c r="AX525" i="28"/>
  <c r="BE525" i="28" s="1"/>
  <c r="AW525" i="28"/>
  <c r="BD525" i="28" s="1"/>
  <c r="AV525" i="28"/>
  <c r="BC525" i="28" s="1"/>
  <c r="AU525" i="28"/>
  <c r="BB525" i="28" s="1"/>
  <c r="AT525" i="28"/>
  <c r="BA525" i="28" s="1"/>
  <c r="AY524" i="28"/>
  <c r="BF524" i="28" s="1"/>
  <c r="AX524" i="28"/>
  <c r="BE524" i="28" s="1"/>
  <c r="AW524" i="28"/>
  <c r="BD524" i="28" s="1"/>
  <c r="AV524" i="28"/>
  <c r="BC524" i="28" s="1"/>
  <c r="AU524" i="28"/>
  <c r="BB524" i="28" s="1"/>
  <c r="AT524" i="28"/>
  <c r="BA524" i="28" s="1"/>
  <c r="AY523" i="28"/>
  <c r="BF523" i="28" s="1"/>
  <c r="AX523" i="28"/>
  <c r="BE523" i="28" s="1"/>
  <c r="AW523" i="28"/>
  <c r="BD523" i="28" s="1"/>
  <c r="AV523" i="28"/>
  <c r="BC523" i="28" s="1"/>
  <c r="AU523" i="28"/>
  <c r="BB523" i="28" s="1"/>
  <c r="AT523" i="28"/>
  <c r="BA523" i="28" s="1"/>
  <c r="AY522" i="28"/>
  <c r="BF522" i="28" s="1"/>
  <c r="AX522" i="28"/>
  <c r="BE522" i="28" s="1"/>
  <c r="AW522" i="28"/>
  <c r="BD522" i="28" s="1"/>
  <c r="AV522" i="28"/>
  <c r="BC522" i="28" s="1"/>
  <c r="AU522" i="28"/>
  <c r="BB522" i="28" s="1"/>
  <c r="AT522" i="28"/>
  <c r="BA522" i="28" s="1"/>
  <c r="AY521" i="28"/>
  <c r="BF521" i="28" s="1"/>
  <c r="AX521" i="28"/>
  <c r="BE521" i="28" s="1"/>
  <c r="AW521" i="28"/>
  <c r="BD521" i="28" s="1"/>
  <c r="AV521" i="28"/>
  <c r="BC521" i="28" s="1"/>
  <c r="AU521" i="28"/>
  <c r="BB521" i="28" s="1"/>
  <c r="AT521" i="28"/>
  <c r="BA521" i="28" s="1"/>
  <c r="AX520" i="28"/>
  <c r="BE520" i="28" s="1"/>
  <c r="AW520" i="28"/>
  <c r="BD520" i="28" s="1"/>
  <c r="AV520" i="28"/>
  <c r="BC520" i="28" s="1"/>
  <c r="AU520" i="28"/>
  <c r="BB520" i="28" s="1"/>
  <c r="AT520" i="28"/>
  <c r="BA520" i="28" s="1"/>
  <c r="AY519" i="28"/>
  <c r="BF519" i="28" s="1"/>
  <c r="AX519" i="28"/>
  <c r="BE519" i="28" s="1"/>
  <c r="AW519" i="28"/>
  <c r="BD519" i="28" s="1"/>
  <c r="AV519" i="28"/>
  <c r="BC519" i="28" s="1"/>
  <c r="AU519" i="28"/>
  <c r="BB519" i="28" s="1"/>
  <c r="AT519" i="28"/>
  <c r="BA519" i="28" s="1"/>
  <c r="AY518" i="28"/>
  <c r="BF518" i="28" s="1"/>
  <c r="AX518" i="28"/>
  <c r="BE518" i="28" s="1"/>
  <c r="AW518" i="28"/>
  <c r="BD518" i="28" s="1"/>
  <c r="AV518" i="28"/>
  <c r="BC518" i="28" s="1"/>
  <c r="AU518" i="28"/>
  <c r="BB518" i="28" s="1"/>
  <c r="AT518" i="28"/>
  <c r="BA518" i="28" s="1"/>
  <c r="AY517" i="28"/>
  <c r="BF517" i="28" s="1"/>
  <c r="AX517" i="28"/>
  <c r="BE517" i="28" s="1"/>
  <c r="AW517" i="28"/>
  <c r="BD517" i="28" s="1"/>
  <c r="AV517" i="28"/>
  <c r="BC517" i="28" s="1"/>
  <c r="AU517" i="28"/>
  <c r="BB517" i="28" s="1"/>
  <c r="AT517" i="28"/>
  <c r="BA517" i="28" s="1"/>
  <c r="AY516" i="28"/>
  <c r="BF516" i="28" s="1"/>
  <c r="AX516" i="28"/>
  <c r="BE516" i="28" s="1"/>
  <c r="AW516" i="28"/>
  <c r="BD516" i="28" s="1"/>
  <c r="AV516" i="28"/>
  <c r="BC516" i="28" s="1"/>
  <c r="AU516" i="28"/>
  <c r="BB516" i="28" s="1"/>
  <c r="AT516" i="28"/>
  <c r="BA516" i="28" s="1"/>
  <c r="AY515" i="28"/>
  <c r="BF515" i="28" s="1"/>
  <c r="AX515" i="28"/>
  <c r="BE515" i="28" s="1"/>
  <c r="AW515" i="28"/>
  <c r="BD515" i="28" s="1"/>
  <c r="AV515" i="28"/>
  <c r="BC515" i="28" s="1"/>
  <c r="AU515" i="28"/>
  <c r="BB515" i="28" s="1"/>
  <c r="AT515" i="28"/>
  <c r="BA515" i="28" s="1"/>
  <c r="AY514" i="28"/>
  <c r="BF514" i="28" s="1"/>
  <c r="AX514" i="28"/>
  <c r="BE514" i="28" s="1"/>
  <c r="AW514" i="28"/>
  <c r="BD514" i="28" s="1"/>
  <c r="AV514" i="28"/>
  <c r="BC514" i="28" s="1"/>
  <c r="AU514" i="28"/>
  <c r="BB514" i="28" s="1"/>
  <c r="AT514" i="28"/>
  <c r="BA514" i="28" s="1"/>
  <c r="AY513" i="28"/>
  <c r="BF513" i="28" s="1"/>
  <c r="AX513" i="28"/>
  <c r="BE513" i="28" s="1"/>
  <c r="AW513" i="28"/>
  <c r="BD513" i="28" s="1"/>
  <c r="AV513" i="28"/>
  <c r="BC513" i="28" s="1"/>
  <c r="AU513" i="28"/>
  <c r="BB513" i="28" s="1"/>
  <c r="AT513" i="28"/>
  <c r="BA513" i="28" s="1"/>
  <c r="AX512" i="28"/>
  <c r="BE512" i="28" s="1"/>
  <c r="AW512" i="28"/>
  <c r="BD512" i="28" s="1"/>
  <c r="AV512" i="28"/>
  <c r="BC512" i="28" s="1"/>
  <c r="AU512" i="28"/>
  <c r="BB512" i="28" s="1"/>
  <c r="AT512" i="28"/>
  <c r="BA512" i="28" s="1"/>
  <c r="AX511" i="28"/>
  <c r="BE511" i="28" s="1"/>
  <c r="AW511" i="28"/>
  <c r="BD511" i="28" s="1"/>
  <c r="AV511" i="28"/>
  <c r="BC511" i="28" s="1"/>
  <c r="AU511" i="28"/>
  <c r="BB511" i="28" s="1"/>
  <c r="AT511" i="28"/>
  <c r="BA511" i="28" s="1"/>
  <c r="AX510" i="28"/>
  <c r="BE510" i="28" s="1"/>
  <c r="AW510" i="28"/>
  <c r="BD510" i="28" s="1"/>
  <c r="AV510" i="28"/>
  <c r="BC510" i="28" s="1"/>
  <c r="AU510" i="28"/>
  <c r="BB510" i="28" s="1"/>
  <c r="AT510" i="28"/>
  <c r="BA510" i="28" s="1"/>
  <c r="AY509" i="28"/>
  <c r="BF509" i="28" s="1"/>
  <c r="AX509" i="28"/>
  <c r="BE509" i="28" s="1"/>
  <c r="AW509" i="28"/>
  <c r="BD509" i="28" s="1"/>
  <c r="AV509" i="28"/>
  <c r="BC509" i="28" s="1"/>
  <c r="AU509" i="28"/>
  <c r="BB509" i="28" s="1"/>
  <c r="AT509" i="28"/>
  <c r="BA509" i="28" s="1"/>
  <c r="AY508" i="28"/>
  <c r="BF508" i="28" s="1"/>
  <c r="AX508" i="28"/>
  <c r="BE508" i="28" s="1"/>
  <c r="AW508" i="28"/>
  <c r="BD508" i="28" s="1"/>
  <c r="AV508" i="28"/>
  <c r="BC508" i="28" s="1"/>
  <c r="AU508" i="28"/>
  <c r="BB508" i="28" s="1"/>
  <c r="AT508" i="28"/>
  <c r="BA508" i="28" s="1"/>
  <c r="AY507" i="28"/>
  <c r="BF507" i="28" s="1"/>
  <c r="AX507" i="28"/>
  <c r="BE507" i="28" s="1"/>
  <c r="AW507" i="28"/>
  <c r="BD507" i="28" s="1"/>
  <c r="AV507" i="28"/>
  <c r="BC507" i="28" s="1"/>
  <c r="AU507" i="28"/>
  <c r="BB507" i="28" s="1"/>
  <c r="AT507" i="28"/>
  <c r="BA507" i="28" s="1"/>
  <c r="AY506" i="28"/>
  <c r="BF506" i="28" s="1"/>
  <c r="AX506" i="28"/>
  <c r="BE506" i="28" s="1"/>
  <c r="AW506" i="28"/>
  <c r="BD506" i="28" s="1"/>
  <c r="AV506" i="28"/>
  <c r="BC506" i="28" s="1"/>
  <c r="AU506" i="28"/>
  <c r="BB506" i="28" s="1"/>
  <c r="AT506" i="28"/>
  <c r="BA506" i="28" s="1"/>
  <c r="AY505" i="28"/>
  <c r="BF505" i="28" s="1"/>
  <c r="AX505" i="28"/>
  <c r="BE505" i="28" s="1"/>
  <c r="AW505" i="28"/>
  <c r="BD505" i="28" s="1"/>
  <c r="AV505" i="28"/>
  <c r="BC505" i="28" s="1"/>
  <c r="AU505" i="28"/>
  <c r="BB505" i="28" s="1"/>
  <c r="AT505" i="28"/>
  <c r="BA505" i="28" s="1"/>
  <c r="AX504" i="28"/>
  <c r="BE504" i="28" s="1"/>
  <c r="AW504" i="28"/>
  <c r="BD504" i="28" s="1"/>
  <c r="AV504" i="28"/>
  <c r="BC504" i="28" s="1"/>
  <c r="AU504" i="28"/>
  <c r="BB504" i="28" s="1"/>
  <c r="AT504" i="28"/>
  <c r="BA504" i="28" s="1"/>
  <c r="AX503" i="28"/>
  <c r="BE503" i="28" s="1"/>
  <c r="AW503" i="28"/>
  <c r="BD503" i="28" s="1"/>
  <c r="AV503" i="28"/>
  <c r="BC503" i="28" s="1"/>
  <c r="AU503" i="28"/>
  <c r="BB503" i="28" s="1"/>
  <c r="AT503" i="28"/>
  <c r="BA503" i="28" s="1"/>
  <c r="AY502" i="28"/>
  <c r="BF502" i="28" s="1"/>
  <c r="AX502" i="28"/>
  <c r="BE502" i="28" s="1"/>
  <c r="AW502" i="28"/>
  <c r="BD502" i="28" s="1"/>
  <c r="AV502" i="28"/>
  <c r="BC502" i="28" s="1"/>
  <c r="AU502" i="28"/>
  <c r="BB502" i="28" s="1"/>
  <c r="AT502" i="28"/>
  <c r="BA502" i="28" s="1"/>
  <c r="AY501" i="28"/>
  <c r="BF501" i="28" s="1"/>
  <c r="AX501" i="28"/>
  <c r="BE501" i="28" s="1"/>
  <c r="AW501" i="28"/>
  <c r="BD501" i="28" s="1"/>
  <c r="AV501" i="28"/>
  <c r="BC501" i="28" s="1"/>
  <c r="AU501" i="28"/>
  <c r="BB501" i="28" s="1"/>
  <c r="AT501" i="28"/>
  <c r="BA501" i="28" s="1"/>
  <c r="AY500" i="28"/>
  <c r="BF500" i="28" s="1"/>
  <c r="AX500" i="28"/>
  <c r="BE500" i="28" s="1"/>
  <c r="AW500" i="28"/>
  <c r="BD500" i="28" s="1"/>
  <c r="AV500" i="28"/>
  <c r="BC500" i="28" s="1"/>
  <c r="AU500" i="28"/>
  <c r="BB500" i="28" s="1"/>
  <c r="AT500" i="28"/>
  <c r="BA500" i="28" s="1"/>
  <c r="AY499" i="28"/>
  <c r="BF499" i="28" s="1"/>
  <c r="AX499" i="28"/>
  <c r="BE499" i="28" s="1"/>
  <c r="AW499" i="28"/>
  <c r="BD499" i="28" s="1"/>
  <c r="AV499" i="28"/>
  <c r="BC499" i="28" s="1"/>
  <c r="AU499" i="28"/>
  <c r="BB499" i="28" s="1"/>
  <c r="AT499" i="28"/>
  <c r="BA499" i="28" s="1"/>
  <c r="AY498" i="28"/>
  <c r="BF498" i="28" s="1"/>
  <c r="AX498" i="28"/>
  <c r="BE498" i="28" s="1"/>
  <c r="AW498" i="28"/>
  <c r="BD498" i="28" s="1"/>
  <c r="AV498" i="28"/>
  <c r="BC498" i="28" s="1"/>
  <c r="AU498" i="28"/>
  <c r="BB498" i="28" s="1"/>
  <c r="AT498" i="28"/>
  <c r="BA498" i="28" s="1"/>
  <c r="AY497" i="28"/>
  <c r="BF497" i="28" s="1"/>
  <c r="AX497" i="28"/>
  <c r="BE497" i="28" s="1"/>
  <c r="AW497" i="28"/>
  <c r="BD497" i="28" s="1"/>
  <c r="AV497" i="28"/>
  <c r="BC497" i="28" s="1"/>
  <c r="AU497" i="28"/>
  <c r="BB497" i="28" s="1"/>
  <c r="AT497" i="28"/>
  <c r="BA497" i="28" s="1"/>
  <c r="AX496" i="28"/>
  <c r="BE496" i="28" s="1"/>
  <c r="AW496" i="28"/>
  <c r="BD496" i="28" s="1"/>
  <c r="AV496" i="28"/>
  <c r="BC496" i="28" s="1"/>
  <c r="AU496" i="28"/>
  <c r="BB496" i="28" s="1"/>
  <c r="AT496" i="28"/>
  <c r="BA496" i="28" s="1"/>
  <c r="AX495" i="28"/>
  <c r="BE495" i="28" s="1"/>
  <c r="AW495" i="28"/>
  <c r="BD495" i="28" s="1"/>
  <c r="AV495" i="28"/>
  <c r="BC495" i="28" s="1"/>
  <c r="AU495" i="28"/>
  <c r="BB495" i="28" s="1"/>
  <c r="AT495" i="28"/>
  <c r="BA495" i="28" s="1"/>
  <c r="BF494" i="28"/>
  <c r="AX494" i="28"/>
  <c r="BE494" i="28" s="1"/>
  <c r="AW494" i="28"/>
  <c r="BD494" i="28" s="1"/>
  <c r="AV494" i="28"/>
  <c r="BC494" i="28" s="1"/>
  <c r="AU494" i="28"/>
  <c r="BB494" i="28" s="1"/>
  <c r="AT494" i="28"/>
  <c r="BA494" i="28" s="1"/>
  <c r="AY493" i="28"/>
  <c r="BF493" i="28" s="1"/>
  <c r="AX493" i="28"/>
  <c r="BE493" i="28" s="1"/>
  <c r="AW493" i="28"/>
  <c r="BD493" i="28" s="1"/>
  <c r="AV493" i="28"/>
  <c r="BC493" i="28" s="1"/>
  <c r="AU493" i="28"/>
  <c r="BB493" i="28" s="1"/>
  <c r="AT493" i="28"/>
  <c r="BA493" i="28" s="1"/>
  <c r="AY492" i="28"/>
  <c r="BF492" i="28" s="1"/>
  <c r="AX492" i="28"/>
  <c r="BE492" i="28" s="1"/>
  <c r="AW492" i="28"/>
  <c r="BD492" i="28" s="1"/>
  <c r="AV492" i="28"/>
  <c r="BC492" i="28" s="1"/>
  <c r="AU492" i="28"/>
  <c r="BB492" i="28" s="1"/>
  <c r="AT492" i="28"/>
  <c r="BA492" i="28" s="1"/>
  <c r="AY491" i="28"/>
  <c r="BF491" i="28" s="1"/>
  <c r="AX491" i="28"/>
  <c r="BE491" i="28" s="1"/>
  <c r="AW491" i="28"/>
  <c r="BD491" i="28" s="1"/>
  <c r="AV491" i="28"/>
  <c r="BC491" i="28" s="1"/>
  <c r="AU491" i="28"/>
  <c r="BB491" i="28" s="1"/>
  <c r="AT491" i="28"/>
  <c r="BA491" i="28" s="1"/>
  <c r="AY490" i="28"/>
  <c r="BF490" i="28" s="1"/>
  <c r="AX490" i="28"/>
  <c r="BE490" i="28" s="1"/>
  <c r="AW490" i="28"/>
  <c r="BD490" i="28" s="1"/>
  <c r="AV490" i="28"/>
  <c r="BC490" i="28" s="1"/>
  <c r="AU490" i="28"/>
  <c r="BB490" i="28" s="1"/>
  <c r="AT490" i="28"/>
  <c r="BA490" i="28" s="1"/>
  <c r="AY489" i="28"/>
  <c r="BF489" i="28" s="1"/>
  <c r="AX489" i="28"/>
  <c r="BE489" i="28" s="1"/>
  <c r="AW489" i="28"/>
  <c r="BD489" i="28" s="1"/>
  <c r="AV489" i="28"/>
  <c r="BC489" i="28" s="1"/>
  <c r="AU489" i="28"/>
  <c r="BB489" i="28" s="1"/>
  <c r="AT489" i="28"/>
  <c r="BA489" i="28" s="1"/>
  <c r="AX488" i="28"/>
  <c r="BE488" i="28" s="1"/>
  <c r="AW488" i="28"/>
  <c r="BD488" i="28" s="1"/>
  <c r="AV488" i="28"/>
  <c r="BC488" i="28" s="1"/>
  <c r="AU488" i="28"/>
  <c r="BB488" i="28" s="1"/>
  <c r="AT488" i="28"/>
  <c r="BA488" i="28" s="1"/>
  <c r="AX487" i="28"/>
  <c r="BE487" i="28" s="1"/>
  <c r="AW487" i="28"/>
  <c r="BD487" i="28" s="1"/>
  <c r="AV487" i="28"/>
  <c r="BC487" i="28" s="1"/>
  <c r="AU487" i="28"/>
  <c r="BB487" i="28" s="1"/>
  <c r="AT487" i="28"/>
  <c r="BA487" i="28" s="1"/>
  <c r="AX486" i="28"/>
  <c r="BE486" i="28" s="1"/>
  <c r="AW486" i="28"/>
  <c r="BD486" i="28" s="1"/>
  <c r="AV486" i="28"/>
  <c r="BC486" i="28" s="1"/>
  <c r="AU486" i="28"/>
  <c r="BB486" i="28" s="1"/>
  <c r="AT486" i="28"/>
  <c r="BA486" i="28" s="1"/>
  <c r="AY485" i="28"/>
  <c r="BF485" i="28" s="1"/>
  <c r="AX485" i="28"/>
  <c r="BE485" i="28" s="1"/>
  <c r="AW485" i="28"/>
  <c r="BD485" i="28" s="1"/>
  <c r="AV485" i="28"/>
  <c r="BC485" i="28" s="1"/>
  <c r="AU485" i="28"/>
  <c r="BB485" i="28" s="1"/>
  <c r="AT485" i="28"/>
  <c r="BA485" i="28" s="1"/>
  <c r="AY484" i="28"/>
  <c r="BF484" i="28" s="1"/>
  <c r="AX484" i="28"/>
  <c r="BE484" i="28" s="1"/>
  <c r="AW484" i="28"/>
  <c r="BD484" i="28" s="1"/>
  <c r="AV484" i="28"/>
  <c r="BC484" i="28" s="1"/>
  <c r="AU484" i="28"/>
  <c r="BB484" i="28" s="1"/>
  <c r="AT484" i="28"/>
  <c r="BA484" i="28" s="1"/>
  <c r="AY483" i="28"/>
  <c r="BF483" i="28" s="1"/>
  <c r="AX483" i="28"/>
  <c r="BE483" i="28" s="1"/>
  <c r="AW483" i="28"/>
  <c r="BD483" i="28" s="1"/>
  <c r="AV483" i="28"/>
  <c r="BC483" i="28" s="1"/>
  <c r="AU483" i="28"/>
  <c r="BB483" i="28" s="1"/>
  <c r="AT483" i="28"/>
  <c r="BA483" i="28" s="1"/>
  <c r="AY482" i="28"/>
  <c r="BF482" i="28" s="1"/>
  <c r="AX482" i="28"/>
  <c r="BE482" i="28" s="1"/>
  <c r="AW482" i="28"/>
  <c r="BD482" i="28" s="1"/>
  <c r="AV482" i="28"/>
  <c r="BC482" i="28" s="1"/>
  <c r="AU482" i="28"/>
  <c r="BB482" i="28" s="1"/>
  <c r="AT482" i="28"/>
  <c r="BA482" i="28" s="1"/>
  <c r="AY481" i="28"/>
  <c r="BF481" i="28" s="1"/>
  <c r="AX481" i="28"/>
  <c r="BE481" i="28" s="1"/>
  <c r="AW481" i="28"/>
  <c r="BD481" i="28" s="1"/>
  <c r="AV481" i="28"/>
  <c r="BC481" i="28" s="1"/>
  <c r="AU481" i="28"/>
  <c r="BB481" i="28" s="1"/>
  <c r="AT481" i="28"/>
  <c r="BA481" i="28" s="1"/>
  <c r="AX480" i="28"/>
  <c r="BE480" i="28" s="1"/>
  <c r="AW480" i="28"/>
  <c r="BD480" i="28" s="1"/>
  <c r="AV480" i="28"/>
  <c r="BC480" i="28" s="1"/>
  <c r="AU480" i="28"/>
  <c r="BB480" i="28" s="1"/>
  <c r="AT480" i="28"/>
  <c r="BA480" i="28" s="1"/>
  <c r="AX479" i="28"/>
  <c r="BE479" i="28" s="1"/>
  <c r="AW479" i="28"/>
  <c r="BD479" i="28" s="1"/>
  <c r="AV479" i="28"/>
  <c r="BC479" i="28" s="1"/>
  <c r="AU479" i="28"/>
  <c r="BB479" i="28" s="1"/>
  <c r="AT479" i="28"/>
  <c r="BA479" i="28" s="1"/>
  <c r="AY478" i="28"/>
  <c r="BF478" i="28" s="1"/>
  <c r="AX478" i="28"/>
  <c r="BE478" i="28" s="1"/>
  <c r="AW478" i="28"/>
  <c r="BD478" i="28" s="1"/>
  <c r="AV478" i="28"/>
  <c r="BC478" i="28" s="1"/>
  <c r="AU478" i="28"/>
  <c r="BB478" i="28" s="1"/>
  <c r="AT478" i="28"/>
  <c r="BA478" i="28" s="1"/>
  <c r="AY477" i="28"/>
  <c r="BF477" i="28" s="1"/>
  <c r="AX477" i="28"/>
  <c r="BE477" i="28" s="1"/>
  <c r="AW477" i="28"/>
  <c r="BD477" i="28" s="1"/>
  <c r="AV477" i="28"/>
  <c r="BC477" i="28" s="1"/>
  <c r="AU477" i="28"/>
  <c r="BB477" i="28" s="1"/>
  <c r="AT477" i="28"/>
  <c r="BA477" i="28" s="1"/>
  <c r="AY476" i="28"/>
  <c r="BF476" i="28" s="1"/>
  <c r="AX476" i="28"/>
  <c r="BE476" i="28" s="1"/>
  <c r="AW476" i="28"/>
  <c r="BD476" i="28" s="1"/>
  <c r="AV476" i="28"/>
  <c r="BC476" i="28" s="1"/>
  <c r="AU476" i="28"/>
  <c r="BB476" i="28" s="1"/>
  <c r="AT476" i="28"/>
  <c r="BA476" i="28" s="1"/>
  <c r="AY475" i="28"/>
  <c r="BF475" i="28" s="1"/>
  <c r="AX475" i="28"/>
  <c r="BE475" i="28" s="1"/>
  <c r="AW475" i="28"/>
  <c r="BD475" i="28" s="1"/>
  <c r="AV475" i="28"/>
  <c r="BC475" i="28" s="1"/>
  <c r="AU475" i="28"/>
  <c r="BB475" i="28" s="1"/>
  <c r="AT475" i="28"/>
  <c r="BA475" i="28" s="1"/>
  <c r="AY474" i="28"/>
  <c r="BF474" i="28" s="1"/>
  <c r="AX474" i="28"/>
  <c r="BE474" i="28" s="1"/>
  <c r="AW474" i="28"/>
  <c r="BD474" i="28" s="1"/>
  <c r="AV474" i="28"/>
  <c r="BC474" i="28" s="1"/>
  <c r="AU474" i="28"/>
  <c r="BB474" i="28" s="1"/>
  <c r="AT474" i="28"/>
  <c r="BA474" i="28" s="1"/>
  <c r="AY473" i="28"/>
  <c r="BF473" i="28" s="1"/>
  <c r="AX473" i="28"/>
  <c r="BE473" i="28" s="1"/>
  <c r="AW473" i="28"/>
  <c r="BD473" i="28" s="1"/>
  <c r="AV473" i="28"/>
  <c r="BC473" i="28" s="1"/>
  <c r="AU473" i="28"/>
  <c r="BB473" i="28" s="1"/>
  <c r="AT473" i="28"/>
  <c r="BA473" i="28" s="1"/>
  <c r="AX472" i="28"/>
  <c r="BE472" i="28" s="1"/>
  <c r="AW472" i="28"/>
  <c r="BD472" i="28" s="1"/>
  <c r="AV472" i="28"/>
  <c r="BC472" i="28" s="1"/>
  <c r="AU472" i="28"/>
  <c r="BB472" i="28" s="1"/>
  <c r="AT472" i="28"/>
  <c r="BA472" i="28" s="1"/>
  <c r="AX471" i="28"/>
  <c r="BE471" i="28" s="1"/>
  <c r="AW471" i="28"/>
  <c r="BD471" i="28" s="1"/>
  <c r="AV471" i="28"/>
  <c r="BC471" i="28" s="1"/>
  <c r="AU471" i="28"/>
  <c r="BB471" i="28" s="1"/>
  <c r="AT471" i="28"/>
  <c r="BA471" i="28" s="1"/>
  <c r="AY470" i="28"/>
  <c r="BF470" i="28" s="1"/>
  <c r="AX470" i="28"/>
  <c r="BE470" i="28" s="1"/>
  <c r="AW470" i="28"/>
  <c r="BD470" i="28" s="1"/>
  <c r="AV470" i="28"/>
  <c r="BC470" i="28" s="1"/>
  <c r="AU470" i="28"/>
  <c r="BB470" i="28" s="1"/>
  <c r="AT470" i="28"/>
  <c r="BA470" i="28" s="1"/>
  <c r="AY469" i="28"/>
  <c r="BF469" i="28" s="1"/>
  <c r="AX469" i="28"/>
  <c r="BE469" i="28" s="1"/>
  <c r="AW469" i="28"/>
  <c r="BD469" i="28" s="1"/>
  <c r="AV469" i="28"/>
  <c r="BC469" i="28" s="1"/>
  <c r="AU469" i="28"/>
  <c r="BB469" i="28" s="1"/>
  <c r="AT469" i="28"/>
  <c r="BA469" i="28" s="1"/>
  <c r="AY468" i="28"/>
  <c r="BF468" i="28" s="1"/>
  <c r="AX468" i="28"/>
  <c r="BE468" i="28" s="1"/>
  <c r="AW468" i="28"/>
  <c r="BD468" i="28" s="1"/>
  <c r="AV468" i="28"/>
  <c r="BC468" i="28" s="1"/>
  <c r="AU468" i="28"/>
  <c r="BB468" i="28" s="1"/>
  <c r="AT468" i="28"/>
  <c r="BA468" i="28" s="1"/>
  <c r="AY467" i="28"/>
  <c r="BF467" i="28" s="1"/>
  <c r="AX467" i="28"/>
  <c r="BE467" i="28" s="1"/>
  <c r="AW467" i="28"/>
  <c r="BD467" i="28" s="1"/>
  <c r="AV467" i="28"/>
  <c r="BC467" i="28" s="1"/>
  <c r="AU467" i="28"/>
  <c r="BB467" i="28" s="1"/>
  <c r="AT467" i="28"/>
  <c r="BA467" i="28" s="1"/>
  <c r="AY466" i="28"/>
  <c r="BF466" i="28" s="1"/>
  <c r="AX466" i="28"/>
  <c r="BE466" i="28" s="1"/>
  <c r="AW466" i="28"/>
  <c r="BD466" i="28" s="1"/>
  <c r="AV466" i="28"/>
  <c r="BC466" i="28" s="1"/>
  <c r="AU466" i="28"/>
  <c r="BB466" i="28" s="1"/>
  <c r="AT466" i="28"/>
  <c r="BA466" i="28" s="1"/>
  <c r="AY465" i="28"/>
  <c r="BF465" i="28" s="1"/>
  <c r="AX465" i="28"/>
  <c r="BE465" i="28" s="1"/>
  <c r="AW465" i="28"/>
  <c r="BD465" i="28" s="1"/>
  <c r="AV465" i="28"/>
  <c r="BC465" i="28" s="1"/>
  <c r="AU465" i="28"/>
  <c r="BB465" i="28" s="1"/>
  <c r="AT465" i="28"/>
  <c r="BA465" i="28" s="1"/>
  <c r="AX464" i="28"/>
  <c r="BE464" i="28" s="1"/>
  <c r="AW464" i="28"/>
  <c r="BD464" i="28" s="1"/>
  <c r="AV464" i="28"/>
  <c r="BC464" i="28" s="1"/>
  <c r="AU464" i="28"/>
  <c r="BB464" i="28" s="1"/>
  <c r="AT464" i="28"/>
  <c r="BA464" i="28" s="1"/>
  <c r="AX463" i="28"/>
  <c r="BE463" i="28" s="1"/>
  <c r="AW463" i="28"/>
  <c r="BD463" i="28" s="1"/>
  <c r="AV463" i="28"/>
  <c r="BC463" i="28" s="1"/>
  <c r="AU463" i="28"/>
  <c r="BB463" i="28" s="1"/>
  <c r="AT463" i="28"/>
  <c r="BA463" i="28" s="1"/>
  <c r="BF462" i="28"/>
  <c r="AX462" i="28"/>
  <c r="BE462" i="28" s="1"/>
  <c r="AW462" i="28"/>
  <c r="BD462" i="28" s="1"/>
  <c r="AV462" i="28"/>
  <c r="BC462" i="28" s="1"/>
  <c r="AU462" i="28"/>
  <c r="BB462" i="28" s="1"/>
  <c r="AT462" i="28"/>
  <c r="BA462" i="28" s="1"/>
  <c r="AY461" i="28"/>
  <c r="BF461" i="28" s="1"/>
  <c r="AX461" i="28"/>
  <c r="BE461" i="28" s="1"/>
  <c r="AW461" i="28"/>
  <c r="BD461" i="28" s="1"/>
  <c r="AV461" i="28"/>
  <c r="BC461" i="28" s="1"/>
  <c r="AU461" i="28"/>
  <c r="BB461" i="28" s="1"/>
  <c r="AT461" i="28"/>
  <c r="BA461" i="28" s="1"/>
  <c r="AY460" i="28"/>
  <c r="BF460" i="28" s="1"/>
  <c r="AX460" i="28"/>
  <c r="BE460" i="28" s="1"/>
  <c r="AW460" i="28"/>
  <c r="BD460" i="28" s="1"/>
  <c r="AV460" i="28"/>
  <c r="BC460" i="28" s="1"/>
  <c r="AU460" i="28"/>
  <c r="BB460" i="28" s="1"/>
  <c r="AT460" i="28"/>
  <c r="BA460" i="28" s="1"/>
  <c r="AY459" i="28"/>
  <c r="BF459" i="28" s="1"/>
  <c r="AX459" i="28"/>
  <c r="BE459" i="28" s="1"/>
  <c r="AW459" i="28"/>
  <c r="BD459" i="28" s="1"/>
  <c r="AV459" i="28"/>
  <c r="BC459" i="28" s="1"/>
  <c r="AU459" i="28"/>
  <c r="BB459" i="28" s="1"/>
  <c r="AT459" i="28"/>
  <c r="BA459" i="28" s="1"/>
  <c r="AY458" i="28"/>
  <c r="BF458" i="28" s="1"/>
  <c r="AX458" i="28"/>
  <c r="BE458" i="28" s="1"/>
  <c r="AW458" i="28"/>
  <c r="BD458" i="28" s="1"/>
  <c r="AV458" i="28"/>
  <c r="BC458" i="28" s="1"/>
  <c r="AU458" i="28"/>
  <c r="BB458" i="28" s="1"/>
  <c r="AT458" i="28"/>
  <c r="BA458" i="28" s="1"/>
  <c r="AY457" i="28"/>
  <c r="BF457" i="28" s="1"/>
  <c r="AX457" i="28"/>
  <c r="BE457" i="28" s="1"/>
  <c r="AW457" i="28"/>
  <c r="BD457" i="28" s="1"/>
  <c r="AV457" i="28"/>
  <c r="BC457" i="28" s="1"/>
  <c r="AU457" i="28"/>
  <c r="BB457" i="28" s="1"/>
  <c r="AT457" i="28"/>
  <c r="BA457" i="28" s="1"/>
  <c r="AX456" i="28"/>
  <c r="BE456" i="28" s="1"/>
  <c r="AW456" i="28"/>
  <c r="BD456" i="28" s="1"/>
  <c r="AV456" i="28"/>
  <c r="BC456" i="28" s="1"/>
  <c r="AU456" i="28"/>
  <c r="BB456" i="28" s="1"/>
  <c r="AT456" i="28"/>
  <c r="BA456" i="28" s="1"/>
  <c r="AX455" i="28"/>
  <c r="BE455" i="28" s="1"/>
  <c r="AW455" i="28"/>
  <c r="BD455" i="28" s="1"/>
  <c r="AV455" i="28"/>
  <c r="BC455" i="28" s="1"/>
  <c r="AU455" i="28"/>
  <c r="BB455" i="28" s="1"/>
  <c r="AT455" i="28"/>
  <c r="BA455" i="28" s="1"/>
  <c r="AX454" i="28"/>
  <c r="BE454" i="28" s="1"/>
  <c r="AW454" i="28"/>
  <c r="BD454" i="28" s="1"/>
  <c r="AV454" i="28"/>
  <c r="BC454" i="28" s="1"/>
  <c r="AU454" i="28"/>
  <c r="BB454" i="28" s="1"/>
  <c r="AT454" i="28"/>
  <c r="BA454" i="28" s="1"/>
  <c r="AY453" i="28"/>
  <c r="BF453" i="28" s="1"/>
  <c r="AX453" i="28"/>
  <c r="BE453" i="28" s="1"/>
  <c r="AW453" i="28"/>
  <c r="BD453" i="28" s="1"/>
  <c r="AV453" i="28"/>
  <c r="BC453" i="28" s="1"/>
  <c r="AU453" i="28"/>
  <c r="BB453" i="28" s="1"/>
  <c r="AT453" i="28"/>
  <c r="BA453" i="28" s="1"/>
  <c r="AY452" i="28"/>
  <c r="BF452" i="28" s="1"/>
  <c r="AX452" i="28"/>
  <c r="BE452" i="28" s="1"/>
  <c r="AW452" i="28"/>
  <c r="BD452" i="28" s="1"/>
  <c r="AV452" i="28"/>
  <c r="BC452" i="28" s="1"/>
  <c r="AU452" i="28"/>
  <c r="BB452" i="28" s="1"/>
  <c r="AT452" i="28"/>
  <c r="BA452" i="28" s="1"/>
  <c r="AY451" i="28"/>
  <c r="BF451" i="28" s="1"/>
  <c r="AX451" i="28"/>
  <c r="BE451" i="28" s="1"/>
  <c r="AW451" i="28"/>
  <c r="BD451" i="28" s="1"/>
  <c r="AV451" i="28"/>
  <c r="BC451" i="28" s="1"/>
  <c r="AU451" i="28"/>
  <c r="BB451" i="28" s="1"/>
  <c r="AT451" i="28"/>
  <c r="BA451" i="28" s="1"/>
  <c r="AY450" i="28"/>
  <c r="BF450" i="28" s="1"/>
  <c r="AX450" i="28"/>
  <c r="BE450" i="28" s="1"/>
  <c r="AW450" i="28"/>
  <c r="BD450" i="28" s="1"/>
  <c r="AV450" i="28"/>
  <c r="BC450" i="28" s="1"/>
  <c r="AU450" i="28"/>
  <c r="BB450" i="28" s="1"/>
  <c r="AT450" i="28"/>
  <c r="BA450" i="28" s="1"/>
  <c r="AY449" i="28"/>
  <c r="BF449" i="28" s="1"/>
  <c r="AX449" i="28"/>
  <c r="BE449" i="28" s="1"/>
  <c r="AW449" i="28"/>
  <c r="BD449" i="28" s="1"/>
  <c r="AV449" i="28"/>
  <c r="BC449" i="28" s="1"/>
  <c r="AU449" i="28"/>
  <c r="BB449" i="28" s="1"/>
  <c r="AT449" i="28"/>
  <c r="BA449" i="28" s="1"/>
  <c r="AX448" i="28"/>
  <c r="BE448" i="28" s="1"/>
  <c r="AW448" i="28"/>
  <c r="BD448" i="28" s="1"/>
  <c r="AV448" i="28"/>
  <c r="BC448" i="28" s="1"/>
  <c r="AU448" i="28"/>
  <c r="BB448" i="28" s="1"/>
  <c r="AT448" i="28"/>
  <c r="BA448" i="28" s="1"/>
  <c r="AX447" i="28"/>
  <c r="BE447" i="28" s="1"/>
  <c r="AW447" i="28"/>
  <c r="BD447" i="28" s="1"/>
  <c r="AV447" i="28"/>
  <c r="BC447" i="28" s="1"/>
  <c r="AU447" i="28"/>
  <c r="BB447" i="28" s="1"/>
  <c r="AT447" i="28"/>
  <c r="BA447" i="28" s="1"/>
  <c r="AX446" i="28"/>
  <c r="BE446" i="28" s="1"/>
  <c r="AW446" i="28"/>
  <c r="BD446" i="28" s="1"/>
  <c r="AV446" i="28"/>
  <c r="BC446" i="28" s="1"/>
  <c r="AU446" i="28"/>
  <c r="BB446" i="28" s="1"/>
  <c r="AT446" i="28"/>
  <c r="BA446" i="28" s="1"/>
  <c r="AY445" i="28"/>
  <c r="BF445" i="28" s="1"/>
  <c r="AX445" i="28"/>
  <c r="BE445" i="28" s="1"/>
  <c r="AW445" i="28"/>
  <c r="BD445" i="28" s="1"/>
  <c r="AV445" i="28"/>
  <c r="BC445" i="28" s="1"/>
  <c r="AU445" i="28"/>
  <c r="BB445" i="28" s="1"/>
  <c r="AT445" i="28"/>
  <c r="BA445" i="28" s="1"/>
  <c r="AY444" i="28"/>
  <c r="BF444" i="28" s="1"/>
  <c r="AX444" i="28"/>
  <c r="BE444" i="28" s="1"/>
  <c r="AW444" i="28"/>
  <c r="BD444" i="28" s="1"/>
  <c r="AV444" i="28"/>
  <c r="BC444" i="28" s="1"/>
  <c r="AU444" i="28"/>
  <c r="BB444" i="28" s="1"/>
  <c r="AT444" i="28"/>
  <c r="BA444" i="28" s="1"/>
  <c r="AY443" i="28"/>
  <c r="BF443" i="28" s="1"/>
  <c r="AX443" i="28"/>
  <c r="BE443" i="28" s="1"/>
  <c r="AW443" i="28"/>
  <c r="BD443" i="28" s="1"/>
  <c r="AV443" i="28"/>
  <c r="BC443" i="28" s="1"/>
  <c r="AU443" i="28"/>
  <c r="BB443" i="28" s="1"/>
  <c r="AT443" i="28"/>
  <c r="BA443" i="28" s="1"/>
  <c r="AY442" i="28"/>
  <c r="BF442" i="28" s="1"/>
  <c r="AX442" i="28"/>
  <c r="BE442" i="28" s="1"/>
  <c r="AW442" i="28"/>
  <c r="BD442" i="28" s="1"/>
  <c r="AV442" i="28"/>
  <c r="BC442" i="28" s="1"/>
  <c r="AU442" i="28"/>
  <c r="BB442" i="28" s="1"/>
  <c r="AT442" i="28"/>
  <c r="BA442" i="28" s="1"/>
  <c r="AY441" i="28"/>
  <c r="BF441" i="28" s="1"/>
  <c r="AX441" i="28"/>
  <c r="BE441" i="28" s="1"/>
  <c r="AW441" i="28"/>
  <c r="BD441" i="28" s="1"/>
  <c r="AV441" i="28"/>
  <c r="BC441" i="28" s="1"/>
  <c r="AU441" i="28"/>
  <c r="BB441" i="28" s="1"/>
  <c r="AT441" i="28"/>
  <c r="BA441" i="28" s="1"/>
  <c r="AX440" i="28"/>
  <c r="BE440" i="28" s="1"/>
  <c r="AW440" i="28"/>
  <c r="BD440" i="28" s="1"/>
  <c r="AV440" i="28"/>
  <c r="BC440" i="28" s="1"/>
  <c r="AU440" i="28"/>
  <c r="BB440" i="28" s="1"/>
  <c r="AT440" i="28"/>
  <c r="BA440" i="28" s="1"/>
  <c r="AX439" i="28"/>
  <c r="BE439" i="28" s="1"/>
  <c r="AW439" i="28"/>
  <c r="BD439" i="28" s="1"/>
  <c r="AV439" i="28"/>
  <c r="BC439" i="28" s="1"/>
  <c r="AU439" i="28"/>
  <c r="BB439" i="28" s="1"/>
  <c r="AT439" i="28"/>
  <c r="BA439" i="28" s="1"/>
  <c r="AX438" i="28"/>
  <c r="BE438" i="28" s="1"/>
  <c r="AW438" i="28"/>
  <c r="BD438" i="28" s="1"/>
  <c r="AV438" i="28"/>
  <c r="BC438" i="28" s="1"/>
  <c r="AU438" i="28"/>
  <c r="BB438" i="28" s="1"/>
  <c r="AT438" i="28"/>
  <c r="BA438" i="28" s="1"/>
  <c r="AY437" i="28"/>
  <c r="BF437" i="28" s="1"/>
  <c r="AX437" i="28"/>
  <c r="BE437" i="28" s="1"/>
  <c r="AW437" i="28"/>
  <c r="BD437" i="28" s="1"/>
  <c r="AV437" i="28"/>
  <c r="BC437" i="28" s="1"/>
  <c r="AU437" i="28"/>
  <c r="BB437" i="28" s="1"/>
  <c r="AT437" i="28"/>
  <c r="BA437" i="28" s="1"/>
  <c r="AY436" i="28"/>
  <c r="BF436" i="28" s="1"/>
  <c r="AX436" i="28"/>
  <c r="BE436" i="28" s="1"/>
  <c r="AW436" i="28"/>
  <c r="BD436" i="28" s="1"/>
  <c r="AV436" i="28"/>
  <c r="BC436" i="28" s="1"/>
  <c r="AU436" i="28"/>
  <c r="BB436" i="28" s="1"/>
  <c r="AT436" i="28"/>
  <c r="BA436" i="28" s="1"/>
  <c r="AY435" i="28"/>
  <c r="BF435" i="28" s="1"/>
  <c r="AX435" i="28"/>
  <c r="BE435" i="28" s="1"/>
  <c r="AW435" i="28"/>
  <c r="BD435" i="28" s="1"/>
  <c r="AV435" i="28"/>
  <c r="BC435" i="28" s="1"/>
  <c r="AU435" i="28"/>
  <c r="BB435" i="28" s="1"/>
  <c r="AT435" i="28"/>
  <c r="BA435" i="28" s="1"/>
  <c r="AY434" i="28"/>
  <c r="BF434" i="28" s="1"/>
  <c r="AX434" i="28"/>
  <c r="BE434" i="28" s="1"/>
  <c r="AW434" i="28"/>
  <c r="BD434" i="28" s="1"/>
  <c r="AV434" i="28"/>
  <c r="BC434" i="28" s="1"/>
  <c r="AU434" i="28"/>
  <c r="BB434" i="28" s="1"/>
  <c r="AT434" i="28"/>
  <c r="BA434" i="28" s="1"/>
  <c r="AY433" i="28"/>
  <c r="BF433" i="28" s="1"/>
  <c r="AX433" i="28"/>
  <c r="BE433" i="28" s="1"/>
  <c r="AW433" i="28"/>
  <c r="BD433" i="28" s="1"/>
  <c r="AV433" i="28"/>
  <c r="BC433" i="28" s="1"/>
  <c r="AU433" i="28"/>
  <c r="BB433" i="28" s="1"/>
  <c r="AT433" i="28"/>
  <c r="BA433" i="28" s="1"/>
  <c r="AX432" i="28"/>
  <c r="BE432" i="28" s="1"/>
  <c r="AW432" i="28"/>
  <c r="BD432" i="28" s="1"/>
  <c r="AV432" i="28"/>
  <c r="BC432" i="28" s="1"/>
  <c r="AU432" i="28"/>
  <c r="BB432" i="28" s="1"/>
  <c r="AT432" i="28"/>
  <c r="BA432" i="28" s="1"/>
  <c r="AX431" i="28"/>
  <c r="BE431" i="28" s="1"/>
  <c r="AW431" i="28"/>
  <c r="BD431" i="28" s="1"/>
  <c r="AV431" i="28"/>
  <c r="BC431" i="28" s="1"/>
  <c r="AU431" i="28"/>
  <c r="BB431" i="28" s="1"/>
  <c r="AT431" i="28"/>
  <c r="BA431" i="28" s="1"/>
  <c r="AX430" i="28"/>
  <c r="BE430" i="28" s="1"/>
  <c r="AW430" i="28"/>
  <c r="BD430" i="28" s="1"/>
  <c r="AV430" i="28"/>
  <c r="BC430" i="28" s="1"/>
  <c r="AU430" i="28"/>
  <c r="BB430" i="28" s="1"/>
  <c r="AT430" i="28"/>
  <c r="BA430" i="28" s="1"/>
  <c r="AY429" i="28"/>
  <c r="BF429" i="28" s="1"/>
  <c r="AX429" i="28"/>
  <c r="BE429" i="28" s="1"/>
  <c r="AW429" i="28"/>
  <c r="BD429" i="28" s="1"/>
  <c r="AV429" i="28"/>
  <c r="BC429" i="28" s="1"/>
  <c r="AU429" i="28"/>
  <c r="BB429" i="28" s="1"/>
  <c r="AT429" i="28"/>
  <c r="BA429" i="28" s="1"/>
  <c r="AY428" i="28"/>
  <c r="BF428" i="28" s="1"/>
  <c r="AX428" i="28"/>
  <c r="BE428" i="28" s="1"/>
  <c r="AW428" i="28"/>
  <c r="BD428" i="28" s="1"/>
  <c r="AV428" i="28"/>
  <c r="BC428" i="28" s="1"/>
  <c r="AU428" i="28"/>
  <c r="BB428" i="28" s="1"/>
  <c r="AT428" i="28"/>
  <c r="BA428" i="28" s="1"/>
  <c r="AY427" i="28"/>
  <c r="BF427" i="28" s="1"/>
  <c r="AX427" i="28"/>
  <c r="BE427" i="28" s="1"/>
  <c r="AW427" i="28"/>
  <c r="BD427" i="28" s="1"/>
  <c r="AV427" i="28"/>
  <c r="BC427" i="28" s="1"/>
  <c r="AU427" i="28"/>
  <c r="BB427" i="28" s="1"/>
  <c r="AT427" i="28"/>
  <c r="BA427" i="28" s="1"/>
  <c r="AY426" i="28"/>
  <c r="BF426" i="28" s="1"/>
  <c r="AX426" i="28"/>
  <c r="BE426" i="28" s="1"/>
  <c r="AW426" i="28"/>
  <c r="BD426" i="28" s="1"/>
  <c r="AV426" i="28"/>
  <c r="BC426" i="28" s="1"/>
  <c r="AU426" i="28"/>
  <c r="BB426" i="28" s="1"/>
  <c r="AT426" i="28"/>
  <c r="BA426" i="28" s="1"/>
  <c r="AY425" i="28"/>
  <c r="BF425" i="28" s="1"/>
  <c r="AX425" i="28"/>
  <c r="BE425" i="28" s="1"/>
  <c r="AW425" i="28"/>
  <c r="BD425" i="28" s="1"/>
  <c r="AV425" i="28"/>
  <c r="BC425" i="28" s="1"/>
  <c r="AU425" i="28"/>
  <c r="BB425" i="28" s="1"/>
  <c r="AT425" i="28"/>
  <c r="BA425" i="28" s="1"/>
  <c r="AX424" i="28"/>
  <c r="BE424" i="28" s="1"/>
  <c r="AW424" i="28"/>
  <c r="BD424" i="28" s="1"/>
  <c r="AV424" i="28"/>
  <c r="BC424" i="28" s="1"/>
  <c r="AU424" i="28"/>
  <c r="BB424" i="28" s="1"/>
  <c r="AT424" i="28"/>
  <c r="BA424" i="28" s="1"/>
  <c r="AX423" i="28"/>
  <c r="BE423" i="28" s="1"/>
  <c r="AW423" i="28"/>
  <c r="BD423" i="28" s="1"/>
  <c r="AV423" i="28"/>
  <c r="BC423" i="28" s="1"/>
  <c r="AU423" i="28"/>
  <c r="BB423" i="28" s="1"/>
  <c r="AT423" i="28"/>
  <c r="BA423" i="28" s="1"/>
  <c r="AX422" i="28"/>
  <c r="BE422" i="28" s="1"/>
  <c r="AW422" i="28"/>
  <c r="BD422" i="28" s="1"/>
  <c r="AV422" i="28"/>
  <c r="BC422" i="28" s="1"/>
  <c r="AU422" i="28"/>
  <c r="BB422" i="28" s="1"/>
  <c r="AT422" i="28"/>
  <c r="BA422" i="28" s="1"/>
  <c r="AY421" i="28"/>
  <c r="BF421" i="28" s="1"/>
  <c r="AX421" i="28"/>
  <c r="BE421" i="28" s="1"/>
  <c r="AW421" i="28"/>
  <c r="BD421" i="28" s="1"/>
  <c r="AV421" i="28"/>
  <c r="BC421" i="28" s="1"/>
  <c r="AU421" i="28"/>
  <c r="BB421" i="28" s="1"/>
  <c r="AT421" i="28"/>
  <c r="BA421" i="28" s="1"/>
  <c r="AY420" i="28"/>
  <c r="BF420" i="28" s="1"/>
  <c r="AX420" i="28"/>
  <c r="BE420" i="28" s="1"/>
  <c r="AW420" i="28"/>
  <c r="BD420" i="28" s="1"/>
  <c r="AV420" i="28"/>
  <c r="BC420" i="28" s="1"/>
  <c r="AU420" i="28"/>
  <c r="BB420" i="28" s="1"/>
  <c r="AT420" i="28"/>
  <c r="BA420" i="28" s="1"/>
  <c r="AY419" i="28"/>
  <c r="BF419" i="28" s="1"/>
  <c r="AX419" i="28"/>
  <c r="BE419" i="28" s="1"/>
  <c r="AW419" i="28"/>
  <c r="BD419" i="28" s="1"/>
  <c r="AV419" i="28"/>
  <c r="BC419" i="28" s="1"/>
  <c r="AU419" i="28"/>
  <c r="BB419" i="28" s="1"/>
  <c r="AT419" i="28"/>
  <c r="BA419" i="28" s="1"/>
  <c r="AY418" i="28"/>
  <c r="BF418" i="28" s="1"/>
  <c r="AX418" i="28"/>
  <c r="BE418" i="28" s="1"/>
  <c r="AW418" i="28"/>
  <c r="BD418" i="28" s="1"/>
  <c r="AV418" i="28"/>
  <c r="BC418" i="28" s="1"/>
  <c r="AU418" i="28"/>
  <c r="BB418" i="28" s="1"/>
  <c r="AT418" i="28"/>
  <c r="BA418" i="28" s="1"/>
  <c r="AY417" i="28"/>
  <c r="BF417" i="28" s="1"/>
  <c r="AX417" i="28"/>
  <c r="BE417" i="28" s="1"/>
  <c r="AW417" i="28"/>
  <c r="BD417" i="28" s="1"/>
  <c r="AV417" i="28"/>
  <c r="BC417" i="28" s="1"/>
  <c r="AU417" i="28"/>
  <c r="BB417" i="28" s="1"/>
  <c r="AT417" i="28"/>
  <c r="BA417" i="28" s="1"/>
  <c r="AX416" i="28"/>
  <c r="BE416" i="28" s="1"/>
  <c r="AW416" i="28"/>
  <c r="BD416" i="28" s="1"/>
  <c r="AV416" i="28"/>
  <c r="BC416" i="28" s="1"/>
  <c r="AU416" i="28"/>
  <c r="BB416" i="28" s="1"/>
  <c r="AT416" i="28"/>
  <c r="BA416" i="28" s="1"/>
  <c r="AX415" i="28"/>
  <c r="BE415" i="28" s="1"/>
  <c r="AW415" i="28"/>
  <c r="BD415" i="28" s="1"/>
  <c r="AV415" i="28"/>
  <c r="BC415" i="28" s="1"/>
  <c r="AU415" i="28"/>
  <c r="BB415" i="28" s="1"/>
  <c r="AT415" i="28"/>
  <c r="BA415" i="28" s="1"/>
  <c r="BF414" i="28"/>
  <c r="AX414" i="28"/>
  <c r="BE414" i="28" s="1"/>
  <c r="AW414" i="28"/>
  <c r="BD414" i="28" s="1"/>
  <c r="AV414" i="28"/>
  <c r="BC414" i="28" s="1"/>
  <c r="AU414" i="28"/>
  <c r="BB414" i="28" s="1"/>
  <c r="AT414" i="28"/>
  <c r="BA414" i="28" s="1"/>
  <c r="AY413" i="28"/>
  <c r="BF413" i="28" s="1"/>
  <c r="AX413" i="28"/>
  <c r="BE413" i="28" s="1"/>
  <c r="AW413" i="28"/>
  <c r="BD413" i="28" s="1"/>
  <c r="AV413" i="28"/>
  <c r="BC413" i="28" s="1"/>
  <c r="AU413" i="28"/>
  <c r="BB413" i="28" s="1"/>
  <c r="AT413" i="28"/>
  <c r="BA413" i="28" s="1"/>
  <c r="AY412" i="28"/>
  <c r="BF412" i="28" s="1"/>
  <c r="AX412" i="28"/>
  <c r="BE412" i="28" s="1"/>
  <c r="AW412" i="28"/>
  <c r="BD412" i="28" s="1"/>
  <c r="AV412" i="28"/>
  <c r="BC412" i="28" s="1"/>
  <c r="AU412" i="28"/>
  <c r="BB412" i="28" s="1"/>
  <c r="AT412" i="28"/>
  <c r="BA412" i="28" s="1"/>
  <c r="AY411" i="28"/>
  <c r="BF411" i="28" s="1"/>
  <c r="AX411" i="28"/>
  <c r="BE411" i="28" s="1"/>
  <c r="AW411" i="28"/>
  <c r="BD411" i="28" s="1"/>
  <c r="AV411" i="28"/>
  <c r="BC411" i="28" s="1"/>
  <c r="AU411" i="28"/>
  <c r="BB411" i="28" s="1"/>
  <c r="AT411" i="28"/>
  <c r="BA411" i="28" s="1"/>
  <c r="AY410" i="28"/>
  <c r="BF410" i="28" s="1"/>
  <c r="AX410" i="28"/>
  <c r="BE410" i="28" s="1"/>
  <c r="AW410" i="28"/>
  <c r="BD410" i="28" s="1"/>
  <c r="AV410" i="28"/>
  <c r="BC410" i="28" s="1"/>
  <c r="AU410" i="28"/>
  <c r="BB410" i="28" s="1"/>
  <c r="AT410" i="28"/>
  <c r="BA410" i="28" s="1"/>
  <c r="AY409" i="28"/>
  <c r="BF409" i="28" s="1"/>
  <c r="AX409" i="28"/>
  <c r="BE409" i="28" s="1"/>
  <c r="AW409" i="28"/>
  <c r="BD409" i="28" s="1"/>
  <c r="AV409" i="28"/>
  <c r="BC409" i="28" s="1"/>
  <c r="AU409" i="28"/>
  <c r="BB409" i="28" s="1"/>
  <c r="AT409" i="28"/>
  <c r="BA409" i="28" s="1"/>
  <c r="AX408" i="28"/>
  <c r="BE408" i="28" s="1"/>
  <c r="AW408" i="28"/>
  <c r="BD408" i="28" s="1"/>
  <c r="AV408" i="28"/>
  <c r="BC408" i="28" s="1"/>
  <c r="AU408" i="28"/>
  <c r="BB408" i="28" s="1"/>
  <c r="AT408" i="28"/>
  <c r="BA408" i="28" s="1"/>
  <c r="AX407" i="28"/>
  <c r="BE407" i="28" s="1"/>
  <c r="AW407" i="28"/>
  <c r="BD407" i="28" s="1"/>
  <c r="AV407" i="28"/>
  <c r="BC407" i="28" s="1"/>
  <c r="AU407" i="28"/>
  <c r="BB407" i="28" s="1"/>
  <c r="AT407" i="28"/>
  <c r="BA407" i="28" s="1"/>
  <c r="BF406" i="28"/>
  <c r="AX406" i="28"/>
  <c r="BE406" i="28" s="1"/>
  <c r="AW406" i="28"/>
  <c r="BD406" i="28" s="1"/>
  <c r="AV406" i="28"/>
  <c r="BC406" i="28" s="1"/>
  <c r="AU406" i="28"/>
  <c r="BB406" i="28" s="1"/>
  <c r="AT406" i="28"/>
  <c r="BA406" i="28" s="1"/>
  <c r="AY405" i="28"/>
  <c r="BF405" i="28" s="1"/>
  <c r="AX405" i="28"/>
  <c r="BE405" i="28" s="1"/>
  <c r="AW405" i="28"/>
  <c r="BD405" i="28" s="1"/>
  <c r="AV405" i="28"/>
  <c r="BC405" i="28" s="1"/>
  <c r="AU405" i="28"/>
  <c r="BB405" i="28" s="1"/>
  <c r="AT405" i="28"/>
  <c r="BA405" i="28" s="1"/>
  <c r="AY404" i="28"/>
  <c r="BF404" i="28" s="1"/>
  <c r="AX404" i="28"/>
  <c r="BE404" i="28" s="1"/>
  <c r="AW404" i="28"/>
  <c r="BD404" i="28" s="1"/>
  <c r="AV404" i="28"/>
  <c r="BC404" i="28" s="1"/>
  <c r="AU404" i="28"/>
  <c r="BB404" i="28" s="1"/>
  <c r="AT404" i="28"/>
  <c r="BA404" i="28" s="1"/>
  <c r="AY403" i="28"/>
  <c r="BF403" i="28" s="1"/>
  <c r="AX403" i="28"/>
  <c r="BE403" i="28" s="1"/>
  <c r="AW403" i="28"/>
  <c r="BD403" i="28" s="1"/>
  <c r="AV403" i="28"/>
  <c r="BC403" i="28" s="1"/>
  <c r="AU403" i="28"/>
  <c r="BB403" i="28" s="1"/>
  <c r="AT403" i="28"/>
  <c r="BA403" i="28" s="1"/>
  <c r="AY402" i="28"/>
  <c r="BF402" i="28" s="1"/>
  <c r="AX402" i="28"/>
  <c r="BE402" i="28" s="1"/>
  <c r="AW402" i="28"/>
  <c r="BD402" i="28" s="1"/>
  <c r="AV402" i="28"/>
  <c r="BC402" i="28" s="1"/>
  <c r="AU402" i="28"/>
  <c r="BB402" i="28" s="1"/>
  <c r="AT402" i="28"/>
  <c r="BA402" i="28" s="1"/>
  <c r="AY401" i="28"/>
  <c r="BF401" i="28" s="1"/>
  <c r="AX401" i="28"/>
  <c r="BE401" i="28" s="1"/>
  <c r="AW401" i="28"/>
  <c r="BD401" i="28" s="1"/>
  <c r="AV401" i="28"/>
  <c r="BC401" i="28" s="1"/>
  <c r="AU401" i="28"/>
  <c r="BB401" i="28" s="1"/>
  <c r="AT401" i="28"/>
  <c r="BA401" i="28" s="1"/>
  <c r="AX400" i="28"/>
  <c r="BE400" i="28" s="1"/>
  <c r="AW400" i="28"/>
  <c r="BD400" i="28" s="1"/>
  <c r="AV400" i="28"/>
  <c r="BC400" i="28" s="1"/>
  <c r="AU400" i="28"/>
  <c r="BB400" i="28" s="1"/>
  <c r="AT400" i="28"/>
  <c r="BA400" i="28" s="1"/>
  <c r="AX399" i="28"/>
  <c r="BE399" i="28" s="1"/>
  <c r="AW399" i="28"/>
  <c r="BD399" i="28" s="1"/>
  <c r="AV399" i="28"/>
  <c r="BC399" i="28" s="1"/>
  <c r="AU399" i="28"/>
  <c r="BB399" i="28" s="1"/>
  <c r="AT399" i="28"/>
  <c r="BA399" i="28" s="1"/>
  <c r="AX398" i="28"/>
  <c r="BE398" i="28" s="1"/>
  <c r="AW398" i="28"/>
  <c r="BD398" i="28" s="1"/>
  <c r="AV398" i="28"/>
  <c r="BC398" i="28" s="1"/>
  <c r="AU398" i="28"/>
  <c r="BB398" i="28" s="1"/>
  <c r="AT398" i="28"/>
  <c r="BA398" i="28" s="1"/>
  <c r="AY397" i="28"/>
  <c r="BF397" i="28" s="1"/>
  <c r="AX397" i="28"/>
  <c r="BE397" i="28" s="1"/>
  <c r="AW397" i="28"/>
  <c r="BD397" i="28" s="1"/>
  <c r="AV397" i="28"/>
  <c r="BC397" i="28" s="1"/>
  <c r="AU397" i="28"/>
  <c r="BB397" i="28" s="1"/>
  <c r="AT397" i="28"/>
  <c r="BA397" i="28" s="1"/>
  <c r="AY396" i="28"/>
  <c r="BF396" i="28" s="1"/>
  <c r="AX396" i="28"/>
  <c r="BE396" i="28" s="1"/>
  <c r="AW396" i="28"/>
  <c r="BD396" i="28" s="1"/>
  <c r="AV396" i="28"/>
  <c r="BC396" i="28" s="1"/>
  <c r="AU396" i="28"/>
  <c r="BB396" i="28" s="1"/>
  <c r="AT396" i="28"/>
  <c r="BA396" i="28" s="1"/>
  <c r="AY395" i="28"/>
  <c r="BF395" i="28" s="1"/>
  <c r="AX395" i="28"/>
  <c r="BE395" i="28" s="1"/>
  <c r="AW395" i="28"/>
  <c r="BD395" i="28" s="1"/>
  <c r="AV395" i="28"/>
  <c r="BC395" i="28" s="1"/>
  <c r="AU395" i="28"/>
  <c r="BB395" i="28" s="1"/>
  <c r="AT395" i="28"/>
  <c r="BA395" i="28" s="1"/>
  <c r="AY394" i="28"/>
  <c r="BF394" i="28" s="1"/>
  <c r="AX394" i="28"/>
  <c r="BE394" i="28" s="1"/>
  <c r="AW394" i="28"/>
  <c r="BD394" i="28" s="1"/>
  <c r="AV394" i="28"/>
  <c r="BC394" i="28" s="1"/>
  <c r="AU394" i="28"/>
  <c r="BB394" i="28" s="1"/>
  <c r="AT394" i="28"/>
  <c r="BA394" i="28" s="1"/>
  <c r="AY393" i="28"/>
  <c r="BF393" i="28" s="1"/>
  <c r="AX393" i="28"/>
  <c r="BE393" i="28" s="1"/>
  <c r="AW393" i="28"/>
  <c r="BD393" i="28" s="1"/>
  <c r="AV393" i="28"/>
  <c r="BC393" i="28" s="1"/>
  <c r="AU393" i="28"/>
  <c r="BB393" i="28" s="1"/>
  <c r="AT393" i="28"/>
  <c r="BA393" i="28" s="1"/>
  <c r="AX392" i="28"/>
  <c r="BE392" i="28" s="1"/>
  <c r="AW392" i="28"/>
  <c r="BD392" i="28" s="1"/>
  <c r="AV392" i="28"/>
  <c r="BC392" i="28" s="1"/>
  <c r="AU392" i="28"/>
  <c r="BB392" i="28" s="1"/>
  <c r="AT392" i="28"/>
  <c r="BA392" i="28" s="1"/>
  <c r="AX391" i="28"/>
  <c r="BE391" i="28" s="1"/>
  <c r="AW391" i="28"/>
  <c r="BD391" i="28" s="1"/>
  <c r="AV391" i="28"/>
  <c r="BC391" i="28" s="1"/>
  <c r="AU391" i="28"/>
  <c r="BB391" i="28" s="1"/>
  <c r="AT391" i="28"/>
  <c r="BA391" i="28" s="1"/>
  <c r="AY390" i="28"/>
  <c r="BF390" i="28" s="1"/>
  <c r="AX390" i="28"/>
  <c r="BE390" i="28" s="1"/>
  <c r="AW390" i="28"/>
  <c r="BD390" i="28" s="1"/>
  <c r="AV390" i="28"/>
  <c r="BC390" i="28" s="1"/>
  <c r="AU390" i="28"/>
  <c r="BB390" i="28" s="1"/>
  <c r="AT390" i="28"/>
  <c r="BA390" i="28" s="1"/>
  <c r="AY389" i="28"/>
  <c r="BF389" i="28" s="1"/>
  <c r="AX389" i="28"/>
  <c r="BE389" i="28" s="1"/>
  <c r="AW389" i="28"/>
  <c r="BD389" i="28" s="1"/>
  <c r="AV389" i="28"/>
  <c r="BC389" i="28" s="1"/>
  <c r="AU389" i="28"/>
  <c r="BB389" i="28" s="1"/>
  <c r="AT389" i="28"/>
  <c r="BA389" i="28" s="1"/>
  <c r="AY388" i="28"/>
  <c r="BF388" i="28" s="1"/>
  <c r="AX388" i="28"/>
  <c r="BE388" i="28" s="1"/>
  <c r="AW388" i="28"/>
  <c r="BD388" i="28" s="1"/>
  <c r="AV388" i="28"/>
  <c r="BC388" i="28" s="1"/>
  <c r="AU388" i="28"/>
  <c r="BB388" i="28" s="1"/>
  <c r="AT388" i="28"/>
  <c r="BA388" i="28" s="1"/>
  <c r="AY387" i="28"/>
  <c r="BF387" i="28" s="1"/>
  <c r="AX387" i="28"/>
  <c r="BE387" i="28" s="1"/>
  <c r="AW387" i="28"/>
  <c r="BD387" i="28" s="1"/>
  <c r="AV387" i="28"/>
  <c r="BC387" i="28" s="1"/>
  <c r="AU387" i="28"/>
  <c r="BB387" i="28" s="1"/>
  <c r="AT387" i="28"/>
  <c r="BA387" i="28" s="1"/>
  <c r="AY386" i="28"/>
  <c r="BF386" i="28" s="1"/>
  <c r="AX386" i="28"/>
  <c r="BE386" i="28" s="1"/>
  <c r="AW386" i="28"/>
  <c r="BD386" i="28" s="1"/>
  <c r="AV386" i="28"/>
  <c r="BC386" i="28" s="1"/>
  <c r="AU386" i="28"/>
  <c r="BB386" i="28" s="1"/>
  <c r="AT386" i="28"/>
  <c r="BA386" i="28" s="1"/>
  <c r="AY385" i="28"/>
  <c r="BF385" i="28" s="1"/>
  <c r="AX385" i="28"/>
  <c r="BE385" i="28" s="1"/>
  <c r="AW385" i="28"/>
  <c r="BD385" i="28" s="1"/>
  <c r="AV385" i="28"/>
  <c r="BC385" i="28" s="1"/>
  <c r="AU385" i="28"/>
  <c r="BB385" i="28" s="1"/>
  <c r="AT385" i="28"/>
  <c r="BA385" i="28" s="1"/>
  <c r="AX384" i="28"/>
  <c r="BE384" i="28" s="1"/>
  <c r="AW384" i="28"/>
  <c r="BD384" i="28" s="1"/>
  <c r="AV384" i="28"/>
  <c r="BC384" i="28" s="1"/>
  <c r="AU384" i="28"/>
  <c r="BB384" i="28" s="1"/>
  <c r="AT384" i="28"/>
  <c r="BA384" i="28" s="1"/>
  <c r="AX383" i="28"/>
  <c r="BE383" i="28" s="1"/>
  <c r="AW383" i="28"/>
  <c r="BD383" i="28" s="1"/>
  <c r="AV383" i="28"/>
  <c r="BC383" i="28" s="1"/>
  <c r="AU383" i="28"/>
  <c r="BB383" i="28" s="1"/>
  <c r="AT383" i="28"/>
  <c r="BA383" i="28" s="1"/>
  <c r="AY382" i="28"/>
  <c r="BF382" i="28" s="1"/>
  <c r="AX382" i="28"/>
  <c r="BE382" i="28" s="1"/>
  <c r="AW382" i="28"/>
  <c r="BD382" i="28" s="1"/>
  <c r="AV382" i="28"/>
  <c r="BC382" i="28" s="1"/>
  <c r="AU382" i="28"/>
  <c r="BB382" i="28" s="1"/>
  <c r="AT382" i="28"/>
  <c r="BA382" i="28" s="1"/>
  <c r="AY381" i="28"/>
  <c r="BF381" i="28" s="1"/>
  <c r="AX381" i="28"/>
  <c r="BE381" i="28" s="1"/>
  <c r="AW381" i="28"/>
  <c r="BD381" i="28" s="1"/>
  <c r="AV381" i="28"/>
  <c r="BC381" i="28" s="1"/>
  <c r="AU381" i="28"/>
  <c r="BB381" i="28" s="1"/>
  <c r="AT381" i="28"/>
  <c r="BA381" i="28" s="1"/>
  <c r="AY380" i="28"/>
  <c r="BF380" i="28" s="1"/>
  <c r="AX380" i="28"/>
  <c r="BE380" i="28" s="1"/>
  <c r="AW380" i="28"/>
  <c r="BD380" i="28" s="1"/>
  <c r="AV380" i="28"/>
  <c r="BC380" i="28" s="1"/>
  <c r="AU380" i="28"/>
  <c r="BB380" i="28" s="1"/>
  <c r="AT380" i="28"/>
  <c r="BA380" i="28" s="1"/>
  <c r="AY379" i="28"/>
  <c r="BF379" i="28" s="1"/>
  <c r="AX379" i="28"/>
  <c r="BE379" i="28" s="1"/>
  <c r="AW379" i="28"/>
  <c r="BD379" i="28" s="1"/>
  <c r="AV379" i="28"/>
  <c r="BC379" i="28" s="1"/>
  <c r="AU379" i="28"/>
  <c r="BB379" i="28" s="1"/>
  <c r="AT379" i="28"/>
  <c r="BA379" i="28" s="1"/>
  <c r="AY378" i="28"/>
  <c r="BF378" i="28" s="1"/>
  <c r="AX378" i="28"/>
  <c r="BE378" i="28" s="1"/>
  <c r="AW378" i="28"/>
  <c r="BD378" i="28" s="1"/>
  <c r="AV378" i="28"/>
  <c r="BC378" i="28" s="1"/>
  <c r="AU378" i="28"/>
  <c r="BB378" i="28" s="1"/>
  <c r="AT378" i="28"/>
  <c r="BA378" i="28" s="1"/>
  <c r="AY377" i="28"/>
  <c r="BF377" i="28" s="1"/>
  <c r="AX377" i="28"/>
  <c r="BE377" i="28" s="1"/>
  <c r="AW377" i="28"/>
  <c r="BD377" i="28" s="1"/>
  <c r="AV377" i="28"/>
  <c r="BC377" i="28" s="1"/>
  <c r="AU377" i="28"/>
  <c r="BB377" i="28" s="1"/>
  <c r="AT377" i="28"/>
  <c r="BA377" i="28" s="1"/>
  <c r="AX376" i="28"/>
  <c r="BE376" i="28" s="1"/>
  <c r="AW376" i="28"/>
  <c r="BD376" i="28" s="1"/>
  <c r="AV376" i="28"/>
  <c r="BC376" i="28" s="1"/>
  <c r="AU376" i="28"/>
  <c r="BB376" i="28" s="1"/>
  <c r="AT376" i="28"/>
  <c r="BA376" i="28" s="1"/>
  <c r="AX375" i="28"/>
  <c r="BE375" i="28" s="1"/>
  <c r="AW375" i="28"/>
  <c r="BD375" i="28" s="1"/>
  <c r="AV375" i="28"/>
  <c r="BC375" i="28" s="1"/>
  <c r="AU375" i="28"/>
  <c r="BB375" i="28" s="1"/>
  <c r="AT375" i="28"/>
  <c r="BA375" i="28" s="1"/>
  <c r="AX374" i="28"/>
  <c r="BE374" i="28" s="1"/>
  <c r="AW374" i="28"/>
  <c r="BD374" i="28" s="1"/>
  <c r="AV374" i="28"/>
  <c r="BC374" i="28" s="1"/>
  <c r="AU374" i="28"/>
  <c r="BB374" i="28" s="1"/>
  <c r="AT374" i="28"/>
  <c r="BA374" i="28" s="1"/>
  <c r="AY373" i="28"/>
  <c r="BF373" i="28" s="1"/>
  <c r="AX373" i="28"/>
  <c r="BE373" i="28" s="1"/>
  <c r="AW373" i="28"/>
  <c r="BD373" i="28" s="1"/>
  <c r="AV373" i="28"/>
  <c r="BC373" i="28" s="1"/>
  <c r="AU373" i="28"/>
  <c r="BB373" i="28" s="1"/>
  <c r="AT373" i="28"/>
  <c r="BA373" i="28" s="1"/>
  <c r="AY372" i="28"/>
  <c r="BF372" i="28" s="1"/>
  <c r="AX372" i="28"/>
  <c r="BE372" i="28" s="1"/>
  <c r="AW372" i="28"/>
  <c r="BD372" i="28" s="1"/>
  <c r="AV372" i="28"/>
  <c r="BC372" i="28" s="1"/>
  <c r="AU372" i="28"/>
  <c r="BB372" i="28" s="1"/>
  <c r="AT372" i="28"/>
  <c r="BA372" i="28" s="1"/>
  <c r="AY371" i="28"/>
  <c r="BF371" i="28" s="1"/>
  <c r="AX371" i="28"/>
  <c r="BE371" i="28" s="1"/>
  <c r="AW371" i="28"/>
  <c r="BD371" i="28" s="1"/>
  <c r="AV371" i="28"/>
  <c r="BC371" i="28" s="1"/>
  <c r="AU371" i="28"/>
  <c r="BB371" i="28" s="1"/>
  <c r="AT371" i="28"/>
  <c r="BA371" i="28" s="1"/>
  <c r="AY370" i="28"/>
  <c r="BF370" i="28" s="1"/>
  <c r="AX370" i="28"/>
  <c r="BE370" i="28" s="1"/>
  <c r="AW370" i="28"/>
  <c r="BD370" i="28" s="1"/>
  <c r="AV370" i="28"/>
  <c r="BC370" i="28" s="1"/>
  <c r="AU370" i="28"/>
  <c r="BB370" i="28" s="1"/>
  <c r="AT370" i="28"/>
  <c r="BA370" i="28" s="1"/>
  <c r="AY369" i="28"/>
  <c r="BF369" i="28" s="1"/>
  <c r="AX369" i="28"/>
  <c r="BE369" i="28" s="1"/>
  <c r="AW369" i="28"/>
  <c r="BD369" i="28" s="1"/>
  <c r="AV369" i="28"/>
  <c r="BC369" i="28" s="1"/>
  <c r="AU369" i="28"/>
  <c r="BB369" i="28" s="1"/>
  <c r="AT369" i="28"/>
  <c r="BA369" i="28" s="1"/>
  <c r="AX368" i="28"/>
  <c r="BE368" i="28" s="1"/>
  <c r="AW368" i="28"/>
  <c r="BD368" i="28" s="1"/>
  <c r="AV368" i="28"/>
  <c r="BC368" i="28" s="1"/>
  <c r="AU368" i="28"/>
  <c r="BB368" i="28" s="1"/>
  <c r="AT368" i="28"/>
  <c r="BA368" i="28" s="1"/>
  <c r="AX367" i="28"/>
  <c r="BE367" i="28" s="1"/>
  <c r="AW367" i="28"/>
  <c r="BD367" i="28" s="1"/>
  <c r="AV367" i="28"/>
  <c r="BC367" i="28" s="1"/>
  <c r="AU367" i="28"/>
  <c r="BB367" i="28" s="1"/>
  <c r="AT367" i="28"/>
  <c r="BA367" i="28" s="1"/>
  <c r="AX366" i="28"/>
  <c r="BE366" i="28" s="1"/>
  <c r="AW366" i="28"/>
  <c r="BD366" i="28" s="1"/>
  <c r="AV366" i="28"/>
  <c r="BC366" i="28" s="1"/>
  <c r="AU366" i="28"/>
  <c r="BB366" i="28" s="1"/>
  <c r="AT366" i="28"/>
  <c r="BA366" i="28" s="1"/>
  <c r="AY365" i="28"/>
  <c r="BF365" i="28" s="1"/>
  <c r="AX365" i="28"/>
  <c r="BE365" i="28" s="1"/>
  <c r="AW365" i="28"/>
  <c r="BD365" i="28" s="1"/>
  <c r="AV365" i="28"/>
  <c r="BC365" i="28" s="1"/>
  <c r="AU365" i="28"/>
  <c r="BB365" i="28" s="1"/>
  <c r="AT365" i="28"/>
  <c r="BA365" i="28" s="1"/>
  <c r="AY364" i="28"/>
  <c r="BF364" i="28" s="1"/>
  <c r="AX364" i="28"/>
  <c r="BE364" i="28" s="1"/>
  <c r="AW364" i="28"/>
  <c r="BD364" i="28" s="1"/>
  <c r="AV364" i="28"/>
  <c r="BC364" i="28" s="1"/>
  <c r="AU364" i="28"/>
  <c r="BB364" i="28" s="1"/>
  <c r="AT364" i="28"/>
  <c r="BA364" i="28" s="1"/>
  <c r="AY363" i="28"/>
  <c r="BF363" i="28" s="1"/>
  <c r="AX363" i="28"/>
  <c r="BE363" i="28" s="1"/>
  <c r="AW363" i="28"/>
  <c r="BD363" i="28" s="1"/>
  <c r="AV363" i="28"/>
  <c r="BC363" i="28" s="1"/>
  <c r="AU363" i="28"/>
  <c r="BB363" i="28" s="1"/>
  <c r="AT363" i="28"/>
  <c r="BA363" i="28" s="1"/>
  <c r="AY362" i="28"/>
  <c r="BF362" i="28" s="1"/>
  <c r="AX362" i="28"/>
  <c r="BE362" i="28" s="1"/>
  <c r="AW362" i="28"/>
  <c r="BD362" i="28" s="1"/>
  <c r="AV362" i="28"/>
  <c r="BC362" i="28" s="1"/>
  <c r="AU362" i="28"/>
  <c r="BB362" i="28" s="1"/>
  <c r="AT362" i="28"/>
  <c r="BA362" i="28" s="1"/>
  <c r="AY361" i="28"/>
  <c r="BF361" i="28" s="1"/>
  <c r="AX361" i="28"/>
  <c r="BE361" i="28" s="1"/>
  <c r="AW361" i="28"/>
  <c r="BD361" i="28" s="1"/>
  <c r="AV361" i="28"/>
  <c r="BC361" i="28" s="1"/>
  <c r="AU361" i="28"/>
  <c r="BB361" i="28" s="1"/>
  <c r="AT361" i="28"/>
  <c r="BA361" i="28" s="1"/>
  <c r="AX360" i="28"/>
  <c r="BE360" i="28" s="1"/>
  <c r="AW360" i="28"/>
  <c r="BD360" i="28" s="1"/>
  <c r="AV360" i="28"/>
  <c r="BC360" i="28" s="1"/>
  <c r="AU360" i="28"/>
  <c r="BB360" i="28" s="1"/>
  <c r="AT360" i="28"/>
  <c r="BA360" i="28" s="1"/>
  <c r="AX359" i="28"/>
  <c r="BE359" i="28" s="1"/>
  <c r="AW359" i="28"/>
  <c r="BD359" i="28" s="1"/>
  <c r="AV359" i="28"/>
  <c r="BC359" i="28" s="1"/>
  <c r="AU359" i="28"/>
  <c r="BB359" i="28" s="1"/>
  <c r="AT359" i="28"/>
  <c r="BA359" i="28" s="1"/>
  <c r="AX358" i="28"/>
  <c r="BE358" i="28" s="1"/>
  <c r="AW358" i="28"/>
  <c r="BD358" i="28" s="1"/>
  <c r="AV358" i="28"/>
  <c r="BC358" i="28" s="1"/>
  <c r="AU358" i="28"/>
  <c r="BB358" i="28" s="1"/>
  <c r="AT358" i="28"/>
  <c r="BA358" i="28" s="1"/>
  <c r="AY357" i="28"/>
  <c r="BF357" i="28" s="1"/>
  <c r="AX357" i="28"/>
  <c r="BE357" i="28" s="1"/>
  <c r="AW357" i="28"/>
  <c r="BD357" i="28" s="1"/>
  <c r="AV357" i="28"/>
  <c r="BC357" i="28" s="1"/>
  <c r="AU357" i="28"/>
  <c r="BB357" i="28" s="1"/>
  <c r="AT357" i="28"/>
  <c r="BA357" i="28" s="1"/>
  <c r="AY356" i="28"/>
  <c r="BF356" i="28" s="1"/>
  <c r="AX356" i="28"/>
  <c r="BE356" i="28" s="1"/>
  <c r="AW356" i="28"/>
  <c r="BD356" i="28" s="1"/>
  <c r="AV356" i="28"/>
  <c r="BC356" i="28" s="1"/>
  <c r="AU356" i="28"/>
  <c r="BB356" i="28" s="1"/>
  <c r="AT356" i="28"/>
  <c r="BA356" i="28" s="1"/>
  <c r="AY355" i="28"/>
  <c r="BF355" i="28" s="1"/>
  <c r="AX355" i="28"/>
  <c r="BE355" i="28" s="1"/>
  <c r="AW355" i="28"/>
  <c r="BD355" i="28" s="1"/>
  <c r="AV355" i="28"/>
  <c r="BC355" i="28" s="1"/>
  <c r="AU355" i="28"/>
  <c r="BB355" i="28" s="1"/>
  <c r="AT355" i="28"/>
  <c r="BA355" i="28" s="1"/>
  <c r="AY354" i="28"/>
  <c r="BF354" i="28" s="1"/>
  <c r="AX354" i="28"/>
  <c r="BE354" i="28" s="1"/>
  <c r="AW354" i="28"/>
  <c r="BD354" i="28" s="1"/>
  <c r="AV354" i="28"/>
  <c r="BC354" i="28" s="1"/>
  <c r="AU354" i="28"/>
  <c r="BB354" i="28" s="1"/>
  <c r="AT354" i="28"/>
  <c r="BA354" i="28" s="1"/>
  <c r="AY353" i="28"/>
  <c r="BF353" i="28" s="1"/>
  <c r="AX353" i="28"/>
  <c r="BE353" i="28" s="1"/>
  <c r="AW353" i="28"/>
  <c r="BD353" i="28" s="1"/>
  <c r="AV353" i="28"/>
  <c r="BC353" i="28" s="1"/>
  <c r="AU353" i="28"/>
  <c r="BB353" i="28" s="1"/>
  <c r="AT353" i="28"/>
  <c r="BA353" i="28" s="1"/>
  <c r="AX352" i="28"/>
  <c r="BE352" i="28" s="1"/>
  <c r="AW352" i="28"/>
  <c r="BD352" i="28" s="1"/>
  <c r="AV352" i="28"/>
  <c r="BC352" i="28" s="1"/>
  <c r="AU352" i="28"/>
  <c r="BB352" i="28" s="1"/>
  <c r="AT352" i="28"/>
  <c r="BA352" i="28" s="1"/>
  <c r="AY351" i="28"/>
  <c r="BF351" i="28" s="1"/>
  <c r="AX351" i="28"/>
  <c r="BE351" i="28" s="1"/>
  <c r="AW351" i="28"/>
  <c r="BD351" i="28" s="1"/>
  <c r="AV351" i="28"/>
  <c r="BC351" i="28" s="1"/>
  <c r="AU351" i="28"/>
  <c r="BB351" i="28" s="1"/>
  <c r="AT351" i="28"/>
  <c r="BA351" i="28" s="1"/>
  <c r="BF350" i="28"/>
  <c r="AX350" i="28"/>
  <c r="BE350" i="28" s="1"/>
  <c r="AW350" i="28"/>
  <c r="BD350" i="28" s="1"/>
  <c r="AV350" i="28"/>
  <c r="BC350" i="28" s="1"/>
  <c r="AU350" i="28"/>
  <c r="BB350" i="28" s="1"/>
  <c r="AT350" i="28"/>
  <c r="BA350" i="28" s="1"/>
  <c r="AY349" i="28"/>
  <c r="BF349" i="28" s="1"/>
  <c r="AX349" i="28"/>
  <c r="BE349" i="28" s="1"/>
  <c r="AW349" i="28"/>
  <c r="BD349" i="28" s="1"/>
  <c r="AV349" i="28"/>
  <c r="BC349" i="28" s="1"/>
  <c r="AU349" i="28"/>
  <c r="BB349" i="28" s="1"/>
  <c r="AT349" i="28"/>
  <c r="BA349" i="28" s="1"/>
  <c r="AY348" i="28"/>
  <c r="BF348" i="28" s="1"/>
  <c r="AX348" i="28"/>
  <c r="BE348" i="28" s="1"/>
  <c r="AW348" i="28"/>
  <c r="BD348" i="28" s="1"/>
  <c r="AV348" i="28"/>
  <c r="BC348" i="28" s="1"/>
  <c r="AU348" i="28"/>
  <c r="BB348" i="28" s="1"/>
  <c r="AT348" i="28"/>
  <c r="BA348" i="28" s="1"/>
  <c r="AY347" i="28"/>
  <c r="BF347" i="28" s="1"/>
  <c r="AX347" i="28"/>
  <c r="BE347" i="28" s="1"/>
  <c r="AW347" i="28"/>
  <c r="BD347" i="28" s="1"/>
  <c r="AV347" i="28"/>
  <c r="BC347" i="28" s="1"/>
  <c r="AU347" i="28"/>
  <c r="BB347" i="28" s="1"/>
  <c r="AT347" i="28"/>
  <c r="BA347" i="28" s="1"/>
  <c r="AY346" i="28"/>
  <c r="BF346" i="28" s="1"/>
  <c r="AX346" i="28"/>
  <c r="BE346" i="28" s="1"/>
  <c r="AW346" i="28"/>
  <c r="BD346" i="28" s="1"/>
  <c r="AV346" i="28"/>
  <c r="BC346" i="28" s="1"/>
  <c r="AU346" i="28"/>
  <c r="BB346" i="28" s="1"/>
  <c r="AT346" i="28"/>
  <c r="BA346" i="28" s="1"/>
  <c r="AY345" i="28"/>
  <c r="BF345" i="28" s="1"/>
  <c r="AX345" i="28"/>
  <c r="BE345" i="28" s="1"/>
  <c r="AW345" i="28"/>
  <c r="BD345" i="28" s="1"/>
  <c r="AV345" i="28"/>
  <c r="BC345" i="28" s="1"/>
  <c r="AU345" i="28"/>
  <c r="BB345" i="28" s="1"/>
  <c r="AT345" i="28"/>
  <c r="BA345" i="28" s="1"/>
  <c r="AX344" i="28"/>
  <c r="BE344" i="28" s="1"/>
  <c r="AW344" i="28"/>
  <c r="BD344" i="28" s="1"/>
  <c r="AV344" i="28"/>
  <c r="BC344" i="28" s="1"/>
  <c r="AU344" i="28"/>
  <c r="BB344" i="28" s="1"/>
  <c r="AT344" i="28"/>
  <c r="BA344" i="28" s="1"/>
  <c r="AX343" i="28"/>
  <c r="BE343" i="28" s="1"/>
  <c r="AW343" i="28"/>
  <c r="BD343" i="28" s="1"/>
  <c r="AV343" i="28"/>
  <c r="BC343" i="28" s="1"/>
  <c r="AU343" i="28"/>
  <c r="BB343" i="28" s="1"/>
  <c r="AT343" i="28"/>
  <c r="BA343" i="28" s="1"/>
  <c r="AY342" i="28"/>
  <c r="BF342" i="28" s="1"/>
  <c r="AX342" i="28"/>
  <c r="BE342" i="28" s="1"/>
  <c r="AW342" i="28"/>
  <c r="BD342" i="28" s="1"/>
  <c r="AV342" i="28"/>
  <c r="BC342" i="28" s="1"/>
  <c r="AU342" i="28"/>
  <c r="BB342" i="28" s="1"/>
  <c r="AT342" i="28"/>
  <c r="BA342" i="28" s="1"/>
  <c r="AY341" i="28"/>
  <c r="BF341" i="28" s="1"/>
  <c r="AX341" i="28"/>
  <c r="BE341" i="28" s="1"/>
  <c r="AW341" i="28"/>
  <c r="BD341" i="28" s="1"/>
  <c r="AV341" i="28"/>
  <c r="BC341" i="28" s="1"/>
  <c r="AU341" i="28"/>
  <c r="BB341" i="28" s="1"/>
  <c r="AT341" i="28"/>
  <c r="BA341" i="28" s="1"/>
  <c r="AY340" i="28"/>
  <c r="BF340" i="28" s="1"/>
  <c r="AX340" i="28"/>
  <c r="BE340" i="28" s="1"/>
  <c r="AW340" i="28"/>
  <c r="BD340" i="28" s="1"/>
  <c r="AV340" i="28"/>
  <c r="BC340" i="28" s="1"/>
  <c r="AU340" i="28"/>
  <c r="BB340" i="28" s="1"/>
  <c r="AT340" i="28"/>
  <c r="BA340" i="28" s="1"/>
  <c r="AY339" i="28"/>
  <c r="BF339" i="28" s="1"/>
  <c r="AX339" i="28"/>
  <c r="BE339" i="28" s="1"/>
  <c r="AW339" i="28"/>
  <c r="BD339" i="28" s="1"/>
  <c r="AV339" i="28"/>
  <c r="BC339" i="28" s="1"/>
  <c r="AU339" i="28"/>
  <c r="BB339" i="28" s="1"/>
  <c r="AT339" i="28"/>
  <c r="BA339" i="28" s="1"/>
  <c r="AY338" i="28"/>
  <c r="BF338" i="28" s="1"/>
  <c r="AX338" i="28"/>
  <c r="BE338" i="28" s="1"/>
  <c r="AW338" i="28"/>
  <c r="BD338" i="28" s="1"/>
  <c r="AV338" i="28"/>
  <c r="BC338" i="28" s="1"/>
  <c r="AU338" i="28"/>
  <c r="BB338" i="28" s="1"/>
  <c r="AT338" i="28"/>
  <c r="BA338" i="28" s="1"/>
  <c r="AY337" i="28"/>
  <c r="BF337" i="28" s="1"/>
  <c r="AX337" i="28"/>
  <c r="BE337" i="28" s="1"/>
  <c r="AW337" i="28"/>
  <c r="BD337" i="28" s="1"/>
  <c r="AV337" i="28"/>
  <c r="BC337" i="28" s="1"/>
  <c r="AU337" i="28"/>
  <c r="BB337" i="28" s="1"/>
  <c r="AT337" i="28"/>
  <c r="BA337" i="28" s="1"/>
  <c r="AX336" i="28"/>
  <c r="BE336" i="28" s="1"/>
  <c r="AW336" i="28"/>
  <c r="BD336" i="28" s="1"/>
  <c r="AV336" i="28"/>
  <c r="BC336" i="28" s="1"/>
  <c r="AU336" i="28"/>
  <c r="BB336" i="28" s="1"/>
  <c r="AT336" i="28"/>
  <c r="BA336" i="28" s="1"/>
  <c r="AX335" i="28"/>
  <c r="BE335" i="28" s="1"/>
  <c r="AW335" i="28"/>
  <c r="BD335" i="28" s="1"/>
  <c r="AV335" i="28"/>
  <c r="BC335" i="28" s="1"/>
  <c r="AU335" i="28"/>
  <c r="BB335" i="28" s="1"/>
  <c r="AT335" i="28"/>
  <c r="BA335" i="28" s="1"/>
  <c r="AY334" i="28"/>
  <c r="BF334" i="28" s="1"/>
  <c r="AX334" i="28"/>
  <c r="BE334" i="28" s="1"/>
  <c r="AW334" i="28"/>
  <c r="BD334" i="28" s="1"/>
  <c r="AV334" i="28"/>
  <c r="BC334" i="28" s="1"/>
  <c r="AU334" i="28"/>
  <c r="BB334" i="28" s="1"/>
  <c r="AT334" i="28"/>
  <c r="BA334" i="28" s="1"/>
  <c r="AY333" i="28"/>
  <c r="BF333" i="28" s="1"/>
  <c r="AX333" i="28"/>
  <c r="BE333" i="28" s="1"/>
  <c r="AW333" i="28"/>
  <c r="BD333" i="28" s="1"/>
  <c r="AV333" i="28"/>
  <c r="BC333" i="28" s="1"/>
  <c r="AU333" i="28"/>
  <c r="BB333" i="28" s="1"/>
  <c r="AT333" i="28"/>
  <c r="BA333" i="28" s="1"/>
  <c r="AY332" i="28"/>
  <c r="BF332" i="28" s="1"/>
  <c r="AX332" i="28"/>
  <c r="BE332" i="28" s="1"/>
  <c r="AW332" i="28"/>
  <c r="BD332" i="28" s="1"/>
  <c r="AV332" i="28"/>
  <c r="BC332" i="28" s="1"/>
  <c r="AU332" i="28"/>
  <c r="BB332" i="28" s="1"/>
  <c r="AT332" i="28"/>
  <c r="BA332" i="28" s="1"/>
  <c r="AY331" i="28"/>
  <c r="BF331" i="28" s="1"/>
  <c r="AX331" i="28"/>
  <c r="BE331" i="28" s="1"/>
  <c r="AW331" i="28"/>
  <c r="BD331" i="28" s="1"/>
  <c r="AV331" i="28"/>
  <c r="BC331" i="28" s="1"/>
  <c r="AU331" i="28"/>
  <c r="BB331" i="28" s="1"/>
  <c r="AT331" i="28"/>
  <c r="BA331" i="28" s="1"/>
  <c r="AY330" i="28"/>
  <c r="BF330" i="28" s="1"/>
  <c r="AX330" i="28"/>
  <c r="BE330" i="28" s="1"/>
  <c r="AW330" i="28"/>
  <c r="BD330" i="28" s="1"/>
  <c r="AV330" i="28"/>
  <c r="BC330" i="28" s="1"/>
  <c r="AU330" i="28"/>
  <c r="BB330" i="28" s="1"/>
  <c r="AT330" i="28"/>
  <c r="BA330" i="28" s="1"/>
  <c r="AY329" i="28"/>
  <c r="BF329" i="28" s="1"/>
  <c r="AX329" i="28"/>
  <c r="BE329" i="28" s="1"/>
  <c r="AW329" i="28"/>
  <c r="BD329" i="28" s="1"/>
  <c r="AV329" i="28"/>
  <c r="BC329" i="28" s="1"/>
  <c r="AU329" i="28"/>
  <c r="BB329" i="28" s="1"/>
  <c r="AT329" i="28"/>
  <c r="BA329" i="28" s="1"/>
  <c r="AX328" i="28"/>
  <c r="BE328" i="28" s="1"/>
  <c r="AW328" i="28"/>
  <c r="BD328" i="28" s="1"/>
  <c r="AV328" i="28"/>
  <c r="BC328" i="28" s="1"/>
  <c r="AU328" i="28"/>
  <c r="BB328" i="28" s="1"/>
  <c r="AT328" i="28"/>
  <c r="BA328" i="28" s="1"/>
  <c r="AX327" i="28"/>
  <c r="BE327" i="28" s="1"/>
  <c r="AW327" i="28"/>
  <c r="BD327" i="28" s="1"/>
  <c r="AV327" i="28"/>
  <c r="BC327" i="28" s="1"/>
  <c r="AU327" i="28"/>
  <c r="BB327" i="28" s="1"/>
  <c r="AT327" i="28"/>
  <c r="BA327" i="28" s="1"/>
  <c r="AY326" i="28"/>
  <c r="BF326" i="28" s="1"/>
  <c r="AX326" i="28"/>
  <c r="BE326" i="28" s="1"/>
  <c r="AW326" i="28"/>
  <c r="BD326" i="28" s="1"/>
  <c r="AV326" i="28"/>
  <c r="BC326" i="28" s="1"/>
  <c r="AU326" i="28"/>
  <c r="BB326" i="28" s="1"/>
  <c r="AT326" i="28"/>
  <c r="BA326" i="28" s="1"/>
  <c r="AY325" i="28"/>
  <c r="BF325" i="28" s="1"/>
  <c r="AX325" i="28"/>
  <c r="BE325" i="28" s="1"/>
  <c r="AW325" i="28"/>
  <c r="BD325" i="28" s="1"/>
  <c r="AV325" i="28"/>
  <c r="BC325" i="28" s="1"/>
  <c r="AU325" i="28"/>
  <c r="BB325" i="28" s="1"/>
  <c r="AT325" i="28"/>
  <c r="BA325" i="28" s="1"/>
  <c r="AY324" i="28"/>
  <c r="BF324" i="28" s="1"/>
  <c r="AX324" i="28"/>
  <c r="BE324" i="28" s="1"/>
  <c r="AW324" i="28"/>
  <c r="BD324" i="28" s="1"/>
  <c r="AV324" i="28"/>
  <c r="BC324" i="28" s="1"/>
  <c r="AU324" i="28"/>
  <c r="BB324" i="28" s="1"/>
  <c r="AT324" i="28"/>
  <c r="BA324" i="28" s="1"/>
  <c r="AY323" i="28"/>
  <c r="BF323" i="28" s="1"/>
  <c r="AX323" i="28"/>
  <c r="BE323" i="28" s="1"/>
  <c r="AW323" i="28"/>
  <c r="BD323" i="28" s="1"/>
  <c r="AV323" i="28"/>
  <c r="BC323" i="28" s="1"/>
  <c r="AU323" i="28"/>
  <c r="BB323" i="28" s="1"/>
  <c r="AT323" i="28"/>
  <c r="BA323" i="28" s="1"/>
  <c r="AY322" i="28"/>
  <c r="BF322" i="28" s="1"/>
  <c r="AX322" i="28"/>
  <c r="BE322" i="28" s="1"/>
  <c r="AW322" i="28"/>
  <c r="BD322" i="28" s="1"/>
  <c r="AV322" i="28"/>
  <c r="BC322" i="28" s="1"/>
  <c r="AU322" i="28"/>
  <c r="BB322" i="28" s="1"/>
  <c r="AT322" i="28"/>
  <c r="BA322" i="28" s="1"/>
  <c r="AY321" i="28"/>
  <c r="BF321" i="28" s="1"/>
  <c r="AX321" i="28"/>
  <c r="BE321" i="28" s="1"/>
  <c r="AW321" i="28"/>
  <c r="BD321" i="28" s="1"/>
  <c r="AV321" i="28"/>
  <c r="BC321" i="28" s="1"/>
  <c r="AU321" i="28"/>
  <c r="BB321" i="28" s="1"/>
  <c r="AT321" i="28"/>
  <c r="BA321" i="28" s="1"/>
  <c r="AX320" i="28"/>
  <c r="BE320" i="28" s="1"/>
  <c r="AW320" i="28"/>
  <c r="BD320" i="28" s="1"/>
  <c r="AV320" i="28"/>
  <c r="BC320" i="28" s="1"/>
  <c r="AU320" i="28"/>
  <c r="BB320" i="28" s="1"/>
  <c r="AT320" i="28"/>
  <c r="BA320" i="28" s="1"/>
  <c r="AX319" i="28"/>
  <c r="BE319" i="28" s="1"/>
  <c r="AW319" i="28"/>
  <c r="BD319" i="28" s="1"/>
  <c r="AV319" i="28"/>
  <c r="BC319" i="28" s="1"/>
  <c r="AU319" i="28"/>
  <c r="BB319" i="28" s="1"/>
  <c r="AT319" i="28"/>
  <c r="BA319" i="28" s="1"/>
  <c r="AY318" i="28"/>
  <c r="BF318" i="28" s="1"/>
  <c r="AX318" i="28"/>
  <c r="BE318" i="28" s="1"/>
  <c r="AW318" i="28"/>
  <c r="BD318" i="28" s="1"/>
  <c r="AV318" i="28"/>
  <c r="BC318" i="28" s="1"/>
  <c r="AU318" i="28"/>
  <c r="BB318" i="28" s="1"/>
  <c r="AT318" i="28"/>
  <c r="BA318" i="28" s="1"/>
  <c r="AY317" i="28"/>
  <c r="BF317" i="28" s="1"/>
  <c r="AX317" i="28"/>
  <c r="BE317" i="28" s="1"/>
  <c r="AW317" i="28"/>
  <c r="BD317" i="28" s="1"/>
  <c r="AV317" i="28"/>
  <c r="BC317" i="28" s="1"/>
  <c r="AU317" i="28"/>
  <c r="BB317" i="28" s="1"/>
  <c r="AT317" i="28"/>
  <c r="BA317" i="28" s="1"/>
  <c r="AY316" i="28"/>
  <c r="BF316" i="28" s="1"/>
  <c r="AX316" i="28"/>
  <c r="BE316" i="28" s="1"/>
  <c r="AW316" i="28"/>
  <c r="BD316" i="28" s="1"/>
  <c r="AV316" i="28"/>
  <c r="BC316" i="28" s="1"/>
  <c r="AU316" i="28"/>
  <c r="BB316" i="28" s="1"/>
  <c r="AT316" i="28"/>
  <c r="BA316" i="28" s="1"/>
  <c r="AY315" i="28"/>
  <c r="BF315" i="28" s="1"/>
  <c r="AX315" i="28"/>
  <c r="BE315" i="28" s="1"/>
  <c r="AW315" i="28"/>
  <c r="BD315" i="28" s="1"/>
  <c r="AV315" i="28"/>
  <c r="BC315" i="28" s="1"/>
  <c r="AU315" i="28"/>
  <c r="BB315" i="28" s="1"/>
  <c r="AT315" i="28"/>
  <c r="BA315" i="28" s="1"/>
  <c r="AY314" i="28"/>
  <c r="BF314" i="28" s="1"/>
  <c r="AX314" i="28"/>
  <c r="BE314" i="28" s="1"/>
  <c r="AW314" i="28"/>
  <c r="BD314" i="28" s="1"/>
  <c r="AV314" i="28"/>
  <c r="BC314" i="28" s="1"/>
  <c r="AU314" i="28"/>
  <c r="BB314" i="28" s="1"/>
  <c r="AT314" i="28"/>
  <c r="BA314" i="28" s="1"/>
  <c r="AY313" i="28"/>
  <c r="BF313" i="28" s="1"/>
  <c r="AX313" i="28"/>
  <c r="BE313" i="28" s="1"/>
  <c r="AW313" i="28"/>
  <c r="BD313" i="28" s="1"/>
  <c r="AV313" i="28"/>
  <c r="BC313" i="28" s="1"/>
  <c r="AU313" i="28"/>
  <c r="BB313" i="28" s="1"/>
  <c r="AT313" i="28"/>
  <c r="BA313" i="28" s="1"/>
  <c r="AX312" i="28"/>
  <c r="BE312" i="28" s="1"/>
  <c r="AW312" i="28"/>
  <c r="BD312" i="28" s="1"/>
  <c r="AV312" i="28"/>
  <c r="BC312" i="28" s="1"/>
  <c r="AU312" i="28"/>
  <c r="BB312" i="28" s="1"/>
  <c r="AT312" i="28"/>
  <c r="BA312" i="28" s="1"/>
  <c r="AX311" i="28"/>
  <c r="BE311" i="28" s="1"/>
  <c r="AW311" i="28"/>
  <c r="BD311" i="28" s="1"/>
  <c r="AV311" i="28"/>
  <c r="BC311" i="28" s="1"/>
  <c r="AU311" i="28"/>
  <c r="BB311" i="28" s="1"/>
  <c r="AT311" i="28"/>
  <c r="BA311" i="28" s="1"/>
  <c r="AY310" i="28"/>
  <c r="BF310" i="28" s="1"/>
  <c r="AX310" i="28"/>
  <c r="BE310" i="28" s="1"/>
  <c r="AW310" i="28"/>
  <c r="BD310" i="28" s="1"/>
  <c r="AV310" i="28"/>
  <c r="BC310" i="28" s="1"/>
  <c r="AU310" i="28"/>
  <c r="BB310" i="28" s="1"/>
  <c r="AT310" i="28"/>
  <c r="BA310" i="28" s="1"/>
  <c r="AY309" i="28"/>
  <c r="BF309" i="28" s="1"/>
  <c r="AX309" i="28"/>
  <c r="BE309" i="28" s="1"/>
  <c r="AW309" i="28"/>
  <c r="BD309" i="28" s="1"/>
  <c r="AV309" i="28"/>
  <c r="BC309" i="28" s="1"/>
  <c r="AU309" i="28"/>
  <c r="BB309" i="28" s="1"/>
  <c r="AT309" i="28"/>
  <c r="BA309" i="28" s="1"/>
  <c r="AY308" i="28"/>
  <c r="BF308" i="28" s="1"/>
  <c r="AX308" i="28"/>
  <c r="BE308" i="28" s="1"/>
  <c r="AW308" i="28"/>
  <c r="BD308" i="28" s="1"/>
  <c r="AV308" i="28"/>
  <c r="BC308" i="28" s="1"/>
  <c r="AU308" i="28"/>
  <c r="BB308" i="28" s="1"/>
  <c r="AT308" i="28"/>
  <c r="BA308" i="28" s="1"/>
  <c r="AY307" i="28"/>
  <c r="BF307" i="28" s="1"/>
  <c r="AX307" i="28"/>
  <c r="BE307" i="28" s="1"/>
  <c r="AW307" i="28"/>
  <c r="BD307" i="28" s="1"/>
  <c r="AV307" i="28"/>
  <c r="BC307" i="28" s="1"/>
  <c r="AU307" i="28"/>
  <c r="BB307" i="28" s="1"/>
  <c r="AT307" i="28"/>
  <c r="BA307" i="28" s="1"/>
  <c r="AY306" i="28"/>
  <c r="BF306" i="28" s="1"/>
  <c r="AX306" i="28"/>
  <c r="BE306" i="28" s="1"/>
  <c r="AW306" i="28"/>
  <c r="BD306" i="28" s="1"/>
  <c r="AV306" i="28"/>
  <c r="BC306" i="28" s="1"/>
  <c r="AU306" i="28"/>
  <c r="BB306" i="28" s="1"/>
  <c r="AT306" i="28"/>
  <c r="BA306" i="28" s="1"/>
  <c r="AY305" i="28"/>
  <c r="BF305" i="28" s="1"/>
  <c r="AX305" i="28"/>
  <c r="BE305" i="28" s="1"/>
  <c r="AW305" i="28"/>
  <c r="BD305" i="28" s="1"/>
  <c r="AV305" i="28"/>
  <c r="BC305" i="28" s="1"/>
  <c r="AU305" i="28"/>
  <c r="BB305" i="28" s="1"/>
  <c r="AT305" i="28"/>
  <c r="BA305" i="28" s="1"/>
  <c r="AX304" i="28"/>
  <c r="BE304" i="28" s="1"/>
  <c r="AW304" i="28"/>
  <c r="BD304" i="28" s="1"/>
  <c r="AV304" i="28"/>
  <c r="BC304" i="28" s="1"/>
  <c r="AU304" i="28"/>
  <c r="BB304" i="28" s="1"/>
  <c r="AT304" i="28"/>
  <c r="BA304" i="28" s="1"/>
  <c r="AY303" i="28"/>
  <c r="BF303" i="28" s="1"/>
  <c r="AX303" i="28"/>
  <c r="BE303" i="28" s="1"/>
  <c r="AW303" i="28"/>
  <c r="BD303" i="28" s="1"/>
  <c r="AV303" i="28"/>
  <c r="BC303" i="28" s="1"/>
  <c r="AU303" i="28"/>
  <c r="BB303" i="28" s="1"/>
  <c r="AT303" i="28"/>
  <c r="BA303" i="28" s="1"/>
  <c r="AY302" i="28"/>
  <c r="BF302" i="28" s="1"/>
  <c r="AX302" i="28"/>
  <c r="BE302" i="28" s="1"/>
  <c r="AW302" i="28"/>
  <c r="BD302" i="28" s="1"/>
  <c r="AV302" i="28"/>
  <c r="BC302" i="28" s="1"/>
  <c r="AU302" i="28"/>
  <c r="BB302" i="28" s="1"/>
  <c r="AT302" i="28"/>
  <c r="BA302" i="28" s="1"/>
  <c r="AY301" i="28"/>
  <c r="BF301" i="28" s="1"/>
  <c r="AX301" i="28"/>
  <c r="BE301" i="28" s="1"/>
  <c r="AW301" i="28"/>
  <c r="BD301" i="28" s="1"/>
  <c r="AV301" i="28"/>
  <c r="BC301" i="28" s="1"/>
  <c r="AU301" i="28"/>
  <c r="BB301" i="28" s="1"/>
  <c r="AT301" i="28"/>
  <c r="BA301" i="28" s="1"/>
  <c r="AY300" i="28"/>
  <c r="BF300" i="28" s="1"/>
  <c r="AX300" i="28"/>
  <c r="BE300" i="28" s="1"/>
  <c r="AW300" i="28"/>
  <c r="BD300" i="28" s="1"/>
  <c r="AV300" i="28"/>
  <c r="BC300" i="28" s="1"/>
  <c r="AU300" i="28"/>
  <c r="BB300" i="28" s="1"/>
  <c r="AT300" i="28"/>
  <c r="BA300" i="28" s="1"/>
  <c r="AY299" i="28"/>
  <c r="BF299" i="28" s="1"/>
  <c r="AX299" i="28"/>
  <c r="BE299" i="28" s="1"/>
  <c r="AW299" i="28"/>
  <c r="BD299" i="28" s="1"/>
  <c r="AV299" i="28"/>
  <c r="BC299" i="28" s="1"/>
  <c r="AU299" i="28"/>
  <c r="BB299" i="28" s="1"/>
  <c r="AT299" i="28"/>
  <c r="BA299" i="28" s="1"/>
  <c r="AY298" i="28"/>
  <c r="BF298" i="28" s="1"/>
  <c r="AX298" i="28"/>
  <c r="BE298" i="28" s="1"/>
  <c r="AW298" i="28"/>
  <c r="BD298" i="28" s="1"/>
  <c r="AV298" i="28"/>
  <c r="BC298" i="28" s="1"/>
  <c r="AU298" i="28"/>
  <c r="BB298" i="28" s="1"/>
  <c r="AT298" i="28"/>
  <c r="BA298" i="28" s="1"/>
  <c r="AY297" i="28"/>
  <c r="BF297" i="28" s="1"/>
  <c r="AX297" i="28"/>
  <c r="BE297" i="28" s="1"/>
  <c r="AW297" i="28"/>
  <c r="BD297" i="28" s="1"/>
  <c r="AV297" i="28"/>
  <c r="BC297" i="28" s="1"/>
  <c r="AU297" i="28"/>
  <c r="BB297" i="28" s="1"/>
  <c r="AT297" i="28"/>
  <c r="BA297" i="28" s="1"/>
  <c r="AX296" i="28"/>
  <c r="BE296" i="28" s="1"/>
  <c r="AW296" i="28"/>
  <c r="BD296" i="28" s="1"/>
  <c r="AV296" i="28"/>
  <c r="BC296" i="28" s="1"/>
  <c r="AU296" i="28"/>
  <c r="BB296" i="28" s="1"/>
  <c r="AT296" i="28"/>
  <c r="BA296" i="28" s="1"/>
  <c r="AY295" i="28"/>
  <c r="BF295" i="28" s="1"/>
  <c r="AX295" i="28"/>
  <c r="BE295" i="28" s="1"/>
  <c r="AW295" i="28"/>
  <c r="BD295" i="28" s="1"/>
  <c r="AV295" i="28"/>
  <c r="BC295" i="28" s="1"/>
  <c r="AU295" i="28"/>
  <c r="BB295" i="28" s="1"/>
  <c r="AT295" i="28"/>
  <c r="BA295" i="28" s="1"/>
  <c r="AY294" i="28"/>
  <c r="BF294" i="28" s="1"/>
  <c r="AX294" i="28"/>
  <c r="BE294" i="28" s="1"/>
  <c r="AW294" i="28"/>
  <c r="BD294" i="28" s="1"/>
  <c r="AV294" i="28"/>
  <c r="BC294" i="28" s="1"/>
  <c r="AU294" i="28"/>
  <c r="BB294" i="28" s="1"/>
  <c r="AT294" i="28"/>
  <c r="BA294" i="28" s="1"/>
  <c r="AY293" i="28"/>
  <c r="BF293" i="28" s="1"/>
  <c r="AX293" i="28"/>
  <c r="BE293" i="28" s="1"/>
  <c r="AW293" i="28"/>
  <c r="BD293" i="28" s="1"/>
  <c r="AV293" i="28"/>
  <c r="BC293" i="28" s="1"/>
  <c r="AU293" i="28"/>
  <c r="BB293" i="28" s="1"/>
  <c r="AT293" i="28"/>
  <c r="BA293" i="28" s="1"/>
  <c r="AY292" i="28"/>
  <c r="BF292" i="28" s="1"/>
  <c r="AX292" i="28"/>
  <c r="BE292" i="28" s="1"/>
  <c r="AW292" i="28"/>
  <c r="BD292" i="28" s="1"/>
  <c r="AV292" i="28"/>
  <c r="BC292" i="28" s="1"/>
  <c r="AU292" i="28"/>
  <c r="BB292" i="28" s="1"/>
  <c r="AT292" i="28"/>
  <c r="BA292" i="28" s="1"/>
  <c r="AY291" i="28"/>
  <c r="BF291" i="28" s="1"/>
  <c r="AX291" i="28"/>
  <c r="BE291" i="28" s="1"/>
  <c r="AW291" i="28"/>
  <c r="BD291" i="28" s="1"/>
  <c r="AV291" i="28"/>
  <c r="BC291" i="28" s="1"/>
  <c r="AU291" i="28"/>
  <c r="BB291" i="28" s="1"/>
  <c r="AT291" i="28"/>
  <c r="BA291" i="28" s="1"/>
  <c r="AY290" i="28"/>
  <c r="BF290" i="28" s="1"/>
  <c r="AX290" i="28"/>
  <c r="BE290" i="28" s="1"/>
  <c r="AW290" i="28"/>
  <c r="BD290" i="28" s="1"/>
  <c r="AV290" i="28"/>
  <c r="BC290" i="28" s="1"/>
  <c r="AU290" i="28"/>
  <c r="BB290" i="28" s="1"/>
  <c r="AT290" i="28"/>
  <c r="BA290" i="28" s="1"/>
  <c r="AY289" i="28"/>
  <c r="BF289" i="28" s="1"/>
  <c r="AX289" i="28"/>
  <c r="BE289" i="28" s="1"/>
  <c r="AW289" i="28"/>
  <c r="BD289" i="28" s="1"/>
  <c r="AV289" i="28"/>
  <c r="BC289" i="28" s="1"/>
  <c r="AU289" i="28"/>
  <c r="BB289" i="28" s="1"/>
  <c r="AT289" i="28"/>
  <c r="BA289" i="28" s="1"/>
  <c r="AX288" i="28"/>
  <c r="BE288" i="28" s="1"/>
  <c r="AW288" i="28"/>
  <c r="BD288" i="28" s="1"/>
  <c r="AV288" i="28"/>
  <c r="BC288" i="28" s="1"/>
  <c r="AU288" i="28"/>
  <c r="BB288" i="28" s="1"/>
  <c r="AT288" i="28"/>
  <c r="BA288" i="28" s="1"/>
  <c r="AX287" i="28"/>
  <c r="BE287" i="28" s="1"/>
  <c r="AW287" i="28"/>
  <c r="BD287" i="28" s="1"/>
  <c r="AV287" i="28"/>
  <c r="BC287" i="28" s="1"/>
  <c r="AU287" i="28"/>
  <c r="BB287" i="28" s="1"/>
  <c r="AT287" i="28"/>
  <c r="BA287" i="28" s="1"/>
  <c r="AY286" i="28"/>
  <c r="BF286" i="28" s="1"/>
  <c r="AX286" i="28"/>
  <c r="BE286" i="28" s="1"/>
  <c r="AW286" i="28"/>
  <c r="BD286" i="28" s="1"/>
  <c r="AV286" i="28"/>
  <c r="BC286" i="28" s="1"/>
  <c r="AU286" i="28"/>
  <c r="BB286" i="28" s="1"/>
  <c r="AT286" i="28"/>
  <c r="BA286" i="28" s="1"/>
  <c r="AY285" i="28"/>
  <c r="BF285" i="28" s="1"/>
  <c r="AX285" i="28"/>
  <c r="BE285" i="28" s="1"/>
  <c r="AW285" i="28"/>
  <c r="BD285" i="28" s="1"/>
  <c r="AV285" i="28"/>
  <c r="BC285" i="28" s="1"/>
  <c r="AU285" i="28"/>
  <c r="BB285" i="28" s="1"/>
  <c r="AT285" i="28"/>
  <c r="BA285" i="28" s="1"/>
  <c r="AY284" i="28"/>
  <c r="BF284" i="28" s="1"/>
  <c r="AX284" i="28"/>
  <c r="BE284" i="28" s="1"/>
  <c r="AW284" i="28"/>
  <c r="BD284" i="28" s="1"/>
  <c r="AV284" i="28"/>
  <c r="BC284" i="28" s="1"/>
  <c r="AU284" i="28"/>
  <c r="BB284" i="28" s="1"/>
  <c r="AT284" i="28"/>
  <c r="BA284" i="28" s="1"/>
  <c r="AY283" i="28"/>
  <c r="BF283" i="28" s="1"/>
  <c r="AX283" i="28"/>
  <c r="BE283" i="28" s="1"/>
  <c r="AW283" i="28"/>
  <c r="BD283" i="28" s="1"/>
  <c r="AV283" i="28"/>
  <c r="BC283" i="28" s="1"/>
  <c r="AU283" i="28"/>
  <c r="BB283" i="28" s="1"/>
  <c r="AT283" i="28"/>
  <c r="BA283" i="28" s="1"/>
  <c r="AY282" i="28"/>
  <c r="BF282" i="28" s="1"/>
  <c r="AX282" i="28"/>
  <c r="BE282" i="28" s="1"/>
  <c r="AW282" i="28"/>
  <c r="BD282" i="28" s="1"/>
  <c r="AV282" i="28"/>
  <c r="BC282" i="28" s="1"/>
  <c r="AU282" i="28"/>
  <c r="BB282" i="28" s="1"/>
  <c r="AT282" i="28"/>
  <c r="BA282" i="28" s="1"/>
  <c r="AY281" i="28"/>
  <c r="BF281" i="28" s="1"/>
  <c r="AX281" i="28"/>
  <c r="BE281" i="28" s="1"/>
  <c r="AW281" i="28"/>
  <c r="BD281" i="28" s="1"/>
  <c r="AV281" i="28"/>
  <c r="BC281" i="28" s="1"/>
  <c r="AU281" i="28"/>
  <c r="BB281" i="28" s="1"/>
  <c r="AT281" i="28"/>
  <c r="BA281" i="28" s="1"/>
  <c r="AX280" i="28"/>
  <c r="BE280" i="28" s="1"/>
  <c r="AW280" i="28"/>
  <c r="BD280" i="28" s="1"/>
  <c r="AV280" i="28"/>
  <c r="BC280" i="28" s="1"/>
  <c r="AU280" i="28"/>
  <c r="BB280" i="28" s="1"/>
  <c r="AT280" i="28"/>
  <c r="BA280" i="28" s="1"/>
  <c r="AX279" i="28"/>
  <c r="BE279" i="28" s="1"/>
  <c r="AW279" i="28"/>
  <c r="BD279" i="28" s="1"/>
  <c r="AV279" i="28"/>
  <c r="BC279" i="28" s="1"/>
  <c r="AU279" i="28"/>
  <c r="BB279" i="28" s="1"/>
  <c r="AT279" i="28"/>
  <c r="BA279" i="28" s="1"/>
  <c r="AY278" i="28"/>
  <c r="BF278" i="28" s="1"/>
  <c r="AX278" i="28"/>
  <c r="BE278" i="28" s="1"/>
  <c r="AW278" i="28"/>
  <c r="BD278" i="28" s="1"/>
  <c r="AV278" i="28"/>
  <c r="BC278" i="28" s="1"/>
  <c r="AU278" i="28"/>
  <c r="BB278" i="28" s="1"/>
  <c r="AT278" i="28"/>
  <c r="BA278" i="28" s="1"/>
  <c r="AY277" i="28"/>
  <c r="BF277" i="28" s="1"/>
  <c r="AX277" i="28"/>
  <c r="BE277" i="28" s="1"/>
  <c r="AW277" i="28"/>
  <c r="BD277" i="28" s="1"/>
  <c r="AV277" i="28"/>
  <c r="BC277" i="28" s="1"/>
  <c r="AU277" i="28"/>
  <c r="BB277" i="28" s="1"/>
  <c r="AT277" i="28"/>
  <c r="BA277" i="28" s="1"/>
  <c r="AY276" i="28"/>
  <c r="BF276" i="28" s="1"/>
  <c r="AX276" i="28"/>
  <c r="BE276" i="28" s="1"/>
  <c r="AW276" i="28"/>
  <c r="BD276" i="28" s="1"/>
  <c r="AV276" i="28"/>
  <c r="BC276" i="28" s="1"/>
  <c r="AU276" i="28"/>
  <c r="BB276" i="28" s="1"/>
  <c r="AT276" i="28"/>
  <c r="BA276" i="28" s="1"/>
  <c r="AY275" i="28"/>
  <c r="BF275" i="28" s="1"/>
  <c r="AX275" i="28"/>
  <c r="BE275" i="28" s="1"/>
  <c r="AW275" i="28"/>
  <c r="BD275" i="28" s="1"/>
  <c r="AV275" i="28"/>
  <c r="BC275" i="28" s="1"/>
  <c r="AU275" i="28"/>
  <c r="BB275" i="28" s="1"/>
  <c r="AT275" i="28"/>
  <c r="BA275" i="28" s="1"/>
  <c r="AY274" i="28"/>
  <c r="BF274" i="28" s="1"/>
  <c r="AX274" i="28"/>
  <c r="BE274" i="28" s="1"/>
  <c r="AW274" i="28"/>
  <c r="BD274" i="28" s="1"/>
  <c r="AV274" i="28"/>
  <c r="BC274" i="28" s="1"/>
  <c r="AU274" i="28"/>
  <c r="BB274" i="28" s="1"/>
  <c r="AT274" i="28"/>
  <c r="BA274" i="28" s="1"/>
  <c r="AY273" i="28"/>
  <c r="BF273" i="28" s="1"/>
  <c r="AX273" i="28"/>
  <c r="BE273" i="28" s="1"/>
  <c r="AW273" i="28"/>
  <c r="BD273" i="28" s="1"/>
  <c r="AV273" i="28"/>
  <c r="BC273" i="28" s="1"/>
  <c r="AU273" i="28"/>
  <c r="BB273" i="28" s="1"/>
  <c r="AT273" i="28"/>
  <c r="BA273" i="28" s="1"/>
  <c r="AX272" i="28"/>
  <c r="BE272" i="28" s="1"/>
  <c r="AW272" i="28"/>
  <c r="BD272" i="28" s="1"/>
  <c r="AV272" i="28"/>
  <c r="BC272" i="28" s="1"/>
  <c r="AU272" i="28"/>
  <c r="BB272" i="28" s="1"/>
  <c r="AT272" i="28"/>
  <c r="BA272" i="28" s="1"/>
  <c r="AX271" i="28"/>
  <c r="BE271" i="28" s="1"/>
  <c r="AW271" i="28"/>
  <c r="BD271" i="28" s="1"/>
  <c r="AV271" i="28"/>
  <c r="BC271" i="28" s="1"/>
  <c r="AU271" i="28"/>
  <c r="BB271" i="28" s="1"/>
  <c r="AT271" i="28"/>
  <c r="BA271" i="28" s="1"/>
  <c r="AY270" i="28"/>
  <c r="BF270" i="28" s="1"/>
  <c r="AX270" i="28"/>
  <c r="BE270" i="28" s="1"/>
  <c r="AW270" i="28"/>
  <c r="BD270" i="28" s="1"/>
  <c r="AV270" i="28"/>
  <c r="BC270" i="28" s="1"/>
  <c r="AU270" i="28"/>
  <c r="BB270" i="28" s="1"/>
  <c r="AT270" i="28"/>
  <c r="BA270" i="28" s="1"/>
  <c r="AY269" i="28"/>
  <c r="BF269" i="28" s="1"/>
  <c r="AX269" i="28"/>
  <c r="BE269" i="28" s="1"/>
  <c r="AW269" i="28"/>
  <c r="BD269" i="28" s="1"/>
  <c r="AV269" i="28"/>
  <c r="BC269" i="28" s="1"/>
  <c r="AU269" i="28"/>
  <c r="BB269" i="28" s="1"/>
  <c r="AT269" i="28"/>
  <c r="BA269" i="28" s="1"/>
  <c r="AY268" i="28"/>
  <c r="BF268" i="28" s="1"/>
  <c r="AX268" i="28"/>
  <c r="BE268" i="28" s="1"/>
  <c r="AW268" i="28"/>
  <c r="BD268" i="28" s="1"/>
  <c r="AV268" i="28"/>
  <c r="BC268" i="28" s="1"/>
  <c r="AU268" i="28"/>
  <c r="BB268" i="28" s="1"/>
  <c r="AT268" i="28"/>
  <c r="BA268" i="28" s="1"/>
  <c r="AY267" i="28"/>
  <c r="BF267" i="28" s="1"/>
  <c r="AX267" i="28"/>
  <c r="BE267" i="28" s="1"/>
  <c r="AW267" i="28"/>
  <c r="BD267" i="28" s="1"/>
  <c r="AV267" i="28"/>
  <c r="BC267" i="28" s="1"/>
  <c r="AU267" i="28"/>
  <c r="BB267" i="28" s="1"/>
  <c r="AT267" i="28"/>
  <c r="BA267" i="28" s="1"/>
  <c r="AY266" i="28"/>
  <c r="BF266" i="28" s="1"/>
  <c r="AX266" i="28"/>
  <c r="BE266" i="28" s="1"/>
  <c r="AW266" i="28"/>
  <c r="BD266" i="28" s="1"/>
  <c r="AV266" i="28"/>
  <c r="BC266" i="28" s="1"/>
  <c r="AU266" i="28"/>
  <c r="BB266" i="28" s="1"/>
  <c r="AT266" i="28"/>
  <c r="BA266" i="28" s="1"/>
  <c r="AY265" i="28"/>
  <c r="BF265" i="28" s="1"/>
  <c r="AX265" i="28"/>
  <c r="BE265" i="28" s="1"/>
  <c r="AW265" i="28"/>
  <c r="BD265" i="28" s="1"/>
  <c r="AV265" i="28"/>
  <c r="BC265" i="28" s="1"/>
  <c r="AU265" i="28"/>
  <c r="BB265" i="28" s="1"/>
  <c r="AT265" i="28"/>
  <c r="BA265" i="28" s="1"/>
  <c r="AX264" i="28"/>
  <c r="BE264" i="28" s="1"/>
  <c r="AW264" i="28"/>
  <c r="BD264" i="28" s="1"/>
  <c r="AV264" i="28"/>
  <c r="BC264" i="28" s="1"/>
  <c r="AU264" i="28"/>
  <c r="BB264" i="28" s="1"/>
  <c r="AT264" i="28"/>
  <c r="BA264" i="28" s="1"/>
  <c r="AY263" i="28"/>
  <c r="BF263" i="28" s="1"/>
  <c r="AX263" i="28"/>
  <c r="BE263" i="28" s="1"/>
  <c r="AW263" i="28"/>
  <c r="BD263" i="28" s="1"/>
  <c r="AV263" i="28"/>
  <c r="BC263" i="28" s="1"/>
  <c r="AU263" i="28"/>
  <c r="BB263" i="28" s="1"/>
  <c r="AT263" i="28"/>
  <c r="BA263" i="28" s="1"/>
  <c r="AY262" i="28"/>
  <c r="BF262" i="28" s="1"/>
  <c r="AX262" i="28"/>
  <c r="BE262" i="28" s="1"/>
  <c r="AW262" i="28"/>
  <c r="BD262" i="28" s="1"/>
  <c r="AV262" i="28"/>
  <c r="BC262" i="28" s="1"/>
  <c r="AU262" i="28"/>
  <c r="BB262" i="28" s="1"/>
  <c r="AT262" i="28"/>
  <c r="BA262" i="28" s="1"/>
  <c r="AY261" i="28"/>
  <c r="BF261" i="28" s="1"/>
  <c r="AX261" i="28"/>
  <c r="BE261" i="28" s="1"/>
  <c r="AW261" i="28"/>
  <c r="BD261" i="28" s="1"/>
  <c r="AV261" i="28"/>
  <c r="BC261" i="28" s="1"/>
  <c r="AU261" i="28"/>
  <c r="BB261" i="28" s="1"/>
  <c r="AT261" i="28"/>
  <c r="BA261" i="28" s="1"/>
  <c r="AY260" i="28"/>
  <c r="BF260" i="28" s="1"/>
  <c r="AX260" i="28"/>
  <c r="BE260" i="28" s="1"/>
  <c r="AW260" i="28"/>
  <c r="BD260" i="28" s="1"/>
  <c r="AV260" i="28"/>
  <c r="BC260" i="28" s="1"/>
  <c r="AU260" i="28"/>
  <c r="BB260" i="28" s="1"/>
  <c r="AT260" i="28"/>
  <c r="BA260" i="28" s="1"/>
  <c r="AY259" i="28"/>
  <c r="BF259" i="28" s="1"/>
  <c r="AX259" i="28"/>
  <c r="BE259" i="28" s="1"/>
  <c r="AW259" i="28"/>
  <c r="BD259" i="28" s="1"/>
  <c r="AV259" i="28"/>
  <c r="BC259" i="28" s="1"/>
  <c r="AU259" i="28"/>
  <c r="BB259" i="28" s="1"/>
  <c r="AT259" i="28"/>
  <c r="BA259" i="28" s="1"/>
  <c r="AY258" i="28"/>
  <c r="BF258" i="28" s="1"/>
  <c r="AX258" i="28"/>
  <c r="BE258" i="28" s="1"/>
  <c r="AW258" i="28"/>
  <c r="BD258" i="28" s="1"/>
  <c r="AV258" i="28"/>
  <c r="BC258" i="28" s="1"/>
  <c r="AU258" i="28"/>
  <c r="BB258" i="28" s="1"/>
  <c r="AT258" i="28"/>
  <c r="BA258" i="28" s="1"/>
  <c r="AY257" i="28"/>
  <c r="BF257" i="28" s="1"/>
  <c r="AX257" i="28"/>
  <c r="BE257" i="28" s="1"/>
  <c r="AW257" i="28"/>
  <c r="BD257" i="28" s="1"/>
  <c r="AV257" i="28"/>
  <c r="BC257" i="28" s="1"/>
  <c r="AU257" i="28"/>
  <c r="BB257" i="28" s="1"/>
  <c r="AT257" i="28"/>
  <c r="BA257" i="28" s="1"/>
  <c r="AX256" i="28"/>
  <c r="BE256" i="28" s="1"/>
  <c r="AW256" i="28"/>
  <c r="BD256" i="28" s="1"/>
  <c r="AV256" i="28"/>
  <c r="BC256" i="28" s="1"/>
  <c r="AU256" i="28"/>
  <c r="BB256" i="28" s="1"/>
  <c r="AT256" i="28"/>
  <c r="BA256" i="28" s="1"/>
  <c r="AX255" i="28"/>
  <c r="BE255" i="28" s="1"/>
  <c r="AW255" i="28"/>
  <c r="BD255" i="28" s="1"/>
  <c r="AV255" i="28"/>
  <c r="BC255" i="28" s="1"/>
  <c r="AU255" i="28"/>
  <c r="BB255" i="28" s="1"/>
  <c r="AT255" i="28"/>
  <c r="BA255" i="28" s="1"/>
  <c r="AY254" i="28"/>
  <c r="BF254" i="28" s="1"/>
  <c r="AX254" i="28"/>
  <c r="BE254" i="28" s="1"/>
  <c r="AW254" i="28"/>
  <c r="BD254" i="28" s="1"/>
  <c r="AV254" i="28"/>
  <c r="BC254" i="28" s="1"/>
  <c r="AU254" i="28"/>
  <c r="BB254" i="28" s="1"/>
  <c r="AT254" i="28"/>
  <c r="BA254" i="28" s="1"/>
  <c r="AY253" i="28"/>
  <c r="BF253" i="28" s="1"/>
  <c r="AX253" i="28"/>
  <c r="BE253" i="28" s="1"/>
  <c r="AW253" i="28"/>
  <c r="BD253" i="28" s="1"/>
  <c r="AV253" i="28"/>
  <c r="BC253" i="28" s="1"/>
  <c r="AU253" i="28"/>
  <c r="BB253" i="28" s="1"/>
  <c r="AT253" i="28"/>
  <c r="BA253" i="28" s="1"/>
  <c r="AY252" i="28"/>
  <c r="BF252" i="28" s="1"/>
  <c r="AX252" i="28"/>
  <c r="BE252" i="28" s="1"/>
  <c r="AW252" i="28"/>
  <c r="BD252" i="28" s="1"/>
  <c r="AV252" i="28"/>
  <c r="BC252" i="28" s="1"/>
  <c r="AU252" i="28"/>
  <c r="BB252" i="28" s="1"/>
  <c r="AT252" i="28"/>
  <c r="BA252" i="28" s="1"/>
  <c r="AY251" i="28"/>
  <c r="BF251" i="28" s="1"/>
  <c r="AX251" i="28"/>
  <c r="BE251" i="28" s="1"/>
  <c r="AW251" i="28"/>
  <c r="BD251" i="28" s="1"/>
  <c r="AV251" i="28"/>
  <c r="BC251" i="28" s="1"/>
  <c r="AU251" i="28"/>
  <c r="BB251" i="28" s="1"/>
  <c r="AT251" i="28"/>
  <c r="BA251" i="28" s="1"/>
  <c r="AY250" i="28"/>
  <c r="BF250" i="28" s="1"/>
  <c r="AX250" i="28"/>
  <c r="BE250" i="28" s="1"/>
  <c r="AW250" i="28"/>
  <c r="BD250" i="28" s="1"/>
  <c r="AV250" i="28"/>
  <c r="BC250" i="28" s="1"/>
  <c r="AU250" i="28"/>
  <c r="BB250" i="28" s="1"/>
  <c r="AT250" i="28"/>
  <c r="BA250" i="28" s="1"/>
  <c r="AY249" i="28"/>
  <c r="BF249" i="28" s="1"/>
  <c r="AX249" i="28"/>
  <c r="BE249" i="28" s="1"/>
  <c r="AW249" i="28"/>
  <c r="BD249" i="28" s="1"/>
  <c r="AV249" i="28"/>
  <c r="BC249" i="28" s="1"/>
  <c r="AU249" i="28"/>
  <c r="BB249" i="28" s="1"/>
  <c r="AT249" i="28"/>
  <c r="BA249" i="28" s="1"/>
  <c r="AX248" i="28"/>
  <c r="BE248" i="28" s="1"/>
  <c r="AW248" i="28"/>
  <c r="BD248" i="28" s="1"/>
  <c r="AV248" i="28"/>
  <c r="BC248" i="28" s="1"/>
  <c r="AU248" i="28"/>
  <c r="BB248" i="28" s="1"/>
  <c r="AT248" i="28"/>
  <c r="BA248" i="28" s="1"/>
  <c r="AY247" i="28"/>
  <c r="BF247" i="28" s="1"/>
  <c r="AX247" i="28"/>
  <c r="BE247" i="28" s="1"/>
  <c r="AW247" i="28"/>
  <c r="BD247" i="28" s="1"/>
  <c r="AV247" i="28"/>
  <c r="BC247" i="28" s="1"/>
  <c r="AU247" i="28"/>
  <c r="BB247" i="28" s="1"/>
  <c r="AT247" i="28"/>
  <c r="BA247" i="28" s="1"/>
  <c r="AY246" i="28"/>
  <c r="BF246" i="28" s="1"/>
  <c r="AX246" i="28"/>
  <c r="BE246" i="28" s="1"/>
  <c r="AW246" i="28"/>
  <c r="BD246" i="28" s="1"/>
  <c r="AV246" i="28"/>
  <c r="BC246" i="28" s="1"/>
  <c r="AU246" i="28"/>
  <c r="BB246" i="28" s="1"/>
  <c r="AT246" i="28"/>
  <c r="BA246" i="28" s="1"/>
  <c r="AY245" i="28"/>
  <c r="BF245" i="28" s="1"/>
  <c r="AX245" i="28"/>
  <c r="BE245" i="28" s="1"/>
  <c r="AW245" i="28"/>
  <c r="BD245" i="28" s="1"/>
  <c r="AV245" i="28"/>
  <c r="BC245" i="28" s="1"/>
  <c r="AU245" i="28"/>
  <c r="BB245" i="28" s="1"/>
  <c r="AT245" i="28"/>
  <c r="BA245" i="28" s="1"/>
  <c r="AY244" i="28"/>
  <c r="BF244" i="28" s="1"/>
  <c r="AX244" i="28"/>
  <c r="BE244" i="28" s="1"/>
  <c r="AW244" i="28"/>
  <c r="BD244" i="28" s="1"/>
  <c r="AV244" i="28"/>
  <c r="BC244" i="28" s="1"/>
  <c r="AU244" i="28"/>
  <c r="BB244" i="28" s="1"/>
  <c r="AT244" i="28"/>
  <c r="BA244" i="28" s="1"/>
  <c r="AY243" i="28"/>
  <c r="BF243" i="28" s="1"/>
  <c r="AX243" i="28"/>
  <c r="BE243" i="28" s="1"/>
  <c r="AW243" i="28"/>
  <c r="BD243" i="28" s="1"/>
  <c r="AV243" i="28"/>
  <c r="BC243" i="28" s="1"/>
  <c r="AU243" i="28"/>
  <c r="BB243" i="28" s="1"/>
  <c r="AT243" i="28"/>
  <c r="BA243" i="28" s="1"/>
  <c r="AY242" i="28"/>
  <c r="BF242" i="28" s="1"/>
  <c r="AX242" i="28"/>
  <c r="BE242" i="28" s="1"/>
  <c r="AW242" i="28"/>
  <c r="BD242" i="28" s="1"/>
  <c r="AV242" i="28"/>
  <c r="BC242" i="28" s="1"/>
  <c r="AU242" i="28"/>
  <c r="BB242" i="28" s="1"/>
  <c r="AT242" i="28"/>
  <c r="BA242" i="28" s="1"/>
  <c r="AY241" i="28"/>
  <c r="BF241" i="28" s="1"/>
  <c r="AX241" i="28"/>
  <c r="BE241" i="28" s="1"/>
  <c r="AW241" i="28"/>
  <c r="BD241" i="28" s="1"/>
  <c r="AV241" i="28"/>
  <c r="BC241" i="28" s="1"/>
  <c r="AU241" i="28"/>
  <c r="BB241" i="28" s="1"/>
  <c r="AT241" i="28"/>
  <c r="BA241" i="28" s="1"/>
  <c r="AX240" i="28"/>
  <c r="BE240" i="28" s="1"/>
  <c r="AW240" i="28"/>
  <c r="BD240" i="28" s="1"/>
  <c r="AV240" i="28"/>
  <c r="BC240" i="28" s="1"/>
  <c r="AU240" i="28"/>
  <c r="BB240" i="28" s="1"/>
  <c r="AT240" i="28"/>
  <c r="BA240" i="28" s="1"/>
  <c r="AX239" i="28"/>
  <c r="BE239" i="28" s="1"/>
  <c r="AW239" i="28"/>
  <c r="BD239" i="28" s="1"/>
  <c r="AV239" i="28"/>
  <c r="BC239" i="28" s="1"/>
  <c r="AU239" i="28"/>
  <c r="BB239" i="28" s="1"/>
  <c r="AT239" i="28"/>
  <c r="BA239" i="28" s="1"/>
  <c r="AY238" i="28"/>
  <c r="BF238" i="28" s="1"/>
  <c r="AX238" i="28"/>
  <c r="BE238" i="28" s="1"/>
  <c r="AW238" i="28"/>
  <c r="BD238" i="28" s="1"/>
  <c r="AV238" i="28"/>
  <c r="BC238" i="28" s="1"/>
  <c r="AU238" i="28"/>
  <c r="BB238" i="28" s="1"/>
  <c r="AT238" i="28"/>
  <c r="BA238" i="28" s="1"/>
  <c r="AY237" i="28"/>
  <c r="BF237" i="28" s="1"/>
  <c r="AX237" i="28"/>
  <c r="BE237" i="28" s="1"/>
  <c r="AW237" i="28"/>
  <c r="BD237" i="28" s="1"/>
  <c r="AV237" i="28"/>
  <c r="BC237" i="28" s="1"/>
  <c r="AU237" i="28"/>
  <c r="BB237" i="28" s="1"/>
  <c r="AT237" i="28"/>
  <c r="BA237" i="28" s="1"/>
  <c r="AY236" i="28"/>
  <c r="BF236" i="28" s="1"/>
  <c r="AX236" i="28"/>
  <c r="BE236" i="28" s="1"/>
  <c r="AW236" i="28"/>
  <c r="BD236" i="28" s="1"/>
  <c r="AV236" i="28"/>
  <c r="BC236" i="28" s="1"/>
  <c r="AU236" i="28"/>
  <c r="BB236" i="28" s="1"/>
  <c r="AT236" i="28"/>
  <c r="BA236" i="28" s="1"/>
  <c r="AY235" i="28"/>
  <c r="BF235" i="28" s="1"/>
  <c r="AX235" i="28"/>
  <c r="BE235" i="28" s="1"/>
  <c r="AW235" i="28"/>
  <c r="BD235" i="28" s="1"/>
  <c r="AV235" i="28"/>
  <c r="BC235" i="28" s="1"/>
  <c r="AU235" i="28"/>
  <c r="BB235" i="28" s="1"/>
  <c r="AT235" i="28"/>
  <c r="BA235" i="28" s="1"/>
  <c r="AY234" i="28"/>
  <c r="BF234" i="28" s="1"/>
  <c r="AX234" i="28"/>
  <c r="BE234" i="28" s="1"/>
  <c r="AW234" i="28"/>
  <c r="BD234" i="28" s="1"/>
  <c r="AV234" i="28"/>
  <c r="BC234" i="28" s="1"/>
  <c r="AU234" i="28"/>
  <c r="BB234" i="28" s="1"/>
  <c r="AT234" i="28"/>
  <c r="BA234" i="28" s="1"/>
  <c r="AY233" i="28"/>
  <c r="BF233" i="28" s="1"/>
  <c r="AX233" i="28"/>
  <c r="BE233" i="28" s="1"/>
  <c r="AW233" i="28"/>
  <c r="BD233" i="28" s="1"/>
  <c r="AV233" i="28"/>
  <c r="BC233" i="28" s="1"/>
  <c r="AU233" i="28"/>
  <c r="BB233" i="28" s="1"/>
  <c r="AT233" i="28"/>
  <c r="BA233" i="28" s="1"/>
  <c r="AX232" i="28"/>
  <c r="BE232" i="28" s="1"/>
  <c r="AW232" i="28"/>
  <c r="BD232" i="28" s="1"/>
  <c r="AV232" i="28"/>
  <c r="BC232" i="28" s="1"/>
  <c r="AU232" i="28"/>
  <c r="BB232" i="28" s="1"/>
  <c r="AT232" i="28"/>
  <c r="BA232" i="28" s="1"/>
  <c r="AX231" i="28"/>
  <c r="BE231" i="28" s="1"/>
  <c r="AW231" i="28"/>
  <c r="BD231" i="28" s="1"/>
  <c r="AV231" i="28"/>
  <c r="BC231" i="28" s="1"/>
  <c r="AU231" i="28"/>
  <c r="BB231" i="28" s="1"/>
  <c r="AT231" i="28"/>
  <c r="BA231" i="28" s="1"/>
  <c r="AY230" i="28"/>
  <c r="BF230" i="28" s="1"/>
  <c r="AX230" i="28"/>
  <c r="BE230" i="28" s="1"/>
  <c r="AW230" i="28"/>
  <c r="BD230" i="28" s="1"/>
  <c r="AV230" i="28"/>
  <c r="BC230" i="28" s="1"/>
  <c r="AU230" i="28"/>
  <c r="BB230" i="28" s="1"/>
  <c r="AT230" i="28"/>
  <c r="BA230" i="28" s="1"/>
  <c r="AY229" i="28"/>
  <c r="BF229" i="28" s="1"/>
  <c r="AX229" i="28"/>
  <c r="BE229" i="28" s="1"/>
  <c r="AW229" i="28"/>
  <c r="BD229" i="28" s="1"/>
  <c r="AV229" i="28"/>
  <c r="BC229" i="28" s="1"/>
  <c r="AU229" i="28"/>
  <c r="BB229" i="28" s="1"/>
  <c r="AT229" i="28"/>
  <c r="BA229" i="28" s="1"/>
  <c r="AY228" i="28"/>
  <c r="BF228" i="28" s="1"/>
  <c r="AX228" i="28"/>
  <c r="BE228" i="28" s="1"/>
  <c r="AW228" i="28"/>
  <c r="BD228" i="28" s="1"/>
  <c r="AV228" i="28"/>
  <c r="BC228" i="28" s="1"/>
  <c r="AU228" i="28"/>
  <c r="BB228" i="28" s="1"/>
  <c r="AT228" i="28"/>
  <c r="BA228" i="28" s="1"/>
  <c r="AY227" i="28"/>
  <c r="BF227" i="28" s="1"/>
  <c r="AX227" i="28"/>
  <c r="BE227" i="28" s="1"/>
  <c r="AW227" i="28"/>
  <c r="BD227" i="28" s="1"/>
  <c r="AV227" i="28"/>
  <c r="BC227" i="28" s="1"/>
  <c r="AU227" i="28"/>
  <c r="BB227" i="28" s="1"/>
  <c r="AT227" i="28"/>
  <c r="BA227" i="28" s="1"/>
  <c r="AY226" i="28"/>
  <c r="BF226" i="28" s="1"/>
  <c r="AX226" i="28"/>
  <c r="BE226" i="28" s="1"/>
  <c r="AW226" i="28"/>
  <c r="BD226" i="28" s="1"/>
  <c r="AV226" i="28"/>
  <c r="BC226" i="28" s="1"/>
  <c r="AU226" i="28"/>
  <c r="BB226" i="28" s="1"/>
  <c r="AT226" i="28"/>
  <c r="BA226" i="28" s="1"/>
  <c r="AY225" i="28"/>
  <c r="BF225" i="28" s="1"/>
  <c r="AX225" i="28"/>
  <c r="BE225" i="28" s="1"/>
  <c r="AW225" i="28"/>
  <c r="BD225" i="28" s="1"/>
  <c r="AV225" i="28"/>
  <c r="BC225" i="28" s="1"/>
  <c r="AU225" i="28"/>
  <c r="BB225" i="28" s="1"/>
  <c r="AT225" i="28"/>
  <c r="BA225" i="28" s="1"/>
  <c r="AX224" i="28"/>
  <c r="BE224" i="28" s="1"/>
  <c r="AW224" i="28"/>
  <c r="BD224" i="28" s="1"/>
  <c r="AV224" i="28"/>
  <c r="BC224" i="28" s="1"/>
  <c r="AU224" i="28"/>
  <c r="BB224" i="28" s="1"/>
  <c r="AT224" i="28"/>
  <c r="BA224" i="28" s="1"/>
  <c r="AX223" i="28"/>
  <c r="BE223" i="28" s="1"/>
  <c r="AW223" i="28"/>
  <c r="BD223" i="28" s="1"/>
  <c r="AV223" i="28"/>
  <c r="BC223" i="28" s="1"/>
  <c r="AU223" i="28"/>
  <c r="BB223" i="28" s="1"/>
  <c r="AT223" i="28"/>
  <c r="BA223" i="28" s="1"/>
  <c r="AY222" i="28"/>
  <c r="BF222" i="28" s="1"/>
  <c r="AX222" i="28"/>
  <c r="BE222" i="28" s="1"/>
  <c r="AW222" i="28"/>
  <c r="BD222" i="28" s="1"/>
  <c r="AV222" i="28"/>
  <c r="BC222" i="28" s="1"/>
  <c r="AU222" i="28"/>
  <c r="BB222" i="28" s="1"/>
  <c r="AT222" i="28"/>
  <c r="BA222" i="28" s="1"/>
  <c r="AY221" i="28"/>
  <c r="BF221" i="28" s="1"/>
  <c r="AX221" i="28"/>
  <c r="BE221" i="28" s="1"/>
  <c r="AW221" i="28"/>
  <c r="BD221" i="28" s="1"/>
  <c r="AV221" i="28"/>
  <c r="BC221" i="28" s="1"/>
  <c r="AU221" i="28"/>
  <c r="BB221" i="28" s="1"/>
  <c r="AT221" i="28"/>
  <c r="BA221" i="28" s="1"/>
  <c r="AY220" i="28"/>
  <c r="BF220" i="28" s="1"/>
  <c r="AX220" i="28"/>
  <c r="BE220" i="28" s="1"/>
  <c r="AW220" i="28"/>
  <c r="BD220" i="28" s="1"/>
  <c r="AV220" i="28"/>
  <c r="BC220" i="28" s="1"/>
  <c r="AU220" i="28"/>
  <c r="BB220" i="28" s="1"/>
  <c r="AT220" i="28"/>
  <c r="BA220" i="28" s="1"/>
  <c r="AY219" i="28"/>
  <c r="BF219" i="28" s="1"/>
  <c r="AX219" i="28"/>
  <c r="BE219" i="28" s="1"/>
  <c r="AW219" i="28"/>
  <c r="BD219" i="28" s="1"/>
  <c r="AV219" i="28"/>
  <c r="BC219" i="28" s="1"/>
  <c r="AU219" i="28"/>
  <c r="BB219" i="28" s="1"/>
  <c r="AT219" i="28"/>
  <c r="BA219" i="28" s="1"/>
  <c r="AY218" i="28"/>
  <c r="BF218" i="28" s="1"/>
  <c r="AX218" i="28"/>
  <c r="BE218" i="28" s="1"/>
  <c r="AW218" i="28"/>
  <c r="BD218" i="28" s="1"/>
  <c r="AV218" i="28"/>
  <c r="BC218" i="28" s="1"/>
  <c r="AU218" i="28"/>
  <c r="BB218" i="28" s="1"/>
  <c r="AT218" i="28"/>
  <c r="BA218" i="28" s="1"/>
  <c r="AY217" i="28"/>
  <c r="BF217" i="28" s="1"/>
  <c r="AX217" i="28"/>
  <c r="BE217" i="28" s="1"/>
  <c r="AW217" i="28"/>
  <c r="BD217" i="28" s="1"/>
  <c r="AV217" i="28"/>
  <c r="BC217" i="28" s="1"/>
  <c r="AU217" i="28"/>
  <c r="BB217" i="28" s="1"/>
  <c r="AT217" i="28"/>
  <c r="BA217" i="28" s="1"/>
  <c r="AX216" i="28"/>
  <c r="BE216" i="28" s="1"/>
  <c r="AW216" i="28"/>
  <c r="BD216" i="28" s="1"/>
  <c r="AV216" i="28"/>
  <c r="BC216" i="28" s="1"/>
  <c r="AU216" i="28"/>
  <c r="BB216" i="28" s="1"/>
  <c r="AT216" i="28"/>
  <c r="BA216" i="28" s="1"/>
  <c r="AX215" i="28"/>
  <c r="BE215" i="28" s="1"/>
  <c r="AW215" i="28"/>
  <c r="BD215" i="28" s="1"/>
  <c r="AV215" i="28"/>
  <c r="BC215" i="28" s="1"/>
  <c r="AU215" i="28"/>
  <c r="BB215" i="28" s="1"/>
  <c r="AT215" i="28"/>
  <c r="BA215" i="28" s="1"/>
  <c r="AY214" i="28"/>
  <c r="BF214" i="28" s="1"/>
  <c r="AX214" i="28"/>
  <c r="BE214" i="28" s="1"/>
  <c r="AW214" i="28"/>
  <c r="BD214" i="28" s="1"/>
  <c r="AV214" i="28"/>
  <c r="BC214" i="28" s="1"/>
  <c r="AU214" i="28"/>
  <c r="BB214" i="28" s="1"/>
  <c r="AT214" i="28"/>
  <c r="BA214" i="28" s="1"/>
  <c r="AY213" i="28"/>
  <c r="BF213" i="28" s="1"/>
  <c r="AX213" i="28"/>
  <c r="BE213" i="28" s="1"/>
  <c r="AW213" i="28"/>
  <c r="BD213" i="28" s="1"/>
  <c r="AV213" i="28"/>
  <c r="BC213" i="28" s="1"/>
  <c r="AU213" i="28"/>
  <c r="BB213" i="28" s="1"/>
  <c r="AT213" i="28"/>
  <c r="BA213" i="28" s="1"/>
  <c r="AY212" i="28"/>
  <c r="BF212" i="28" s="1"/>
  <c r="AX212" i="28"/>
  <c r="BE212" i="28" s="1"/>
  <c r="AW212" i="28"/>
  <c r="BD212" i="28" s="1"/>
  <c r="AV212" i="28"/>
  <c r="BC212" i="28" s="1"/>
  <c r="AU212" i="28"/>
  <c r="BB212" i="28" s="1"/>
  <c r="AT212" i="28"/>
  <c r="BA212" i="28" s="1"/>
  <c r="AY211" i="28"/>
  <c r="BF211" i="28" s="1"/>
  <c r="AX211" i="28"/>
  <c r="BE211" i="28" s="1"/>
  <c r="AW211" i="28"/>
  <c r="BD211" i="28" s="1"/>
  <c r="AV211" i="28"/>
  <c r="BC211" i="28" s="1"/>
  <c r="AU211" i="28"/>
  <c r="BB211" i="28" s="1"/>
  <c r="AT211" i="28"/>
  <c r="BA211" i="28" s="1"/>
  <c r="AY210" i="28"/>
  <c r="BF210" i="28" s="1"/>
  <c r="AX210" i="28"/>
  <c r="BE210" i="28" s="1"/>
  <c r="AW210" i="28"/>
  <c r="BD210" i="28" s="1"/>
  <c r="AV210" i="28"/>
  <c r="BC210" i="28" s="1"/>
  <c r="AU210" i="28"/>
  <c r="BB210" i="28" s="1"/>
  <c r="AT210" i="28"/>
  <c r="BA210" i="28" s="1"/>
  <c r="AY209" i="28"/>
  <c r="BF209" i="28" s="1"/>
  <c r="AX209" i="28"/>
  <c r="BE209" i="28" s="1"/>
  <c r="AW209" i="28"/>
  <c r="BD209" i="28" s="1"/>
  <c r="AV209" i="28"/>
  <c r="BC209" i="28" s="1"/>
  <c r="AU209" i="28"/>
  <c r="BB209" i="28" s="1"/>
  <c r="AT209" i="28"/>
  <c r="BA209" i="28" s="1"/>
  <c r="AX208" i="28"/>
  <c r="BE208" i="28" s="1"/>
  <c r="AW208" i="28"/>
  <c r="BD208" i="28" s="1"/>
  <c r="AV208" i="28"/>
  <c r="BC208" i="28" s="1"/>
  <c r="AU208" i="28"/>
  <c r="BB208" i="28" s="1"/>
  <c r="AT208" i="28"/>
  <c r="BA208" i="28" s="1"/>
  <c r="AX207" i="28"/>
  <c r="BE207" i="28" s="1"/>
  <c r="AW207" i="28"/>
  <c r="BD207" i="28" s="1"/>
  <c r="AV207" i="28"/>
  <c r="BC207" i="28" s="1"/>
  <c r="AU207" i="28"/>
  <c r="BB207" i="28" s="1"/>
  <c r="AT207" i="28"/>
  <c r="BA207" i="28" s="1"/>
  <c r="AY206" i="28"/>
  <c r="BF206" i="28" s="1"/>
  <c r="AX206" i="28"/>
  <c r="BE206" i="28" s="1"/>
  <c r="AW206" i="28"/>
  <c r="BD206" i="28" s="1"/>
  <c r="AV206" i="28"/>
  <c r="BC206" i="28" s="1"/>
  <c r="AU206" i="28"/>
  <c r="BB206" i="28" s="1"/>
  <c r="AT206" i="28"/>
  <c r="BA206" i="28" s="1"/>
  <c r="AY205" i="28"/>
  <c r="BF205" i="28" s="1"/>
  <c r="AX205" i="28"/>
  <c r="BE205" i="28" s="1"/>
  <c r="AW205" i="28"/>
  <c r="BD205" i="28" s="1"/>
  <c r="AV205" i="28"/>
  <c r="BC205" i="28" s="1"/>
  <c r="AU205" i="28"/>
  <c r="BB205" i="28" s="1"/>
  <c r="AT205" i="28"/>
  <c r="BA205" i="28" s="1"/>
  <c r="AY204" i="28"/>
  <c r="BF204" i="28" s="1"/>
  <c r="AX204" i="28"/>
  <c r="BE204" i="28" s="1"/>
  <c r="AW204" i="28"/>
  <c r="BD204" i="28" s="1"/>
  <c r="AV204" i="28"/>
  <c r="BC204" i="28" s="1"/>
  <c r="AU204" i="28"/>
  <c r="BB204" i="28" s="1"/>
  <c r="AT204" i="28"/>
  <c r="BA204" i="28" s="1"/>
  <c r="AY203" i="28"/>
  <c r="BF203" i="28" s="1"/>
  <c r="AX203" i="28"/>
  <c r="BE203" i="28" s="1"/>
  <c r="AW203" i="28"/>
  <c r="BD203" i="28" s="1"/>
  <c r="AV203" i="28"/>
  <c r="BC203" i="28" s="1"/>
  <c r="AU203" i="28"/>
  <c r="BB203" i="28" s="1"/>
  <c r="AT203" i="28"/>
  <c r="BA203" i="28" s="1"/>
  <c r="AY202" i="28"/>
  <c r="BF202" i="28" s="1"/>
  <c r="AX202" i="28"/>
  <c r="BE202" i="28" s="1"/>
  <c r="AW202" i="28"/>
  <c r="BD202" i="28" s="1"/>
  <c r="AV202" i="28"/>
  <c r="BC202" i="28" s="1"/>
  <c r="AU202" i="28"/>
  <c r="BB202" i="28" s="1"/>
  <c r="AT202" i="28"/>
  <c r="BA202" i="28" s="1"/>
  <c r="AY201" i="28"/>
  <c r="BF201" i="28" s="1"/>
  <c r="AX201" i="28"/>
  <c r="BE201" i="28" s="1"/>
  <c r="AW201" i="28"/>
  <c r="BD201" i="28" s="1"/>
  <c r="AV201" i="28"/>
  <c r="BC201" i="28" s="1"/>
  <c r="AU201" i="28"/>
  <c r="BB201" i="28" s="1"/>
  <c r="AT201" i="28"/>
  <c r="BA201" i="28" s="1"/>
  <c r="AX200" i="28"/>
  <c r="BE200" i="28" s="1"/>
  <c r="AW200" i="28"/>
  <c r="BD200" i="28" s="1"/>
  <c r="AV200" i="28"/>
  <c r="BC200" i="28" s="1"/>
  <c r="AU200" i="28"/>
  <c r="BB200" i="28" s="1"/>
  <c r="AT200" i="28"/>
  <c r="BA200" i="28" s="1"/>
  <c r="AX199" i="28"/>
  <c r="BE199" i="28" s="1"/>
  <c r="AW199" i="28"/>
  <c r="BD199" i="28" s="1"/>
  <c r="AV199" i="28"/>
  <c r="BC199" i="28" s="1"/>
  <c r="AU199" i="28"/>
  <c r="BB199" i="28" s="1"/>
  <c r="AT199" i="28"/>
  <c r="BA199" i="28" s="1"/>
  <c r="AY198" i="28"/>
  <c r="BF198" i="28" s="1"/>
  <c r="AX198" i="28"/>
  <c r="BE198" i="28" s="1"/>
  <c r="AW198" i="28"/>
  <c r="BD198" i="28" s="1"/>
  <c r="AV198" i="28"/>
  <c r="BC198" i="28" s="1"/>
  <c r="AU198" i="28"/>
  <c r="BB198" i="28" s="1"/>
  <c r="AT198" i="28"/>
  <c r="BA198" i="28" s="1"/>
  <c r="AY197" i="28"/>
  <c r="BF197" i="28" s="1"/>
  <c r="AX197" i="28"/>
  <c r="BE197" i="28" s="1"/>
  <c r="AW197" i="28"/>
  <c r="BD197" i="28" s="1"/>
  <c r="AV197" i="28"/>
  <c r="BC197" i="28" s="1"/>
  <c r="AU197" i="28"/>
  <c r="BB197" i="28" s="1"/>
  <c r="AT197" i="28"/>
  <c r="BA197" i="28" s="1"/>
  <c r="AY196" i="28"/>
  <c r="BF196" i="28" s="1"/>
  <c r="AX196" i="28"/>
  <c r="BE196" i="28" s="1"/>
  <c r="AW196" i="28"/>
  <c r="BD196" i="28" s="1"/>
  <c r="AV196" i="28"/>
  <c r="BC196" i="28" s="1"/>
  <c r="AU196" i="28"/>
  <c r="BB196" i="28" s="1"/>
  <c r="AT196" i="28"/>
  <c r="BA196" i="28" s="1"/>
  <c r="AY195" i="28"/>
  <c r="BF195" i="28" s="1"/>
  <c r="AX195" i="28"/>
  <c r="BE195" i="28" s="1"/>
  <c r="AW195" i="28"/>
  <c r="BD195" i="28" s="1"/>
  <c r="AV195" i="28"/>
  <c r="BC195" i="28" s="1"/>
  <c r="AU195" i="28"/>
  <c r="BB195" i="28" s="1"/>
  <c r="AT195" i="28"/>
  <c r="BA195" i="28" s="1"/>
  <c r="AY194" i="28"/>
  <c r="BF194" i="28" s="1"/>
  <c r="AX194" i="28"/>
  <c r="BE194" i="28" s="1"/>
  <c r="AW194" i="28"/>
  <c r="BD194" i="28" s="1"/>
  <c r="AV194" i="28"/>
  <c r="BC194" i="28" s="1"/>
  <c r="AU194" i="28"/>
  <c r="BB194" i="28" s="1"/>
  <c r="AT194" i="28"/>
  <c r="BA194" i="28" s="1"/>
  <c r="AY193" i="28"/>
  <c r="BF193" i="28" s="1"/>
  <c r="AX193" i="28"/>
  <c r="BE193" i="28" s="1"/>
  <c r="AW193" i="28"/>
  <c r="BD193" i="28" s="1"/>
  <c r="AV193" i="28"/>
  <c r="BC193" i="28" s="1"/>
  <c r="AU193" i="28"/>
  <c r="BB193" i="28" s="1"/>
  <c r="AT193" i="28"/>
  <c r="BA193" i="28" s="1"/>
  <c r="AX192" i="28"/>
  <c r="BE192" i="28" s="1"/>
  <c r="AW192" i="28"/>
  <c r="BD192" i="28" s="1"/>
  <c r="AV192" i="28"/>
  <c r="BC192" i="28" s="1"/>
  <c r="AU192" i="28"/>
  <c r="BB192" i="28" s="1"/>
  <c r="AT192" i="28"/>
  <c r="BA192" i="28" s="1"/>
  <c r="AY191" i="28"/>
  <c r="BF191" i="28" s="1"/>
  <c r="AX191" i="28"/>
  <c r="BE191" i="28" s="1"/>
  <c r="AW191" i="28"/>
  <c r="BD191" i="28" s="1"/>
  <c r="AV191" i="28"/>
  <c r="BC191" i="28" s="1"/>
  <c r="AU191" i="28"/>
  <c r="BB191" i="28" s="1"/>
  <c r="AT191" i="28"/>
  <c r="BA191" i="28" s="1"/>
  <c r="AY190" i="28"/>
  <c r="BF190" i="28" s="1"/>
  <c r="AX190" i="28"/>
  <c r="BE190" i="28" s="1"/>
  <c r="AW190" i="28"/>
  <c r="BD190" i="28" s="1"/>
  <c r="AV190" i="28"/>
  <c r="BC190" i="28" s="1"/>
  <c r="AU190" i="28"/>
  <c r="BB190" i="28" s="1"/>
  <c r="AT190" i="28"/>
  <c r="BA190" i="28" s="1"/>
  <c r="AY189" i="28"/>
  <c r="BF189" i="28" s="1"/>
  <c r="AX189" i="28"/>
  <c r="BE189" i="28" s="1"/>
  <c r="AW189" i="28"/>
  <c r="BD189" i="28" s="1"/>
  <c r="AV189" i="28"/>
  <c r="BC189" i="28" s="1"/>
  <c r="AU189" i="28"/>
  <c r="BB189" i="28" s="1"/>
  <c r="AT189" i="28"/>
  <c r="BA189" i="28" s="1"/>
  <c r="AY188" i="28"/>
  <c r="BF188" i="28" s="1"/>
  <c r="AX188" i="28"/>
  <c r="BE188" i="28" s="1"/>
  <c r="AW188" i="28"/>
  <c r="BD188" i="28" s="1"/>
  <c r="AV188" i="28"/>
  <c r="BC188" i="28" s="1"/>
  <c r="AU188" i="28"/>
  <c r="BB188" i="28" s="1"/>
  <c r="AT188" i="28"/>
  <c r="BA188" i="28" s="1"/>
  <c r="AY187" i="28"/>
  <c r="BF187" i="28" s="1"/>
  <c r="AX187" i="28"/>
  <c r="BE187" i="28" s="1"/>
  <c r="AW187" i="28"/>
  <c r="BD187" i="28" s="1"/>
  <c r="AV187" i="28"/>
  <c r="BC187" i="28" s="1"/>
  <c r="AU187" i="28"/>
  <c r="BB187" i="28" s="1"/>
  <c r="AT187" i="28"/>
  <c r="BA187" i="28" s="1"/>
  <c r="AY186" i="28"/>
  <c r="BF186" i="28" s="1"/>
  <c r="AX186" i="28"/>
  <c r="BE186" i="28" s="1"/>
  <c r="AW186" i="28"/>
  <c r="BD186" i="28" s="1"/>
  <c r="AV186" i="28"/>
  <c r="BC186" i="28" s="1"/>
  <c r="AU186" i="28"/>
  <c r="BB186" i="28" s="1"/>
  <c r="AT186" i="28"/>
  <c r="BA186" i="28" s="1"/>
  <c r="AY185" i="28"/>
  <c r="BF185" i="28" s="1"/>
  <c r="AX185" i="28"/>
  <c r="BE185" i="28" s="1"/>
  <c r="AW185" i="28"/>
  <c r="BD185" i="28" s="1"/>
  <c r="AV185" i="28"/>
  <c r="BC185" i="28" s="1"/>
  <c r="AU185" i="28"/>
  <c r="BB185" i="28" s="1"/>
  <c r="AT185" i="28"/>
  <c r="BA185" i="28" s="1"/>
  <c r="AX184" i="28"/>
  <c r="BE184" i="28" s="1"/>
  <c r="AW184" i="28"/>
  <c r="BD184" i="28" s="1"/>
  <c r="AV184" i="28"/>
  <c r="BC184" i="28" s="1"/>
  <c r="AU184" i="28"/>
  <c r="BB184" i="28" s="1"/>
  <c r="AT184" i="28"/>
  <c r="BA184" i="28" s="1"/>
  <c r="AX183" i="28"/>
  <c r="BE183" i="28" s="1"/>
  <c r="AW183" i="28"/>
  <c r="BD183" i="28" s="1"/>
  <c r="AV183" i="28"/>
  <c r="BC183" i="28" s="1"/>
  <c r="AU183" i="28"/>
  <c r="BB183" i="28" s="1"/>
  <c r="AT183" i="28"/>
  <c r="BA183" i="28" s="1"/>
  <c r="AY182" i="28"/>
  <c r="BF182" i="28" s="1"/>
  <c r="AX182" i="28"/>
  <c r="BE182" i="28" s="1"/>
  <c r="AW182" i="28"/>
  <c r="BD182" i="28" s="1"/>
  <c r="AV182" i="28"/>
  <c r="BC182" i="28" s="1"/>
  <c r="AU182" i="28"/>
  <c r="BB182" i="28" s="1"/>
  <c r="AT182" i="28"/>
  <c r="BA182" i="28" s="1"/>
  <c r="AY181" i="28"/>
  <c r="BF181" i="28" s="1"/>
  <c r="AX181" i="28"/>
  <c r="BE181" i="28" s="1"/>
  <c r="AW181" i="28"/>
  <c r="BD181" i="28" s="1"/>
  <c r="AV181" i="28"/>
  <c r="BC181" i="28" s="1"/>
  <c r="AU181" i="28"/>
  <c r="BB181" i="28" s="1"/>
  <c r="AT181" i="28"/>
  <c r="BA181" i="28" s="1"/>
  <c r="AY180" i="28"/>
  <c r="BF180" i="28" s="1"/>
  <c r="AX180" i="28"/>
  <c r="BE180" i="28" s="1"/>
  <c r="AW180" i="28"/>
  <c r="BD180" i="28" s="1"/>
  <c r="AV180" i="28"/>
  <c r="BC180" i="28" s="1"/>
  <c r="AU180" i="28"/>
  <c r="BB180" i="28" s="1"/>
  <c r="AT180" i="28"/>
  <c r="BA180" i="28" s="1"/>
  <c r="AY179" i="28"/>
  <c r="BF179" i="28" s="1"/>
  <c r="AX179" i="28"/>
  <c r="BE179" i="28" s="1"/>
  <c r="AW179" i="28"/>
  <c r="BD179" i="28" s="1"/>
  <c r="AV179" i="28"/>
  <c r="BC179" i="28" s="1"/>
  <c r="AU179" i="28"/>
  <c r="BB179" i="28" s="1"/>
  <c r="AT179" i="28"/>
  <c r="BA179" i="28" s="1"/>
  <c r="AY178" i="28"/>
  <c r="BF178" i="28" s="1"/>
  <c r="AX178" i="28"/>
  <c r="BE178" i="28" s="1"/>
  <c r="AW178" i="28"/>
  <c r="BD178" i="28" s="1"/>
  <c r="AV178" i="28"/>
  <c r="BC178" i="28" s="1"/>
  <c r="AU178" i="28"/>
  <c r="BB178" i="28" s="1"/>
  <c r="AT178" i="28"/>
  <c r="BA178" i="28" s="1"/>
  <c r="AY177" i="28"/>
  <c r="BF177" i="28" s="1"/>
  <c r="AX177" i="28"/>
  <c r="BE177" i="28" s="1"/>
  <c r="AW177" i="28"/>
  <c r="BD177" i="28" s="1"/>
  <c r="AV177" i="28"/>
  <c r="BC177" i="28" s="1"/>
  <c r="AU177" i="28"/>
  <c r="BB177" i="28" s="1"/>
  <c r="AT177" i="28"/>
  <c r="BA177" i="28" s="1"/>
  <c r="AX176" i="28"/>
  <c r="BE176" i="28" s="1"/>
  <c r="AW176" i="28"/>
  <c r="BD176" i="28" s="1"/>
  <c r="AV176" i="28"/>
  <c r="BC176" i="28" s="1"/>
  <c r="AU176" i="28"/>
  <c r="BB176" i="28" s="1"/>
  <c r="AT176" i="28"/>
  <c r="BA176" i="28" s="1"/>
  <c r="AX175" i="28"/>
  <c r="BE175" i="28" s="1"/>
  <c r="AW175" i="28"/>
  <c r="BD175" i="28" s="1"/>
  <c r="AV175" i="28"/>
  <c r="BC175" i="28" s="1"/>
  <c r="AU175" i="28"/>
  <c r="BB175" i="28" s="1"/>
  <c r="AT175" i="28"/>
  <c r="BA175" i="28" s="1"/>
  <c r="AY174" i="28"/>
  <c r="BF174" i="28" s="1"/>
  <c r="AX174" i="28"/>
  <c r="BE174" i="28" s="1"/>
  <c r="AW174" i="28"/>
  <c r="BD174" i="28" s="1"/>
  <c r="AV174" i="28"/>
  <c r="BC174" i="28" s="1"/>
  <c r="AU174" i="28"/>
  <c r="BB174" i="28" s="1"/>
  <c r="AT174" i="28"/>
  <c r="BA174" i="28" s="1"/>
  <c r="AY173" i="28"/>
  <c r="BF173" i="28" s="1"/>
  <c r="AX173" i="28"/>
  <c r="BE173" i="28" s="1"/>
  <c r="AW173" i="28"/>
  <c r="BD173" i="28" s="1"/>
  <c r="AV173" i="28"/>
  <c r="BC173" i="28" s="1"/>
  <c r="AU173" i="28"/>
  <c r="BB173" i="28" s="1"/>
  <c r="AT173" i="28"/>
  <c r="BA173" i="28" s="1"/>
  <c r="AY172" i="28"/>
  <c r="BF172" i="28" s="1"/>
  <c r="AX172" i="28"/>
  <c r="BE172" i="28" s="1"/>
  <c r="AW172" i="28"/>
  <c r="BD172" i="28" s="1"/>
  <c r="AV172" i="28"/>
  <c r="BC172" i="28" s="1"/>
  <c r="AU172" i="28"/>
  <c r="BB172" i="28" s="1"/>
  <c r="AT172" i="28"/>
  <c r="BA172" i="28" s="1"/>
  <c r="AY171" i="28"/>
  <c r="BF171" i="28" s="1"/>
  <c r="AX171" i="28"/>
  <c r="BE171" i="28" s="1"/>
  <c r="AW171" i="28"/>
  <c r="BD171" i="28" s="1"/>
  <c r="AV171" i="28"/>
  <c r="BC171" i="28" s="1"/>
  <c r="AU171" i="28"/>
  <c r="BB171" i="28" s="1"/>
  <c r="AT171" i="28"/>
  <c r="BA171" i="28" s="1"/>
  <c r="AY170" i="28"/>
  <c r="BF170" i="28" s="1"/>
  <c r="AX170" i="28"/>
  <c r="BE170" i="28" s="1"/>
  <c r="AW170" i="28"/>
  <c r="BD170" i="28" s="1"/>
  <c r="AV170" i="28"/>
  <c r="BC170" i="28" s="1"/>
  <c r="AU170" i="28"/>
  <c r="BB170" i="28" s="1"/>
  <c r="AT170" i="28"/>
  <c r="BA170" i="28" s="1"/>
  <c r="AY169" i="28"/>
  <c r="BF169" i="28" s="1"/>
  <c r="AX169" i="28"/>
  <c r="BE169" i="28" s="1"/>
  <c r="AW169" i="28"/>
  <c r="BD169" i="28" s="1"/>
  <c r="AV169" i="28"/>
  <c r="BC169" i="28" s="1"/>
  <c r="AU169" i="28"/>
  <c r="BB169" i="28" s="1"/>
  <c r="AT169" i="28"/>
  <c r="BA169" i="28" s="1"/>
  <c r="AX168" i="28"/>
  <c r="BE168" i="28" s="1"/>
  <c r="AW168" i="28"/>
  <c r="BD168" i="28" s="1"/>
  <c r="AV168" i="28"/>
  <c r="BC168" i="28" s="1"/>
  <c r="AU168" i="28"/>
  <c r="BB168" i="28" s="1"/>
  <c r="AT168" i="28"/>
  <c r="BA168" i="28" s="1"/>
  <c r="AX167" i="28"/>
  <c r="BE167" i="28" s="1"/>
  <c r="AW167" i="28"/>
  <c r="BD167" i="28" s="1"/>
  <c r="AV167" i="28"/>
  <c r="BC167" i="28" s="1"/>
  <c r="AU167" i="28"/>
  <c r="BB167" i="28" s="1"/>
  <c r="AT167" i="28"/>
  <c r="BA167" i="28" s="1"/>
  <c r="AY166" i="28"/>
  <c r="BF166" i="28" s="1"/>
  <c r="AX166" i="28"/>
  <c r="BE166" i="28" s="1"/>
  <c r="AW166" i="28"/>
  <c r="BD166" i="28" s="1"/>
  <c r="AV166" i="28"/>
  <c r="BC166" i="28" s="1"/>
  <c r="AU166" i="28"/>
  <c r="BB166" i="28" s="1"/>
  <c r="AT166" i="28"/>
  <c r="BA166" i="28" s="1"/>
  <c r="AY165" i="28"/>
  <c r="BF165" i="28" s="1"/>
  <c r="AX165" i="28"/>
  <c r="BE165" i="28" s="1"/>
  <c r="AW165" i="28"/>
  <c r="BD165" i="28" s="1"/>
  <c r="AV165" i="28"/>
  <c r="BC165" i="28" s="1"/>
  <c r="AU165" i="28"/>
  <c r="BB165" i="28" s="1"/>
  <c r="AT165" i="28"/>
  <c r="BA165" i="28" s="1"/>
  <c r="AY164" i="28"/>
  <c r="BF164" i="28" s="1"/>
  <c r="AX164" i="28"/>
  <c r="BE164" i="28" s="1"/>
  <c r="AW164" i="28"/>
  <c r="BD164" i="28" s="1"/>
  <c r="AV164" i="28"/>
  <c r="BC164" i="28" s="1"/>
  <c r="AU164" i="28"/>
  <c r="BB164" i="28" s="1"/>
  <c r="AT164" i="28"/>
  <c r="BA164" i="28" s="1"/>
  <c r="AY163" i="28"/>
  <c r="BF163" i="28" s="1"/>
  <c r="AX163" i="28"/>
  <c r="BE163" i="28" s="1"/>
  <c r="AW163" i="28"/>
  <c r="BD163" i="28" s="1"/>
  <c r="AV163" i="28"/>
  <c r="BC163" i="28" s="1"/>
  <c r="AU163" i="28"/>
  <c r="BB163" i="28" s="1"/>
  <c r="AT163" i="28"/>
  <c r="BA163" i="28" s="1"/>
  <c r="AY162" i="28"/>
  <c r="BF162" i="28" s="1"/>
  <c r="AX162" i="28"/>
  <c r="BE162" i="28" s="1"/>
  <c r="AW162" i="28"/>
  <c r="BD162" i="28" s="1"/>
  <c r="AV162" i="28"/>
  <c r="BC162" i="28" s="1"/>
  <c r="AU162" i="28"/>
  <c r="BB162" i="28" s="1"/>
  <c r="AT162" i="28"/>
  <c r="BA162" i="28" s="1"/>
  <c r="AY161" i="28"/>
  <c r="BF161" i="28" s="1"/>
  <c r="AX161" i="28"/>
  <c r="BE161" i="28" s="1"/>
  <c r="AW161" i="28"/>
  <c r="BD161" i="28" s="1"/>
  <c r="AV161" i="28"/>
  <c r="BC161" i="28" s="1"/>
  <c r="AU161" i="28"/>
  <c r="BB161" i="28" s="1"/>
  <c r="AT161" i="28"/>
  <c r="BA161" i="28" s="1"/>
  <c r="AX160" i="28"/>
  <c r="BE160" i="28" s="1"/>
  <c r="AW160" i="28"/>
  <c r="BD160" i="28" s="1"/>
  <c r="AV160" i="28"/>
  <c r="BC160" i="28" s="1"/>
  <c r="AU160" i="28"/>
  <c r="BB160" i="28" s="1"/>
  <c r="AT160" i="28"/>
  <c r="BA160" i="28" s="1"/>
  <c r="AY159" i="28"/>
  <c r="BF159" i="28" s="1"/>
  <c r="AX159" i="28"/>
  <c r="BE159" i="28" s="1"/>
  <c r="AW159" i="28"/>
  <c r="BD159" i="28" s="1"/>
  <c r="AV159" i="28"/>
  <c r="BC159" i="28" s="1"/>
  <c r="AU159" i="28"/>
  <c r="BB159" i="28" s="1"/>
  <c r="AT159" i="28"/>
  <c r="BA159" i="28" s="1"/>
  <c r="AY158" i="28"/>
  <c r="BF158" i="28" s="1"/>
  <c r="AX158" i="28"/>
  <c r="BE158" i="28" s="1"/>
  <c r="AW158" i="28"/>
  <c r="BD158" i="28" s="1"/>
  <c r="AV158" i="28"/>
  <c r="BC158" i="28" s="1"/>
  <c r="AU158" i="28"/>
  <c r="BB158" i="28" s="1"/>
  <c r="AT158" i="28"/>
  <c r="BA158" i="28" s="1"/>
  <c r="AY157" i="28"/>
  <c r="BF157" i="28" s="1"/>
  <c r="AX157" i="28"/>
  <c r="BE157" i="28" s="1"/>
  <c r="AW157" i="28"/>
  <c r="BD157" i="28" s="1"/>
  <c r="AV157" i="28"/>
  <c r="BC157" i="28" s="1"/>
  <c r="AU157" i="28"/>
  <c r="BB157" i="28" s="1"/>
  <c r="AT157" i="28"/>
  <c r="BA157" i="28" s="1"/>
  <c r="AY156" i="28"/>
  <c r="BF156" i="28" s="1"/>
  <c r="AX156" i="28"/>
  <c r="BE156" i="28" s="1"/>
  <c r="AW156" i="28"/>
  <c r="BD156" i="28" s="1"/>
  <c r="AV156" i="28"/>
  <c r="BC156" i="28" s="1"/>
  <c r="AU156" i="28"/>
  <c r="BB156" i="28" s="1"/>
  <c r="AT156" i="28"/>
  <c r="BA156" i="28" s="1"/>
  <c r="AY155" i="28"/>
  <c r="BF155" i="28" s="1"/>
  <c r="AX155" i="28"/>
  <c r="BE155" i="28" s="1"/>
  <c r="AW155" i="28"/>
  <c r="BD155" i="28" s="1"/>
  <c r="AV155" i="28"/>
  <c r="BC155" i="28" s="1"/>
  <c r="AU155" i="28"/>
  <c r="BB155" i="28" s="1"/>
  <c r="AT155" i="28"/>
  <c r="BA155" i="28" s="1"/>
  <c r="AY154" i="28"/>
  <c r="BF154" i="28" s="1"/>
  <c r="AX154" i="28"/>
  <c r="BE154" i="28" s="1"/>
  <c r="AW154" i="28"/>
  <c r="BD154" i="28" s="1"/>
  <c r="AV154" i="28"/>
  <c r="BC154" i="28" s="1"/>
  <c r="AU154" i="28"/>
  <c r="BB154" i="28" s="1"/>
  <c r="AT154" i="28"/>
  <c r="BA154" i="28" s="1"/>
  <c r="AY153" i="28"/>
  <c r="BF153" i="28" s="1"/>
  <c r="AX153" i="28"/>
  <c r="BE153" i="28" s="1"/>
  <c r="AW153" i="28"/>
  <c r="BD153" i="28" s="1"/>
  <c r="AV153" i="28"/>
  <c r="BC153" i="28" s="1"/>
  <c r="AU153" i="28"/>
  <c r="BB153" i="28" s="1"/>
  <c r="AT153" i="28"/>
  <c r="BA153" i="28" s="1"/>
  <c r="AX152" i="28"/>
  <c r="BE152" i="28" s="1"/>
  <c r="AW152" i="28"/>
  <c r="BD152" i="28" s="1"/>
  <c r="AV152" i="28"/>
  <c r="BC152" i="28" s="1"/>
  <c r="AU152" i="28"/>
  <c r="BB152" i="28" s="1"/>
  <c r="AT152" i="28"/>
  <c r="BA152" i="28" s="1"/>
  <c r="AX151" i="28"/>
  <c r="BE151" i="28" s="1"/>
  <c r="AW151" i="28"/>
  <c r="BD151" i="28" s="1"/>
  <c r="AV151" i="28"/>
  <c r="BC151" i="28" s="1"/>
  <c r="AU151" i="28"/>
  <c r="BB151" i="28" s="1"/>
  <c r="AT151" i="28"/>
  <c r="BA151" i="28" s="1"/>
  <c r="AY150" i="28"/>
  <c r="BF150" i="28" s="1"/>
  <c r="AX150" i="28"/>
  <c r="BE150" i="28" s="1"/>
  <c r="AW150" i="28"/>
  <c r="BD150" i="28" s="1"/>
  <c r="AV150" i="28"/>
  <c r="BC150" i="28" s="1"/>
  <c r="AU150" i="28"/>
  <c r="BB150" i="28" s="1"/>
  <c r="AT150" i="28"/>
  <c r="BA150" i="28" s="1"/>
  <c r="AY149" i="28"/>
  <c r="BF149" i="28" s="1"/>
  <c r="AX149" i="28"/>
  <c r="BE149" i="28" s="1"/>
  <c r="AW149" i="28"/>
  <c r="BD149" i="28" s="1"/>
  <c r="AV149" i="28"/>
  <c r="BC149" i="28" s="1"/>
  <c r="AU149" i="28"/>
  <c r="BB149" i="28" s="1"/>
  <c r="AT149" i="28"/>
  <c r="BA149" i="28" s="1"/>
  <c r="AY148" i="28"/>
  <c r="BF148" i="28" s="1"/>
  <c r="AX148" i="28"/>
  <c r="BE148" i="28" s="1"/>
  <c r="AW148" i="28"/>
  <c r="BD148" i="28" s="1"/>
  <c r="AV148" i="28"/>
  <c r="BC148" i="28" s="1"/>
  <c r="AU148" i="28"/>
  <c r="BB148" i="28" s="1"/>
  <c r="AT148" i="28"/>
  <c r="BA148" i="28" s="1"/>
  <c r="AY147" i="28"/>
  <c r="BF147" i="28" s="1"/>
  <c r="AX147" i="28"/>
  <c r="BE147" i="28" s="1"/>
  <c r="AW147" i="28"/>
  <c r="BD147" i="28" s="1"/>
  <c r="AV147" i="28"/>
  <c r="BC147" i="28" s="1"/>
  <c r="AU147" i="28"/>
  <c r="BB147" i="28" s="1"/>
  <c r="AT147" i="28"/>
  <c r="BA147" i="28" s="1"/>
  <c r="AY146" i="28"/>
  <c r="BF146" i="28" s="1"/>
  <c r="AX146" i="28"/>
  <c r="BE146" i="28" s="1"/>
  <c r="AW146" i="28"/>
  <c r="BD146" i="28" s="1"/>
  <c r="AV146" i="28"/>
  <c r="BC146" i="28" s="1"/>
  <c r="AU146" i="28"/>
  <c r="BB146" i="28" s="1"/>
  <c r="AT146" i="28"/>
  <c r="BA146" i="28" s="1"/>
  <c r="AY145" i="28"/>
  <c r="BF145" i="28" s="1"/>
  <c r="AX145" i="28"/>
  <c r="BE145" i="28" s="1"/>
  <c r="AW145" i="28"/>
  <c r="BD145" i="28" s="1"/>
  <c r="AV145" i="28"/>
  <c r="BC145" i="28" s="1"/>
  <c r="AU145" i="28"/>
  <c r="BB145" i="28" s="1"/>
  <c r="AT145" i="28"/>
  <c r="BA145" i="28" s="1"/>
  <c r="AX144" i="28"/>
  <c r="BE144" i="28" s="1"/>
  <c r="AW144" i="28"/>
  <c r="BD144" i="28" s="1"/>
  <c r="AV144" i="28"/>
  <c r="BC144" i="28" s="1"/>
  <c r="AU144" i="28"/>
  <c r="BB144" i="28" s="1"/>
  <c r="AT144" i="28"/>
  <c r="BA144" i="28" s="1"/>
  <c r="AX143" i="28"/>
  <c r="BE143" i="28" s="1"/>
  <c r="AW143" i="28"/>
  <c r="BD143" i="28" s="1"/>
  <c r="AV143" i="28"/>
  <c r="BC143" i="28" s="1"/>
  <c r="AU143" i="28"/>
  <c r="BB143" i="28" s="1"/>
  <c r="AT143" i="28"/>
  <c r="BA143" i="28" s="1"/>
  <c r="AY142" i="28"/>
  <c r="BF142" i="28" s="1"/>
  <c r="AX142" i="28"/>
  <c r="BE142" i="28" s="1"/>
  <c r="AW142" i="28"/>
  <c r="BD142" i="28" s="1"/>
  <c r="AV142" i="28"/>
  <c r="BC142" i="28" s="1"/>
  <c r="AU142" i="28"/>
  <c r="BB142" i="28" s="1"/>
  <c r="AT142" i="28"/>
  <c r="BA142" i="28" s="1"/>
  <c r="AY141" i="28"/>
  <c r="BF141" i="28" s="1"/>
  <c r="AX141" i="28"/>
  <c r="BE141" i="28" s="1"/>
  <c r="AW141" i="28"/>
  <c r="BD141" i="28" s="1"/>
  <c r="AV141" i="28"/>
  <c r="BC141" i="28" s="1"/>
  <c r="AU141" i="28"/>
  <c r="BB141" i="28" s="1"/>
  <c r="AT141" i="28"/>
  <c r="BA141" i="28" s="1"/>
  <c r="AY140" i="28"/>
  <c r="BF140" i="28" s="1"/>
  <c r="AX140" i="28"/>
  <c r="BE140" i="28" s="1"/>
  <c r="AW140" i="28"/>
  <c r="BD140" i="28" s="1"/>
  <c r="AV140" i="28"/>
  <c r="BC140" i="28" s="1"/>
  <c r="AU140" i="28"/>
  <c r="BB140" i="28" s="1"/>
  <c r="AT140" i="28"/>
  <c r="BA140" i="28" s="1"/>
  <c r="AY139" i="28"/>
  <c r="BF139" i="28" s="1"/>
  <c r="AX139" i="28"/>
  <c r="BE139" i="28" s="1"/>
  <c r="AW139" i="28"/>
  <c r="BD139" i="28" s="1"/>
  <c r="AV139" i="28"/>
  <c r="BC139" i="28" s="1"/>
  <c r="AU139" i="28"/>
  <c r="BB139" i="28" s="1"/>
  <c r="AT139" i="28"/>
  <c r="BA139" i="28" s="1"/>
  <c r="AY138" i="28"/>
  <c r="BF138" i="28" s="1"/>
  <c r="AX138" i="28"/>
  <c r="BE138" i="28" s="1"/>
  <c r="AW138" i="28"/>
  <c r="BD138" i="28" s="1"/>
  <c r="AV138" i="28"/>
  <c r="BC138" i="28" s="1"/>
  <c r="AU138" i="28"/>
  <c r="BB138" i="28" s="1"/>
  <c r="AT138" i="28"/>
  <c r="BA138" i="28" s="1"/>
  <c r="AY137" i="28"/>
  <c r="BF137" i="28" s="1"/>
  <c r="AX137" i="28"/>
  <c r="BE137" i="28" s="1"/>
  <c r="AW137" i="28"/>
  <c r="BD137" i="28" s="1"/>
  <c r="AV137" i="28"/>
  <c r="BC137" i="28" s="1"/>
  <c r="AU137" i="28"/>
  <c r="BB137" i="28" s="1"/>
  <c r="AT137" i="28"/>
  <c r="BA137" i="28" s="1"/>
  <c r="AX136" i="28"/>
  <c r="BE136" i="28" s="1"/>
  <c r="AW136" i="28"/>
  <c r="BD136" i="28" s="1"/>
  <c r="AV136" i="28"/>
  <c r="BC136" i="28" s="1"/>
  <c r="AU136" i="28"/>
  <c r="BB136" i="28" s="1"/>
  <c r="AT136" i="28"/>
  <c r="BA136" i="28" s="1"/>
  <c r="AX135" i="28"/>
  <c r="BE135" i="28" s="1"/>
  <c r="AW135" i="28"/>
  <c r="BD135" i="28" s="1"/>
  <c r="AV135" i="28"/>
  <c r="BC135" i="28" s="1"/>
  <c r="AU135" i="28"/>
  <c r="BB135" i="28" s="1"/>
  <c r="AT135" i="28"/>
  <c r="BA135" i="28" s="1"/>
  <c r="AY134" i="28"/>
  <c r="BF134" i="28" s="1"/>
  <c r="AX134" i="28"/>
  <c r="BE134" i="28" s="1"/>
  <c r="AW134" i="28"/>
  <c r="BD134" i="28" s="1"/>
  <c r="AV134" i="28"/>
  <c r="BC134" i="28" s="1"/>
  <c r="AU134" i="28"/>
  <c r="BB134" i="28" s="1"/>
  <c r="AT134" i="28"/>
  <c r="BA134" i="28" s="1"/>
  <c r="AY133" i="28"/>
  <c r="BF133" i="28" s="1"/>
  <c r="AX133" i="28"/>
  <c r="BE133" i="28" s="1"/>
  <c r="AW133" i="28"/>
  <c r="BD133" i="28" s="1"/>
  <c r="AV133" i="28"/>
  <c r="BC133" i="28" s="1"/>
  <c r="AU133" i="28"/>
  <c r="BB133" i="28" s="1"/>
  <c r="AT133" i="28"/>
  <c r="BA133" i="28" s="1"/>
  <c r="AY132" i="28"/>
  <c r="BF132" i="28" s="1"/>
  <c r="AX132" i="28"/>
  <c r="BE132" i="28" s="1"/>
  <c r="AW132" i="28"/>
  <c r="BD132" i="28" s="1"/>
  <c r="AV132" i="28"/>
  <c r="BC132" i="28" s="1"/>
  <c r="AU132" i="28"/>
  <c r="BB132" i="28" s="1"/>
  <c r="AT132" i="28"/>
  <c r="BA132" i="28" s="1"/>
  <c r="AY131" i="28"/>
  <c r="BF131" i="28" s="1"/>
  <c r="AX131" i="28"/>
  <c r="BE131" i="28" s="1"/>
  <c r="AW131" i="28"/>
  <c r="BD131" i="28" s="1"/>
  <c r="AV131" i="28"/>
  <c r="BC131" i="28" s="1"/>
  <c r="AU131" i="28"/>
  <c r="BB131" i="28" s="1"/>
  <c r="AT131" i="28"/>
  <c r="BA131" i="28" s="1"/>
  <c r="AY130" i="28"/>
  <c r="BF130" i="28" s="1"/>
  <c r="AX130" i="28"/>
  <c r="BE130" i="28" s="1"/>
  <c r="AW130" i="28"/>
  <c r="BD130" i="28" s="1"/>
  <c r="AV130" i="28"/>
  <c r="BC130" i="28" s="1"/>
  <c r="AU130" i="28"/>
  <c r="BB130" i="28" s="1"/>
  <c r="AT130" i="28"/>
  <c r="BA130" i="28" s="1"/>
  <c r="AY129" i="28"/>
  <c r="BF129" i="28" s="1"/>
  <c r="AX129" i="28"/>
  <c r="BE129" i="28" s="1"/>
  <c r="AW129" i="28"/>
  <c r="BD129" i="28" s="1"/>
  <c r="AV129" i="28"/>
  <c r="BC129" i="28" s="1"/>
  <c r="AU129" i="28"/>
  <c r="BB129" i="28" s="1"/>
  <c r="AT129" i="28"/>
  <c r="BA129" i="28" s="1"/>
  <c r="AX128" i="28"/>
  <c r="BE128" i="28" s="1"/>
  <c r="AW128" i="28"/>
  <c r="BD128" i="28" s="1"/>
  <c r="AV128" i="28"/>
  <c r="BC128" i="28" s="1"/>
  <c r="AU128" i="28"/>
  <c r="BB128" i="28" s="1"/>
  <c r="AT128" i="28"/>
  <c r="BA128" i="28" s="1"/>
  <c r="AX127" i="28"/>
  <c r="BE127" i="28" s="1"/>
  <c r="AW127" i="28"/>
  <c r="BD127" i="28" s="1"/>
  <c r="AV127" i="28"/>
  <c r="BC127" i="28" s="1"/>
  <c r="AU127" i="28"/>
  <c r="BB127" i="28" s="1"/>
  <c r="AT127" i="28"/>
  <c r="BA127" i="28" s="1"/>
  <c r="AY126" i="28"/>
  <c r="BF126" i="28" s="1"/>
  <c r="AX126" i="28"/>
  <c r="BE126" i="28" s="1"/>
  <c r="AW126" i="28"/>
  <c r="BD126" i="28" s="1"/>
  <c r="AV126" i="28"/>
  <c r="BC126" i="28" s="1"/>
  <c r="AU126" i="28"/>
  <c r="BB126" i="28" s="1"/>
  <c r="AT126" i="28"/>
  <c r="BA126" i="28" s="1"/>
  <c r="AY125" i="28"/>
  <c r="BF125" i="28" s="1"/>
  <c r="AX125" i="28"/>
  <c r="BE125" i="28" s="1"/>
  <c r="AW125" i="28"/>
  <c r="BD125" i="28" s="1"/>
  <c r="AV125" i="28"/>
  <c r="BC125" i="28" s="1"/>
  <c r="AU125" i="28"/>
  <c r="BB125" i="28" s="1"/>
  <c r="AT125" i="28"/>
  <c r="BA125" i="28" s="1"/>
  <c r="AY124" i="28"/>
  <c r="BF124" i="28" s="1"/>
  <c r="AX124" i="28"/>
  <c r="BE124" i="28" s="1"/>
  <c r="AW124" i="28"/>
  <c r="BD124" i="28" s="1"/>
  <c r="AV124" i="28"/>
  <c r="BC124" i="28" s="1"/>
  <c r="AU124" i="28"/>
  <c r="BB124" i="28" s="1"/>
  <c r="AT124" i="28"/>
  <c r="BA124" i="28" s="1"/>
  <c r="AY123" i="28"/>
  <c r="BF123" i="28" s="1"/>
  <c r="AX123" i="28"/>
  <c r="BE123" i="28" s="1"/>
  <c r="AW123" i="28"/>
  <c r="BD123" i="28" s="1"/>
  <c r="AV123" i="28"/>
  <c r="BC123" i="28" s="1"/>
  <c r="AU123" i="28"/>
  <c r="BB123" i="28" s="1"/>
  <c r="AT123" i="28"/>
  <c r="BA123" i="28" s="1"/>
  <c r="AY122" i="28"/>
  <c r="BF122" i="28" s="1"/>
  <c r="AX122" i="28"/>
  <c r="BE122" i="28" s="1"/>
  <c r="AW122" i="28"/>
  <c r="BD122" i="28" s="1"/>
  <c r="AV122" i="28"/>
  <c r="BC122" i="28" s="1"/>
  <c r="AU122" i="28"/>
  <c r="BB122" i="28" s="1"/>
  <c r="AT122" i="28"/>
  <c r="BA122" i="28" s="1"/>
  <c r="AY121" i="28"/>
  <c r="BF121" i="28" s="1"/>
  <c r="AX121" i="28"/>
  <c r="BE121" i="28" s="1"/>
  <c r="AW121" i="28"/>
  <c r="BD121" i="28" s="1"/>
  <c r="AV121" i="28"/>
  <c r="BC121" i="28" s="1"/>
  <c r="AU121" i="28"/>
  <c r="BB121" i="28" s="1"/>
  <c r="AT121" i="28"/>
  <c r="BA121" i="28" s="1"/>
  <c r="AX120" i="28"/>
  <c r="BE120" i="28" s="1"/>
  <c r="AW120" i="28"/>
  <c r="BD120" i="28" s="1"/>
  <c r="AV120" i="28"/>
  <c r="BC120" i="28" s="1"/>
  <c r="AU120" i="28"/>
  <c r="BB120" i="28" s="1"/>
  <c r="AT120" i="28"/>
  <c r="BA120" i="28" s="1"/>
  <c r="AX119" i="28"/>
  <c r="BE119" i="28" s="1"/>
  <c r="AW119" i="28"/>
  <c r="BD119" i="28" s="1"/>
  <c r="AV119" i="28"/>
  <c r="BC119" i="28" s="1"/>
  <c r="AU119" i="28"/>
  <c r="BB119" i="28" s="1"/>
  <c r="AT119" i="28"/>
  <c r="BA119" i="28" s="1"/>
  <c r="AY118" i="28"/>
  <c r="BF118" i="28" s="1"/>
  <c r="AX118" i="28"/>
  <c r="BE118" i="28" s="1"/>
  <c r="AW118" i="28"/>
  <c r="BD118" i="28" s="1"/>
  <c r="AV118" i="28"/>
  <c r="BC118" i="28" s="1"/>
  <c r="AU118" i="28"/>
  <c r="BB118" i="28" s="1"/>
  <c r="AT118" i="28"/>
  <c r="BA118" i="28" s="1"/>
  <c r="AY117" i="28"/>
  <c r="BF117" i="28" s="1"/>
  <c r="AX117" i="28"/>
  <c r="BE117" i="28" s="1"/>
  <c r="AW117" i="28"/>
  <c r="BD117" i="28" s="1"/>
  <c r="AV117" i="28"/>
  <c r="BC117" i="28" s="1"/>
  <c r="AU117" i="28"/>
  <c r="BB117" i="28" s="1"/>
  <c r="AT117" i="28"/>
  <c r="BA117" i="28" s="1"/>
  <c r="AY116" i="28"/>
  <c r="BF116" i="28" s="1"/>
  <c r="AX116" i="28"/>
  <c r="BE116" i="28" s="1"/>
  <c r="AW116" i="28"/>
  <c r="BD116" i="28" s="1"/>
  <c r="AV116" i="28"/>
  <c r="BC116" i="28" s="1"/>
  <c r="AU116" i="28"/>
  <c r="BB116" i="28" s="1"/>
  <c r="AT116" i="28"/>
  <c r="BA116" i="28" s="1"/>
  <c r="AY115" i="28"/>
  <c r="BF115" i="28" s="1"/>
  <c r="AX115" i="28"/>
  <c r="BE115" i="28" s="1"/>
  <c r="AW115" i="28"/>
  <c r="BD115" i="28" s="1"/>
  <c r="AV115" i="28"/>
  <c r="BC115" i="28" s="1"/>
  <c r="AU115" i="28"/>
  <c r="BB115" i="28" s="1"/>
  <c r="AT115" i="28"/>
  <c r="BA115" i="28" s="1"/>
  <c r="AY114" i="28"/>
  <c r="BF114" i="28" s="1"/>
  <c r="AX114" i="28"/>
  <c r="BE114" i="28" s="1"/>
  <c r="AW114" i="28"/>
  <c r="BD114" i="28" s="1"/>
  <c r="AV114" i="28"/>
  <c r="BC114" i="28" s="1"/>
  <c r="AU114" i="28"/>
  <c r="BB114" i="28" s="1"/>
  <c r="AT114" i="28"/>
  <c r="BA114" i="28" s="1"/>
  <c r="AY113" i="28"/>
  <c r="BF113" i="28" s="1"/>
  <c r="AX113" i="28"/>
  <c r="BE113" i="28" s="1"/>
  <c r="AW113" i="28"/>
  <c r="BD113" i="28" s="1"/>
  <c r="AV113" i="28"/>
  <c r="BC113" i="28" s="1"/>
  <c r="AU113" i="28"/>
  <c r="BB113" i="28" s="1"/>
  <c r="AT113" i="28"/>
  <c r="BA113" i="28" s="1"/>
  <c r="AX112" i="28"/>
  <c r="BE112" i="28" s="1"/>
  <c r="AW112" i="28"/>
  <c r="BD112" i="28" s="1"/>
  <c r="AV112" i="28"/>
  <c r="BC112" i="28" s="1"/>
  <c r="AU112" i="28"/>
  <c r="BB112" i="28" s="1"/>
  <c r="AT112" i="28"/>
  <c r="BA112" i="28" s="1"/>
  <c r="AX111" i="28"/>
  <c r="BE111" i="28" s="1"/>
  <c r="AW111" i="28"/>
  <c r="BD111" i="28" s="1"/>
  <c r="AV111" i="28"/>
  <c r="BC111" i="28" s="1"/>
  <c r="AU111" i="28"/>
  <c r="BB111" i="28" s="1"/>
  <c r="AT111" i="28"/>
  <c r="BA111" i="28" s="1"/>
  <c r="AY110" i="28"/>
  <c r="BF110" i="28" s="1"/>
  <c r="AX110" i="28"/>
  <c r="BE110" i="28" s="1"/>
  <c r="AW110" i="28"/>
  <c r="BD110" i="28" s="1"/>
  <c r="AV110" i="28"/>
  <c r="BC110" i="28" s="1"/>
  <c r="AU110" i="28"/>
  <c r="BB110" i="28" s="1"/>
  <c r="AT110" i="28"/>
  <c r="BA110" i="28" s="1"/>
  <c r="AY109" i="28"/>
  <c r="BF109" i="28" s="1"/>
  <c r="AX109" i="28"/>
  <c r="BE109" i="28" s="1"/>
  <c r="AW109" i="28"/>
  <c r="BD109" i="28" s="1"/>
  <c r="AV109" i="28"/>
  <c r="BC109" i="28" s="1"/>
  <c r="AU109" i="28"/>
  <c r="BB109" i="28" s="1"/>
  <c r="AT109" i="28"/>
  <c r="BA109" i="28" s="1"/>
  <c r="AY108" i="28"/>
  <c r="BF108" i="28" s="1"/>
  <c r="AX108" i="28"/>
  <c r="BE108" i="28" s="1"/>
  <c r="AW108" i="28"/>
  <c r="BD108" i="28" s="1"/>
  <c r="AV108" i="28"/>
  <c r="BC108" i="28" s="1"/>
  <c r="AU108" i="28"/>
  <c r="BB108" i="28" s="1"/>
  <c r="AT108" i="28"/>
  <c r="BA108" i="28" s="1"/>
  <c r="AY107" i="28"/>
  <c r="BF107" i="28" s="1"/>
  <c r="AX107" i="28"/>
  <c r="BE107" i="28" s="1"/>
  <c r="AW107" i="28"/>
  <c r="BD107" i="28" s="1"/>
  <c r="AV107" i="28"/>
  <c r="BC107" i="28" s="1"/>
  <c r="AU107" i="28"/>
  <c r="BB107" i="28" s="1"/>
  <c r="AT107" i="28"/>
  <c r="BA107" i="28" s="1"/>
  <c r="AY106" i="28"/>
  <c r="BF106" i="28" s="1"/>
  <c r="AX106" i="28"/>
  <c r="BE106" i="28" s="1"/>
  <c r="AW106" i="28"/>
  <c r="BD106" i="28" s="1"/>
  <c r="AV106" i="28"/>
  <c r="BC106" i="28" s="1"/>
  <c r="AU106" i="28"/>
  <c r="BB106" i="28" s="1"/>
  <c r="AT106" i="28"/>
  <c r="BA106" i="28" s="1"/>
  <c r="AY105" i="28"/>
  <c r="BF105" i="28" s="1"/>
  <c r="AX105" i="28"/>
  <c r="BE105" i="28" s="1"/>
  <c r="AW105" i="28"/>
  <c r="BD105" i="28" s="1"/>
  <c r="AV105" i="28"/>
  <c r="BC105" i="28" s="1"/>
  <c r="AU105" i="28"/>
  <c r="BB105" i="28" s="1"/>
  <c r="AT105" i="28"/>
  <c r="BA105" i="28" s="1"/>
  <c r="AX104" i="28"/>
  <c r="BE104" i="28" s="1"/>
  <c r="AW104" i="28"/>
  <c r="BD104" i="28" s="1"/>
  <c r="AV104" i="28"/>
  <c r="BC104" i="28" s="1"/>
  <c r="AU104" i="28"/>
  <c r="BB104" i="28" s="1"/>
  <c r="AT104" i="28"/>
  <c r="BA104" i="28" s="1"/>
  <c r="AX103" i="28"/>
  <c r="BE103" i="28" s="1"/>
  <c r="AW103" i="28"/>
  <c r="BD103" i="28" s="1"/>
  <c r="AV103" i="28"/>
  <c r="BC103" i="28" s="1"/>
  <c r="AU103" i="28"/>
  <c r="BB103" i="28" s="1"/>
  <c r="AT103" i="28"/>
  <c r="BA103" i="28" s="1"/>
  <c r="AY102" i="28"/>
  <c r="BF102" i="28" s="1"/>
  <c r="AX102" i="28"/>
  <c r="BE102" i="28" s="1"/>
  <c r="AW102" i="28"/>
  <c r="BD102" i="28" s="1"/>
  <c r="AV102" i="28"/>
  <c r="BC102" i="28" s="1"/>
  <c r="AU102" i="28"/>
  <c r="BB102" i="28" s="1"/>
  <c r="AT102" i="28"/>
  <c r="BA102" i="28" s="1"/>
  <c r="AY101" i="28"/>
  <c r="BF101" i="28" s="1"/>
  <c r="AX101" i="28"/>
  <c r="BE101" i="28" s="1"/>
  <c r="AW101" i="28"/>
  <c r="BD101" i="28" s="1"/>
  <c r="AV101" i="28"/>
  <c r="BC101" i="28" s="1"/>
  <c r="AU101" i="28"/>
  <c r="BB101" i="28" s="1"/>
  <c r="AT101" i="28"/>
  <c r="BA101" i="28" s="1"/>
  <c r="AY100" i="28"/>
  <c r="BF100" i="28" s="1"/>
  <c r="AX100" i="28"/>
  <c r="BE100" i="28" s="1"/>
  <c r="AW100" i="28"/>
  <c r="BD100" i="28" s="1"/>
  <c r="AV100" i="28"/>
  <c r="BC100" i="28" s="1"/>
  <c r="AU100" i="28"/>
  <c r="BB100" i="28" s="1"/>
  <c r="AT100" i="28"/>
  <c r="BA100" i="28" s="1"/>
  <c r="AY99" i="28"/>
  <c r="BF99" i="28" s="1"/>
  <c r="AX99" i="28"/>
  <c r="BE99" i="28" s="1"/>
  <c r="AW99" i="28"/>
  <c r="BD99" i="28" s="1"/>
  <c r="AV99" i="28"/>
  <c r="BC99" i="28" s="1"/>
  <c r="AU99" i="28"/>
  <c r="BB99" i="28" s="1"/>
  <c r="AT99" i="28"/>
  <c r="BA99" i="28" s="1"/>
  <c r="AY98" i="28"/>
  <c r="BF98" i="28" s="1"/>
  <c r="AX98" i="28"/>
  <c r="BE98" i="28" s="1"/>
  <c r="AW98" i="28"/>
  <c r="BD98" i="28" s="1"/>
  <c r="AV98" i="28"/>
  <c r="BC98" i="28" s="1"/>
  <c r="AU98" i="28"/>
  <c r="BB98" i="28" s="1"/>
  <c r="AT98" i="28"/>
  <c r="BA98" i="28" s="1"/>
  <c r="AY97" i="28"/>
  <c r="BF97" i="28" s="1"/>
  <c r="AX97" i="28"/>
  <c r="BE97" i="28" s="1"/>
  <c r="AW97" i="28"/>
  <c r="BD97" i="28" s="1"/>
  <c r="AV97" i="28"/>
  <c r="BC97" i="28" s="1"/>
  <c r="AU97" i="28"/>
  <c r="BB97" i="28" s="1"/>
  <c r="AT97" i="28"/>
  <c r="BA97" i="28" s="1"/>
  <c r="AX96" i="28"/>
  <c r="BE96" i="28" s="1"/>
  <c r="AW96" i="28"/>
  <c r="BD96" i="28" s="1"/>
  <c r="AV96" i="28"/>
  <c r="BC96" i="28" s="1"/>
  <c r="AU96" i="28"/>
  <c r="BB96" i="28" s="1"/>
  <c r="AT96" i="28"/>
  <c r="BA96" i="28" s="1"/>
  <c r="AX95" i="28"/>
  <c r="BE95" i="28" s="1"/>
  <c r="AW95" i="28"/>
  <c r="BD95" i="28" s="1"/>
  <c r="AV95" i="28"/>
  <c r="BC95" i="28" s="1"/>
  <c r="AU95" i="28"/>
  <c r="BB95" i="28" s="1"/>
  <c r="AT95" i="28"/>
  <c r="BA95" i="28" s="1"/>
  <c r="AY94" i="28"/>
  <c r="BF94" i="28" s="1"/>
  <c r="AX94" i="28"/>
  <c r="BE94" i="28" s="1"/>
  <c r="AW94" i="28"/>
  <c r="BD94" i="28" s="1"/>
  <c r="AV94" i="28"/>
  <c r="BC94" i="28" s="1"/>
  <c r="AU94" i="28"/>
  <c r="BB94" i="28" s="1"/>
  <c r="AT94" i="28"/>
  <c r="BA94" i="28" s="1"/>
  <c r="AY93" i="28"/>
  <c r="BF93" i="28" s="1"/>
  <c r="AX93" i="28"/>
  <c r="BE93" i="28" s="1"/>
  <c r="AW93" i="28"/>
  <c r="BD93" i="28" s="1"/>
  <c r="AV93" i="28"/>
  <c r="BC93" i="28" s="1"/>
  <c r="AU93" i="28"/>
  <c r="BB93" i="28" s="1"/>
  <c r="AT93" i="28"/>
  <c r="BA93" i="28" s="1"/>
  <c r="AY92" i="28"/>
  <c r="BF92" i="28" s="1"/>
  <c r="AX92" i="28"/>
  <c r="BE92" i="28" s="1"/>
  <c r="AW92" i="28"/>
  <c r="BD92" i="28" s="1"/>
  <c r="AV92" i="28"/>
  <c r="BC92" i="28" s="1"/>
  <c r="AU92" i="28"/>
  <c r="BB92" i="28" s="1"/>
  <c r="AT92" i="28"/>
  <c r="BA92" i="28" s="1"/>
  <c r="AY91" i="28"/>
  <c r="BF91" i="28" s="1"/>
  <c r="AX91" i="28"/>
  <c r="BE91" i="28" s="1"/>
  <c r="AW91" i="28"/>
  <c r="BD91" i="28" s="1"/>
  <c r="AV91" i="28"/>
  <c r="BC91" i="28" s="1"/>
  <c r="AU91" i="28"/>
  <c r="BB91" i="28" s="1"/>
  <c r="AT91" i="28"/>
  <c r="BA91" i="28" s="1"/>
  <c r="AY90" i="28"/>
  <c r="BF90" i="28" s="1"/>
  <c r="AX90" i="28"/>
  <c r="BE90" i="28" s="1"/>
  <c r="AW90" i="28"/>
  <c r="BD90" i="28" s="1"/>
  <c r="AV90" i="28"/>
  <c r="BC90" i="28" s="1"/>
  <c r="AU90" i="28"/>
  <c r="BB90" i="28" s="1"/>
  <c r="AT90" i="28"/>
  <c r="BA90" i="28" s="1"/>
  <c r="AY89" i="28"/>
  <c r="BF89" i="28" s="1"/>
  <c r="AX89" i="28"/>
  <c r="BE89" i="28" s="1"/>
  <c r="AW89" i="28"/>
  <c r="BD89" i="28" s="1"/>
  <c r="AV89" i="28"/>
  <c r="BC89" i="28" s="1"/>
  <c r="AU89" i="28"/>
  <c r="BB89" i="28" s="1"/>
  <c r="AT89" i="28"/>
  <c r="BA89" i="28" s="1"/>
  <c r="AX88" i="28"/>
  <c r="BE88" i="28" s="1"/>
  <c r="AW88" i="28"/>
  <c r="BD88" i="28" s="1"/>
  <c r="AV88" i="28"/>
  <c r="BC88" i="28" s="1"/>
  <c r="AU88" i="28"/>
  <c r="BB88" i="28" s="1"/>
  <c r="AT88" i="28"/>
  <c r="BA88" i="28" s="1"/>
  <c r="AY87" i="28"/>
  <c r="BF87" i="28" s="1"/>
  <c r="AX87" i="28"/>
  <c r="BE87" i="28" s="1"/>
  <c r="AW87" i="28"/>
  <c r="BD87" i="28" s="1"/>
  <c r="AV87" i="28"/>
  <c r="BC87" i="28" s="1"/>
  <c r="AU87" i="28"/>
  <c r="BB87" i="28" s="1"/>
  <c r="AT87" i="28"/>
  <c r="BA87" i="28" s="1"/>
  <c r="AY86" i="28"/>
  <c r="BF86" i="28" s="1"/>
  <c r="AX86" i="28"/>
  <c r="BE86" i="28" s="1"/>
  <c r="AW86" i="28"/>
  <c r="BD86" i="28" s="1"/>
  <c r="AV86" i="28"/>
  <c r="BC86" i="28" s="1"/>
  <c r="AU86" i="28"/>
  <c r="BB86" i="28" s="1"/>
  <c r="AT86" i="28"/>
  <c r="BA86" i="28" s="1"/>
  <c r="AY85" i="28"/>
  <c r="BF85" i="28" s="1"/>
  <c r="AX85" i="28"/>
  <c r="BE85" i="28" s="1"/>
  <c r="AW85" i="28"/>
  <c r="BD85" i="28" s="1"/>
  <c r="AV85" i="28"/>
  <c r="BC85" i="28" s="1"/>
  <c r="AU85" i="28"/>
  <c r="BB85" i="28" s="1"/>
  <c r="AT85" i="28"/>
  <c r="BA85" i="28" s="1"/>
  <c r="AY84" i="28"/>
  <c r="BF84" i="28" s="1"/>
  <c r="AX84" i="28"/>
  <c r="BE84" i="28" s="1"/>
  <c r="AW84" i="28"/>
  <c r="BD84" i="28" s="1"/>
  <c r="AV84" i="28"/>
  <c r="BC84" i="28" s="1"/>
  <c r="AU84" i="28"/>
  <c r="BB84" i="28" s="1"/>
  <c r="AT84" i="28"/>
  <c r="BA84" i="28" s="1"/>
  <c r="AY83" i="28"/>
  <c r="BF83" i="28" s="1"/>
  <c r="AX83" i="28"/>
  <c r="BE83" i="28" s="1"/>
  <c r="AW83" i="28"/>
  <c r="BD83" i="28" s="1"/>
  <c r="AV83" i="28"/>
  <c r="BC83" i="28" s="1"/>
  <c r="AU83" i="28"/>
  <c r="BB83" i="28" s="1"/>
  <c r="AT83" i="28"/>
  <c r="BA83" i="28" s="1"/>
  <c r="AY82" i="28"/>
  <c r="BF82" i="28" s="1"/>
  <c r="AX82" i="28"/>
  <c r="BE82" i="28" s="1"/>
  <c r="AW82" i="28"/>
  <c r="BD82" i="28" s="1"/>
  <c r="AV82" i="28"/>
  <c r="BC82" i="28" s="1"/>
  <c r="AU82" i="28"/>
  <c r="BB82" i="28" s="1"/>
  <c r="AT82" i="28"/>
  <c r="BA82" i="28" s="1"/>
  <c r="AY81" i="28"/>
  <c r="BF81" i="28" s="1"/>
  <c r="AX81" i="28"/>
  <c r="BE81" i="28" s="1"/>
  <c r="AW81" i="28"/>
  <c r="BD81" i="28" s="1"/>
  <c r="AV81" i="28"/>
  <c r="BC81" i="28" s="1"/>
  <c r="AU81" i="28"/>
  <c r="BB81" i="28" s="1"/>
  <c r="AT81" i="28"/>
  <c r="BA81" i="28" s="1"/>
  <c r="AX80" i="28"/>
  <c r="BE80" i="28" s="1"/>
  <c r="AW80" i="28"/>
  <c r="BD80" i="28" s="1"/>
  <c r="AV80" i="28"/>
  <c r="BC80" i="28" s="1"/>
  <c r="AU80" i="28"/>
  <c r="BB80" i="28" s="1"/>
  <c r="AT80" i="28"/>
  <c r="BA80" i="28" s="1"/>
  <c r="AX79" i="28"/>
  <c r="BE79" i="28" s="1"/>
  <c r="AW79" i="28"/>
  <c r="BD79" i="28" s="1"/>
  <c r="AV79" i="28"/>
  <c r="BC79" i="28" s="1"/>
  <c r="AU79" i="28"/>
  <c r="BB79" i="28" s="1"/>
  <c r="AT79" i="28"/>
  <c r="BA79" i="28" s="1"/>
  <c r="AY78" i="28"/>
  <c r="BF78" i="28" s="1"/>
  <c r="AX78" i="28"/>
  <c r="BE78" i="28" s="1"/>
  <c r="AW78" i="28"/>
  <c r="BD78" i="28" s="1"/>
  <c r="AV78" i="28"/>
  <c r="BC78" i="28" s="1"/>
  <c r="AU78" i="28"/>
  <c r="BB78" i="28" s="1"/>
  <c r="AT78" i="28"/>
  <c r="BA78" i="28" s="1"/>
  <c r="AY77" i="28"/>
  <c r="BF77" i="28" s="1"/>
  <c r="AX77" i="28"/>
  <c r="BE77" i="28" s="1"/>
  <c r="AW77" i="28"/>
  <c r="BD77" i="28" s="1"/>
  <c r="AV77" i="28"/>
  <c r="BC77" i="28" s="1"/>
  <c r="AU77" i="28"/>
  <c r="BB77" i="28" s="1"/>
  <c r="AT77" i="28"/>
  <c r="BA77" i="28" s="1"/>
  <c r="AY76" i="28"/>
  <c r="BF76" i="28" s="1"/>
  <c r="AX76" i="28"/>
  <c r="BE76" i="28" s="1"/>
  <c r="AW76" i="28"/>
  <c r="BD76" i="28" s="1"/>
  <c r="AV76" i="28"/>
  <c r="BC76" i="28" s="1"/>
  <c r="AU76" i="28"/>
  <c r="BB76" i="28" s="1"/>
  <c r="AT76" i="28"/>
  <c r="BA76" i="28" s="1"/>
  <c r="AY75" i="28"/>
  <c r="BF75" i="28" s="1"/>
  <c r="AX75" i="28"/>
  <c r="BE75" i="28" s="1"/>
  <c r="AW75" i="28"/>
  <c r="BD75" i="28" s="1"/>
  <c r="AV75" i="28"/>
  <c r="BC75" i="28" s="1"/>
  <c r="AU75" i="28"/>
  <c r="BB75" i="28" s="1"/>
  <c r="AT75" i="28"/>
  <c r="BA75" i="28" s="1"/>
  <c r="AY74" i="28"/>
  <c r="BF74" i="28" s="1"/>
  <c r="AX74" i="28"/>
  <c r="BE74" i="28" s="1"/>
  <c r="AW74" i="28"/>
  <c r="BD74" i="28" s="1"/>
  <c r="AV74" i="28"/>
  <c r="BC74" i="28" s="1"/>
  <c r="AU74" i="28"/>
  <c r="BB74" i="28" s="1"/>
  <c r="AT74" i="28"/>
  <c r="BA74" i="28" s="1"/>
  <c r="AY73" i="28"/>
  <c r="BF73" i="28" s="1"/>
  <c r="AX73" i="28"/>
  <c r="BE73" i="28" s="1"/>
  <c r="AW73" i="28"/>
  <c r="BD73" i="28" s="1"/>
  <c r="AV73" i="28"/>
  <c r="BC73" i="28" s="1"/>
  <c r="AU73" i="28"/>
  <c r="BB73" i="28" s="1"/>
  <c r="AT73" i="28"/>
  <c r="BA73" i="28" s="1"/>
  <c r="AX72" i="28"/>
  <c r="BE72" i="28" s="1"/>
  <c r="AW72" i="28"/>
  <c r="BD72" i="28" s="1"/>
  <c r="AV72" i="28"/>
  <c r="BC72" i="28" s="1"/>
  <c r="AU72" i="28"/>
  <c r="BB72" i="28" s="1"/>
  <c r="AT72" i="28"/>
  <c r="BA72" i="28" s="1"/>
  <c r="AX71" i="28"/>
  <c r="BE71" i="28" s="1"/>
  <c r="AW71" i="28"/>
  <c r="BD71" i="28" s="1"/>
  <c r="AV71" i="28"/>
  <c r="BC71" i="28" s="1"/>
  <c r="AU71" i="28"/>
  <c r="BB71" i="28" s="1"/>
  <c r="AT71" i="28"/>
  <c r="BA71" i="28" s="1"/>
  <c r="AY70" i="28"/>
  <c r="BF70" i="28" s="1"/>
  <c r="AX70" i="28"/>
  <c r="BE70" i="28" s="1"/>
  <c r="AW70" i="28"/>
  <c r="BD70" i="28" s="1"/>
  <c r="AV70" i="28"/>
  <c r="BC70" i="28" s="1"/>
  <c r="AU70" i="28"/>
  <c r="BB70" i="28" s="1"/>
  <c r="AT70" i="28"/>
  <c r="BA70" i="28" s="1"/>
  <c r="AY69" i="28"/>
  <c r="BF69" i="28" s="1"/>
  <c r="AX69" i="28"/>
  <c r="BE69" i="28" s="1"/>
  <c r="AW69" i="28"/>
  <c r="BD69" i="28" s="1"/>
  <c r="AV69" i="28"/>
  <c r="BC69" i="28" s="1"/>
  <c r="AU69" i="28"/>
  <c r="BB69" i="28" s="1"/>
  <c r="AT69" i="28"/>
  <c r="BA69" i="28" s="1"/>
  <c r="AY68" i="28"/>
  <c r="BF68" i="28" s="1"/>
  <c r="AX68" i="28"/>
  <c r="BE68" i="28" s="1"/>
  <c r="AW68" i="28"/>
  <c r="BD68" i="28" s="1"/>
  <c r="AV68" i="28"/>
  <c r="BC68" i="28" s="1"/>
  <c r="AU68" i="28"/>
  <c r="BB68" i="28" s="1"/>
  <c r="AT68" i="28"/>
  <c r="BA68" i="28" s="1"/>
  <c r="AY67" i="28"/>
  <c r="BF67" i="28" s="1"/>
  <c r="AX67" i="28"/>
  <c r="BE67" i="28" s="1"/>
  <c r="AW67" i="28"/>
  <c r="BD67" i="28" s="1"/>
  <c r="AV67" i="28"/>
  <c r="BC67" i="28" s="1"/>
  <c r="AU67" i="28"/>
  <c r="BB67" i="28" s="1"/>
  <c r="AT67" i="28"/>
  <c r="BA67" i="28" s="1"/>
  <c r="AY66" i="28"/>
  <c r="BF66" i="28" s="1"/>
  <c r="AX66" i="28"/>
  <c r="BE66" i="28" s="1"/>
  <c r="AW66" i="28"/>
  <c r="BD66" i="28" s="1"/>
  <c r="AV66" i="28"/>
  <c r="BC66" i="28" s="1"/>
  <c r="AU66" i="28"/>
  <c r="BB66" i="28" s="1"/>
  <c r="AT66" i="28"/>
  <c r="BA66" i="28" s="1"/>
  <c r="AY65" i="28"/>
  <c r="BF65" i="28" s="1"/>
  <c r="AX65" i="28"/>
  <c r="BE65" i="28" s="1"/>
  <c r="AW65" i="28"/>
  <c r="BD65" i="28" s="1"/>
  <c r="AV65" i="28"/>
  <c r="BC65" i="28" s="1"/>
  <c r="AU65" i="28"/>
  <c r="BB65" i="28" s="1"/>
  <c r="AT65" i="28"/>
  <c r="BA65" i="28" s="1"/>
  <c r="AX64" i="28"/>
  <c r="BE64" i="28" s="1"/>
  <c r="AW64" i="28"/>
  <c r="BD64" i="28" s="1"/>
  <c r="AV64" i="28"/>
  <c r="BC64" i="28" s="1"/>
  <c r="AU64" i="28"/>
  <c r="BB64" i="28" s="1"/>
  <c r="AT64" i="28"/>
  <c r="BA64" i="28" s="1"/>
  <c r="AX63" i="28"/>
  <c r="BE63" i="28" s="1"/>
  <c r="AW63" i="28"/>
  <c r="BD63" i="28" s="1"/>
  <c r="AV63" i="28"/>
  <c r="BC63" i="28" s="1"/>
  <c r="AU63" i="28"/>
  <c r="BB63" i="28" s="1"/>
  <c r="AT63" i="28"/>
  <c r="BA63" i="28" s="1"/>
  <c r="AY62" i="28"/>
  <c r="BF62" i="28" s="1"/>
  <c r="AX62" i="28"/>
  <c r="BE62" i="28" s="1"/>
  <c r="AW62" i="28"/>
  <c r="BD62" i="28" s="1"/>
  <c r="AV62" i="28"/>
  <c r="BC62" i="28" s="1"/>
  <c r="AU62" i="28"/>
  <c r="BB62" i="28" s="1"/>
  <c r="AT62" i="28"/>
  <c r="BA62" i="28" s="1"/>
  <c r="AY61" i="28"/>
  <c r="BF61" i="28" s="1"/>
  <c r="AX61" i="28"/>
  <c r="BE61" i="28" s="1"/>
  <c r="AW61" i="28"/>
  <c r="BD61" i="28" s="1"/>
  <c r="AV61" i="28"/>
  <c r="BC61" i="28" s="1"/>
  <c r="AU61" i="28"/>
  <c r="BB61" i="28" s="1"/>
  <c r="AT61" i="28"/>
  <c r="BA61" i="28" s="1"/>
  <c r="AY60" i="28"/>
  <c r="BF60" i="28" s="1"/>
  <c r="AX60" i="28"/>
  <c r="BE60" i="28" s="1"/>
  <c r="AW60" i="28"/>
  <c r="BD60" i="28" s="1"/>
  <c r="AV60" i="28"/>
  <c r="BC60" i="28" s="1"/>
  <c r="AU60" i="28"/>
  <c r="BB60" i="28" s="1"/>
  <c r="AT60" i="28"/>
  <c r="BA60" i="28" s="1"/>
  <c r="AY59" i="28"/>
  <c r="BF59" i="28" s="1"/>
  <c r="AX59" i="28"/>
  <c r="BE59" i="28" s="1"/>
  <c r="AW59" i="28"/>
  <c r="BD59" i="28" s="1"/>
  <c r="AV59" i="28"/>
  <c r="BC59" i="28" s="1"/>
  <c r="AU59" i="28"/>
  <c r="BB59" i="28" s="1"/>
  <c r="AT59" i="28"/>
  <c r="BA59" i="28" s="1"/>
  <c r="AY58" i="28"/>
  <c r="BF58" i="28" s="1"/>
  <c r="AX58" i="28"/>
  <c r="BE58" i="28" s="1"/>
  <c r="AW58" i="28"/>
  <c r="BD58" i="28" s="1"/>
  <c r="AV58" i="28"/>
  <c r="BC58" i="28" s="1"/>
  <c r="AU58" i="28"/>
  <c r="BB58" i="28" s="1"/>
  <c r="AT58" i="28"/>
  <c r="BA58" i="28" s="1"/>
  <c r="AY57" i="28"/>
  <c r="BF57" i="28" s="1"/>
  <c r="AX57" i="28"/>
  <c r="BE57" i="28" s="1"/>
  <c r="AW57" i="28"/>
  <c r="BD57" i="28" s="1"/>
  <c r="AV57" i="28"/>
  <c r="BC57" i="28" s="1"/>
  <c r="AU57" i="28"/>
  <c r="BB57" i="28" s="1"/>
  <c r="AT57" i="28"/>
  <c r="BA57" i="28" s="1"/>
  <c r="AX56" i="28"/>
  <c r="BE56" i="28" s="1"/>
  <c r="AW56" i="28"/>
  <c r="BD56" i="28" s="1"/>
  <c r="AV56" i="28"/>
  <c r="BC56" i="28" s="1"/>
  <c r="AU56" i="28"/>
  <c r="BB56" i="28" s="1"/>
  <c r="AT56" i="28"/>
  <c r="BA56" i="28" s="1"/>
  <c r="AY55" i="28"/>
  <c r="BF55" i="28" s="1"/>
  <c r="AX55" i="28"/>
  <c r="BE55" i="28" s="1"/>
  <c r="AW55" i="28"/>
  <c r="BD55" i="28" s="1"/>
  <c r="AV55" i="28"/>
  <c r="BC55" i="28" s="1"/>
  <c r="AU55" i="28"/>
  <c r="BB55" i="28" s="1"/>
  <c r="AT55" i="28"/>
  <c r="BA55" i="28" s="1"/>
  <c r="AY54" i="28"/>
  <c r="BF54" i="28" s="1"/>
  <c r="AX54" i="28"/>
  <c r="BE54" i="28" s="1"/>
  <c r="AW54" i="28"/>
  <c r="BD54" i="28" s="1"/>
  <c r="AV54" i="28"/>
  <c r="BC54" i="28" s="1"/>
  <c r="AU54" i="28"/>
  <c r="BB54" i="28" s="1"/>
  <c r="AT54" i="28"/>
  <c r="BA54" i="28" s="1"/>
  <c r="AY53" i="28"/>
  <c r="BF53" i="28" s="1"/>
  <c r="AX53" i="28"/>
  <c r="BE53" i="28" s="1"/>
  <c r="AW53" i="28"/>
  <c r="BD53" i="28" s="1"/>
  <c r="AV53" i="28"/>
  <c r="BC53" i="28" s="1"/>
  <c r="AU53" i="28"/>
  <c r="BB53" i="28" s="1"/>
  <c r="AT53" i="28"/>
  <c r="BA53" i="28" s="1"/>
  <c r="AY52" i="28"/>
  <c r="BF52" i="28" s="1"/>
  <c r="AX52" i="28"/>
  <c r="BE52" i="28" s="1"/>
  <c r="AW52" i="28"/>
  <c r="BD52" i="28" s="1"/>
  <c r="AV52" i="28"/>
  <c r="BC52" i="28" s="1"/>
  <c r="AU52" i="28"/>
  <c r="BB52" i="28" s="1"/>
  <c r="AT52" i="28"/>
  <c r="BA52" i="28" s="1"/>
  <c r="AY51" i="28"/>
  <c r="BF51" i="28" s="1"/>
  <c r="AX51" i="28"/>
  <c r="BE51" i="28" s="1"/>
  <c r="AW51" i="28"/>
  <c r="BD51" i="28" s="1"/>
  <c r="AV51" i="28"/>
  <c r="BC51" i="28" s="1"/>
  <c r="AU51" i="28"/>
  <c r="BB51" i="28" s="1"/>
  <c r="AT51" i="28"/>
  <c r="BA51" i="28" s="1"/>
  <c r="AY50" i="28"/>
  <c r="BF50" i="28" s="1"/>
  <c r="AX50" i="28"/>
  <c r="BE50" i="28" s="1"/>
  <c r="AW50" i="28"/>
  <c r="BD50" i="28" s="1"/>
  <c r="AV50" i="28"/>
  <c r="BC50" i="28" s="1"/>
  <c r="AU50" i="28"/>
  <c r="BB50" i="28" s="1"/>
  <c r="AT50" i="28"/>
  <c r="BA50" i="28" s="1"/>
  <c r="AY49" i="28"/>
  <c r="BF49" i="28" s="1"/>
  <c r="AX49" i="28"/>
  <c r="BE49" i="28" s="1"/>
  <c r="AW49" i="28"/>
  <c r="BD49" i="28" s="1"/>
  <c r="AV49" i="28"/>
  <c r="BC49" i="28" s="1"/>
  <c r="AU49" i="28"/>
  <c r="BB49" i="28" s="1"/>
  <c r="AT49" i="28"/>
  <c r="BA49" i="28" s="1"/>
  <c r="AX48" i="28"/>
  <c r="BE48" i="28" s="1"/>
  <c r="AW48" i="28"/>
  <c r="BD48" i="28" s="1"/>
  <c r="AV48" i="28"/>
  <c r="BC48" i="28" s="1"/>
  <c r="AU48" i="28"/>
  <c r="BB48" i="28" s="1"/>
  <c r="AT48" i="28"/>
  <c r="BA48" i="28" s="1"/>
  <c r="AX47" i="28"/>
  <c r="BE47" i="28" s="1"/>
  <c r="AW47" i="28"/>
  <c r="BD47" i="28" s="1"/>
  <c r="AV47" i="28"/>
  <c r="BC47" i="28" s="1"/>
  <c r="AU47" i="28"/>
  <c r="BB47" i="28" s="1"/>
  <c r="AT47" i="28"/>
  <c r="BA47" i="28" s="1"/>
  <c r="AY46" i="28"/>
  <c r="BF46" i="28" s="1"/>
  <c r="AX46" i="28"/>
  <c r="BE46" i="28" s="1"/>
  <c r="AW46" i="28"/>
  <c r="BD46" i="28" s="1"/>
  <c r="AV46" i="28"/>
  <c r="BC46" i="28" s="1"/>
  <c r="AU46" i="28"/>
  <c r="BB46" i="28" s="1"/>
  <c r="AT46" i="28"/>
  <c r="BA46" i="28" s="1"/>
  <c r="AY45" i="28"/>
  <c r="BF45" i="28" s="1"/>
  <c r="AX45" i="28"/>
  <c r="BE45" i="28" s="1"/>
  <c r="AW45" i="28"/>
  <c r="BD45" i="28" s="1"/>
  <c r="AV45" i="28"/>
  <c r="BC45" i="28" s="1"/>
  <c r="AU45" i="28"/>
  <c r="AT45" i="28"/>
  <c r="BA45" i="28" s="1"/>
  <c r="AY44" i="28"/>
  <c r="BF44" i="28" s="1"/>
  <c r="AX44" i="28"/>
  <c r="BE44" i="28" s="1"/>
  <c r="AW44" i="28"/>
  <c r="BD44" i="28" s="1"/>
  <c r="AV44" i="28"/>
  <c r="BC44" i="28" s="1"/>
  <c r="AU44" i="28"/>
  <c r="BB44" i="28" s="1"/>
  <c r="AT44" i="28"/>
  <c r="BA44" i="28" s="1"/>
  <c r="AY43" i="28"/>
  <c r="BF43" i="28" s="1"/>
  <c r="AX43" i="28"/>
  <c r="BE43" i="28" s="1"/>
  <c r="AW43" i="28"/>
  <c r="BD43" i="28" s="1"/>
  <c r="AV43" i="28"/>
  <c r="BC43" i="28" s="1"/>
  <c r="AU43" i="28"/>
  <c r="BB43" i="28" s="1"/>
  <c r="AT43" i="28"/>
  <c r="BA43" i="28" s="1"/>
  <c r="AY42" i="28"/>
  <c r="BF42" i="28" s="1"/>
  <c r="AX42" i="28"/>
  <c r="BE42" i="28" s="1"/>
  <c r="AW42" i="28"/>
  <c r="BD42" i="28" s="1"/>
  <c r="AV42" i="28"/>
  <c r="BC42" i="28" s="1"/>
  <c r="AU42" i="28"/>
  <c r="BB42" i="28" s="1"/>
  <c r="AT42" i="28"/>
  <c r="BA42" i="28" s="1"/>
  <c r="AY41" i="28"/>
  <c r="BF41" i="28" s="1"/>
  <c r="AX41" i="28"/>
  <c r="BE41" i="28" s="1"/>
  <c r="AW41" i="28"/>
  <c r="BD41" i="28" s="1"/>
  <c r="AV41" i="28"/>
  <c r="BC41" i="28" s="1"/>
  <c r="AU41" i="28"/>
  <c r="BB41" i="28" s="1"/>
  <c r="AT41" i="28"/>
  <c r="BA41" i="28" s="1"/>
  <c r="AX40" i="28"/>
  <c r="BE40" i="28" s="1"/>
  <c r="AW40" i="28"/>
  <c r="BD40" i="28" s="1"/>
  <c r="AV40" i="28"/>
  <c r="BC40" i="28" s="1"/>
  <c r="AU40" i="28"/>
  <c r="BB40" i="28" s="1"/>
  <c r="AT40" i="28"/>
  <c r="BA40" i="28" s="1"/>
  <c r="AX39" i="28"/>
  <c r="BE39" i="28" s="1"/>
  <c r="AW39" i="28"/>
  <c r="BD39" i="28" s="1"/>
  <c r="AV39" i="28"/>
  <c r="BC39" i="28" s="1"/>
  <c r="AU39" i="28"/>
  <c r="BB39" i="28" s="1"/>
  <c r="AT39" i="28"/>
  <c r="BA39" i="28" s="1"/>
  <c r="AY38" i="28"/>
  <c r="BF38" i="28" s="1"/>
  <c r="AX38" i="28"/>
  <c r="BE38" i="28" s="1"/>
  <c r="AW38" i="28"/>
  <c r="BD38" i="28" s="1"/>
  <c r="AV38" i="28"/>
  <c r="BC38" i="28" s="1"/>
  <c r="AU38" i="28"/>
  <c r="BB38" i="28" s="1"/>
  <c r="AT38" i="28"/>
  <c r="BA38" i="28" s="1"/>
  <c r="AY37" i="28"/>
  <c r="BF37" i="28" s="1"/>
  <c r="AX37" i="28"/>
  <c r="BE37" i="28" s="1"/>
  <c r="AW37" i="28"/>
  <c r="BD37" i="28" s="1"/>
  <c r="AV37" i="28"/>
  <c r="BC37" i="28" s="1"/>
  <c r="AU37" i="28"/>
  <c r="BB37" i="28" s="1"/>
  <c r="AT37" i="28"/>
  <c r="BA37" i="28" s="1"/>
  <c r="AY36" i="28"/>
  <c r="BF36" i="28" s="1"/>
  <c r="AX36" i="28"/>
  <c r="BE36" i="28" s="1"/>
  <c r="AW36" i="28"/>
  <c r="BD36" i="28" s="1"/>
  <c r="AV36" i="28"/>
  <c r="BC36" i="28" s="1"/>
  <c r="AU36" i="28"/>
  <c r="BB36" i="28" s="1"/>
  <c r="AT36" i="28"/>
  <c r="BA36" i="28" s="1"/>
  <c r="AY35" i="28"/>
  <c r="BF35" i="28" s="1"/>
  <c r="AX35" i="28"/>
  <c r="BE35" i="28" s="1"/>
  <c r="AW35" i="28"/>
  <c r="BD35" i="28" s="1"/>
  <c r="AV35" i="28"/>
  <c r="BC35" i="28" s="1"/>
  <c r="AU35" i="28"/>
  <c r="BB35" i="28" s="1"/>
  <c r="AT35" i="28"/>
  <c r="BA35" i="28" s="1"/>
  <c r="AY34" i="28"/>
  <c r="BF34" i="28" s="1"/>
  <c r="AX34" i="28"/>
  <c r="BE34" i="28" s="1"/>
  <c r="AW34" i="28"/>
  <c r="BD34" i="28" s="1"/>
  <c r="AV34" i="28"/>
  <c r="BC34" i="28" s="1"/>
  <c r="AU34" i="28"/>
  <c r="BB34" i="28" s="1"/>
  <c r="AT34" i="28"/>
  <c r="BA34" i="28" s="1"/>
  <c r="AY33" i="28"/>
  <c r="BF33" i="28" s="1"/>
  <c r="AX33" i="28"/>
  <c r="BE33" i="28" s="1"/>
  <c r="AW33" i="28"/>
  <c r="BD33" i="28" s="1"/>
  <c r="AV33" i="28"/>
  <c r="BC33" i="28" s="1"/>
  <c r="AU33" i="28"/>
  <c r="BB33" i="28" s="1"/>
  <c r="AT33" i="28"/>
  <c r="BA33" i="28" s="1"/>
  <c r="AX32" i="28"/>
  <c r="BE32" i="28" s="1"/>
  <c r="AW32" i="28"/>
  <c r="BD32" i="28" s="1"/>
  <c r="AV32" i="28"/>
  <c r="BC32" i="28" s="1"/>
  <c r="AU32" i="28"/>
  <c r="BB32" i="28" s="1"/>
  <c r="AT32" i="28"/>
  <c r="BA32" i="28" s="1"/>
  <c r="AY31" i="28"/>
  <c r="BF31" i="28" s="1"/>
  <c r="AX31" i="28"/>
  <c r="BE31" i="28" s="1"/>
  <c r="AW31" i="28"/>
  <c r="BD31" i="28" s="1"/>
  <c r="AV31" i="28"/>
  <c r="BC31" i="28" s="1"/>
  <c r="AU31" i="28"/>
  <c r="BB31" i="28" s="1"/>
  <c r="AT31" i="28"/>
  <c r="BA31" i="28" s="1"/>
  <c r="AY30" i="28"/>
  <c r="BF30" i="28" s="1"/>
  <c r="AX30" i="28"/>
  <c r="BE30" i="28" s="1"/>
  <c r="AW30" i="28"/>
  <c r="BD30" i="28" s="1"/>
  <c r="AV30" i="28"/>
  <c r="BC30" i="28" s="1"/>
  <c r="AU30" i="28"/>
  <c r="BB30" i="28" s="1"/>
  <c r="AT30" i="28"/>
  <c r="BA30" i="28" s="1"/>
  <c r="AY29" i="28"/>
  <c r="BF29" i="28" s="1"/>
  <c r="AX29" i="28"/>
  <c r="BE29" i="28" s="1"/>
  <c r="AW29" i="28"/>
  <c r="BD29" i="28" s="1"/>
  <c r="AV29" i="28"/>
  <c r="BC29" i="28" s="1"/>
  <c r="AU29" i="28"/>
  <c r="BB29" i="28" s="1"/>
  <c r="AT29" i="28"/>
  <c r="BA29" i="28" s="1"/>
  <c r="AY28" i="28"/>
  <c r="BF28" i="28" s="1"/>
  <c r="AX28" i="28"/>
  <c r="BE28" i="28" s="1"/>
  <c r="AW28" i="28"/>
  <c r="BD28" i="28" s="1"/>
  <c r="AV28" i="28"/>
  <c r="BC28" i="28" s="1"/>
  <c r="AU28" i="28"/>
  <c r="BB28" i="28" s="1"/>
  <c r="AT28" i="28"/>
  <c r="BA28" i="28" s="1"/>
  <c r="AY27" i="28"/>
  <c r="BF27" i="28" s="1"/>
  <c r="AX27" i="28"/>
  <c r="BE27" i="28" s="1"/>
  <c r="AW27" i="28"/>
  <c r="BD27" i="28" s="1"/>
  <c r="AV27" i="28"/>
  <c r="BC27" i="28" s="1"/>
  <c r="AU27" i="28"/>
  <c r="BB27" i="28" s="1"/>
  <c r="AT27" i="28"/>
  <c r="BA27" i="28" s="1"/>
  <c r="AY26" i="28"/>
  <c r="BF26" i="28" s="1"/>
  <c r="AX26" i="28"/>
  <c r="BE26" i="28" s="1"/>
  <c r="AW26" i="28"/>
  <c r="BD26" i="28" s="1"/>
  <c r="AV26" i="28"/>
  <c r="BC26" i="28" s="1"/>
  <c r="AU26" i="28"/>
  <c r="BB26" i="28" s="1"/>
  <c r="AT26" i="28"/>
  <c r="BA26" i="28" s="1"/>
  <c r="AY25" i="28"/>
  <c r="BF25" i="28" s="1"/>
  <c r="AX25" i="28"/>
  <c r="BE25" i="28" s="1"/>
  <c r="AW25" i="28"/>
  <c r="BD25" i="28" s="1"/>
  <c r="AV25" i="28"/>
  <c r="BC25" i="28" s="1"/>
  <c r="AU25" i="28"/>
  <c r="BB25" i="28" s="1"/>
  <c r="AT25" i="28"/>
  <c r="BA25" i="28" s="1"/>
  <c r="AX24" i="28"/>
  <c r="BE24" i="28" s="1"/>
  <c r="AW24" i="28"/>
  <c r="BD24" i="28" s="1"/>
  <c r="AV24" i="28"/>
  <c r="BC24" i="28" s="1"/>
  <c r="AU24" i="28"/>
  <c r="BB24" i="28" s="1"/>
  <c r="AT24" i="28"/>
  <c r="BA24" i="28" s="1"/>
  <c r="AY23" i="28"/>
  <c r="BF23" i="28" s="1"/>
  <c r="AX23" i="28"/>
  <c r="BE23" i="28" s="1"/>
  <c r="AW23" i="28"/>
  <c r="BD23" i="28" s="1"/>
  <c r="AV23" i="28"/>
  <c r="BC23" i="28" s="1"/>
  <c r="AU23" i="28"/>
  <c r="BB23" i="28" s="1"/>
  <c r="AT23" i="28"/>
  <c r="BA23" i="28" s="1"/>
  <c r="AY22" i="28"/>
  <c r="BF22" i="28" s="1"/>
  <c r="AX22" i="28"/>
  <c r="BE22" i="28" s="1"/>
  <c r="AW22" i="28"/>
  <c r="BD22" i="28" s="1"/>
  <c r="AV22" i="28"/>
  <c r="BC22" i="28" s="1"/>
  <c r="AU22" i="28"/>
  <c r="BB22" i="28" s="1"/>
  <c r="AT22" i="28"/>
  <c r="BA22" i="28" s="1"/>
  <c r="AY21" i="28"/>
  <c r="BF21" i="28" s="1"/>
  <c r="AX21" i="28"/>
  <c r="BE21" i="28" s="1"/>
  <c r="AW21" i="28"/>
  <c r="BD21" i="28" s="1"/>
  <c r="AV21" i="28"/>
  <c r="BC21" i="28" s="1"/>
  <c r="AU21" i="28"/>
  <c r="BB21" i="28" s="1"/>
  <c r="AT21" i="28"/>
  <c r="BA21" i="28" s="1"/>
  <c r="AY20" i="28"/>
  <c r="BF20" i="28" s="1"/>
  <c r="AX20" i="28"/>
  <c r="BE20" i="28" s="1"/>
  <c r="AW20" i="28"/>
  <c r="BD20" i="28" s="1"/>
  <c r="AV20" i="28"/>
  <c r="BC20" i="28" s="1"/>
  <c r="AU20" i="28"/>
  <c r="BB20" i="28" s="1"/>
  <c r="AT20" i="28"/>
  <c r="BA20" i="28" s="1"/>
  <c r="AY19" i="28"/>
  <c r="BF19" i="28" s="1"/>
  <c r="AX19" i="28"/>
  <c r="BE19" i="28" s="1"/>
  <c r="AW19" i="28"/>
  <c r="BD19" i="28" s="1"/>
  <c r="AV19" i="28"/>
  <c r="BC19" i="28" s="1"/>
  <c r="AU19" i="28"/>
  <c r="BB19" i="28" s="1"/>
  <c r="AT19" i="28"/>
  <c r="BA19" i="28" s="1"/>
  <c r="AY18" i="28"/>
  <c r="BF18" i="28" s="1"/>
  <c r="AX18" i="28"/>
  <c r="BE18" i="28" s="1"/>
  <c r="AW18" i="28"/>
  <c r="BD18" i="28" s="1"/>
  <c r="AV18" i="28"/>
  <c r="BC18" i="28" s="1"/>
  <c r="AU18" i="28"/>
  <c r="BB18" i="28" s="1"/>
  <c r="AT18" i="28"/>
  <c r="BA18" i="28" s="1"/>
  <c r="AY17" i="28"/>
  <c r="BF17" i="28" s="1"/>
  <c r="AX17" i="28"/>
  <c r="BE17" i="28" s="1"/>
  <c r="AW17" i="28"/>
  <c r="BD17" i="28" s="1"/>
  <c r="AV17" i="28"/>
  <c r="BC17" i="28" s="1"/>
  <c r="AU17" i="28"/>
  <c r="BB17" i="28" s="1"/>
  <c r="AT17" i="28"/>
  <c r="BA17" i="28" s="1"/>
  <c r="AY16" i="28"/>
  <c r="AX16" i="28"/>
  <c r="BE16" i="28" s="1"/>
  <c r="AW16" i="28"/>
  <c r="AV16" i="28"/>
  <c r="BC16" i="28" s="1"/>
  <c r="AU16" i="28"/>
  <c r="BB16" i="28" s="1"/>
  <c r="AT16" i="28"/>
  <c r="AQ7" i="28"/>
  <c r="AP7" i="28"/>
  <c r="AO7" i="28"/>
  <c r="AN7" i="28"/>
  <c r="AM7" i="28"/>
  <c r="AK7" i="28"/>
  <c r="AJ7" i="28"/>
  <c r="AI7" i="28"/>
  <c r="AH7" i="28"/>
  <c r="AG7" i="28"/>
  <c r="AT4" i="28"/>
  <c r="AU4" i="28" s="1"/>
  <c r="AV4" i="28" s="1"/>
  <c r="AW4" i="28" s="1"/>
  <c r="AX4" i="28" s="1"/>
  <c r="AM4" i="28"/>
  <c r="AN4" i="28" s="1"/>
  <c r="AO4" i="28" s="1"/>
  <c r="AP4" i="28" s="1"/>
  <c r="AQ4" i="28" s="1"/>
  <c r="AF4" i="28"/>
  <c r="AG4" i="28" s="1"/>
  <c r="AH4" i="28" s="1"/>
  <c r="AI4" i="28" s="1"/>
  <c r="AJ4" i="28" s="1"/>
  <c r="C27" i="11"/>
  <c r="C26" i="11"/>
  <c r="J7" i="28"/>
  <c r="Q17" i="28"/>
  <c r="X17" i="28" s="1"/>
  <c r="R17" i="28"/>
  <c r="Y17" i="28" s="1"/>
  <c r="S17" i="28"/>
  <c r="Z17" i="28" s="1"/>
  <c r="T17" i="28"/>
  <c r="AA17" i="28" s="1"/>
  <c r="U17" i="28"/>
  <c r="AB17" i="28" s="1"/>
  <c r="V17" i="28"/>
  <c r="AC17" i="28" s="1"/>
  <c r="Q18" i="28"/>
  <c r="X18" i="28" s="1"/>
  <c r="R18" i="28"/>
  <c r="Y18" i="28" s="1"/>
  <c r="S18" i="28"/>
  <c r="Z18" i="28" s="1"/>
  <c r="T18" i="28"/>
  <c r="AA18" i="28" s="1"/>
  <c r="U18" i="28"/>
  <c r="AB18" i="28" s="1"/>
  <c r="V18" i="28"/>
  <c r="AC18" i="28" s="1"/>
  <c r="Q19" i="28"/>
  <c r="X19" i="28" s="1"/>
  <c r="R19" i="28"/>
  <c r="Y19" i="28" s="1"/>
  <c r="S19" i="28"/>
  <c r="Z19" i="28" s="1"/>
  <c r="T19" i="28"/>
  <c r="AA19" i="28" s="1"/>
  <c r="U19" i="28"/>
  <c r="AB19" i="28" s="1"/>
  <c r="V19" i="28"/>
  <c r="AC19" i="28" s="1"/>
  <c r="Q20" i="28"/>
  <c r="X20" i="28" s="1"/>
  <c r="R20" i="28"/>
  <c r="Y20" i="28" s="1"/>
  <c r="S20" i="28"/>
  <c r="Z20" i="28" s="1"/>
  <c r="T20" i="28"/>
  <c r="AA20" i="28" s="1"/>
  <c r="U20" i="28"/>
  <c r="AB20" i="28" s="1"/>
  <c r="V20" i="28"/>
  <c r="AC20" i="28" s="1"/>
  <c r="Q21" i="28"/>
  <c r="X21" i="28" s="1"/>
  <c r="R21" i="28"/>
  <c r="Y21" i="28" s="1"/>
  <c r="S21" i="28"/>
  <c r="Z21" i="28" s="1"/>
  <c r="T21" i="28"/>
  <c r="AA21" i="28" s="1"/>
  <c r="U21" i="28"/>
  <c r="AB21" i="28" s="1"/>
  <c r="V21" i="28"/>
  <c r="AC21" i="28" s="1"/>
  <c r="Q22" i="28"/>
  <c r="X22" i="28" s="1"/>
  <c r="R22" i="28"/>
  <c r="Y22" i="28" s="1"/>
  <c r="S22" i="28"/>
  <c r="Z22" i="28" s="1"/>
  <c r="T22" i="28"/>
  <c r="AA22" i="28" s="1"/>
  <c r="U22" i="28"/>
  <c r="AB22" i="28" s="1"/>
  <c r="V22" i="28"/>
  <c r="AC22" i="28" s="1"/>
  <c r="Q23" i="28"/>
  <c r="X23" i="28" s="1"/>
  <c r="R23" i="28"/>
  <c r="Y23" i="28" s="1"/>
  <c r="S23" i="28"/>
  <c r="Z23" i="28" s="1"/>
  <c r="T23" i="28"/>
  <c r="AA23" i="28" s="1"/>
  <c r="U23" i="28"/>
  <c r="AB23" i="28" s="1"/>
  <c r="V23" i="28"/>
  <c r="AC23" i="28" s="1"/>
  <c r="Q24" i="28"/>
  <c r="X24" i="28" s="1"/>
  <c r="R24" i="28"/>
  <c r="Y24" i="28" s="1"/>
  <c r="S24" i="28"/>
  <c r="Z24" i="28" s="1"/>
  <c r="T24" i="28"/>
  <c r="AA24" i="28" s="1"/>
  <c r="U24" i="28"/>
  <c r="AB24" i="28" s="1"/>
  <c r="Q25" i="28"/>
  <c r="X25" i="28" s="1"/>
  <c r="R25" i="28"/>
  <c r="Y25" i="28" s="1"/>
  <c r="S25" i="28"/>
  <c r="Z25" i="28" s="1"/>
  <c r="T25" i="28"/>
  <c r="AA25" i="28" s="1"/>
  <c r="U25" i="28"/>
  <c r="AB25" i="28" s="1"/>
  <c r="V25" i="28"/>
  <c r="AC25" i="28" s="1"/>
  <c r="Q26" i="28"/>
  <c r="X26" i="28" s="1"/>
  <c r="R26" i="28"/>
  <c r="Y26" i="28" s="1"/>
  <c r="S26" i="28"/>
  <c r="Z26" i="28" s="1"/>
  <c r="T26" i="28"/>
  <c r="AA26" i="28" s="1"/>
  <c r="U26" i="28"/>
  <c r="AB26" i="28" s="1"/>
  <c r="V26" i="28"/>
  <c r="AC26" i="28" s="1"/>
  <c r="Q27" i="28"/>
  <c r="X27" i="28" s="1"/>
  <c r="R27" i="28"/>
  <c r="Y27" i="28" s="1"/>
  <c r="S27" i="28"/>
  <c r="Z27" i="28" s="1"/>
  <c r="T27" i="28"/>
  <c r="AA27" i="28" s="1"/>
  <c r="U27" i="28"/>
  <c r="AB27" i="28" s="1"/>
  <c r="V27" i="28"/>
  <c r="AC27" i="28" s="1"/>
  <c r="Q28" i="28"/>
  <c r="X28" i="28" s="1"/>
  <c r="R28" i="28"/>
  <c r="Y28" i="28" s="1"/>
  <c r="S28" i="28"/>
  <c r="Z28" i="28" s="1"/>
  <c r="T28" i="28"/>
  <c r="AA28" i="28" s="1"/>
  <c r="U28" i="28"/>
  <c r="AB28" i="28" s="1"/>
  <c r="V28" i="28"/>
  <c r="AC28" i="28" s="1"/>
  <c r="Q29" i="28"/>
  <c r="X29" i="28" s="1"/>
  <c r="R29" i="28"/>
  <c r="Y29" i="28" s="1"/>
  <c r="S29" i="28"/>
  <c r="Z29" i="28" s="1"/>
  <c r="T29" i="28"/>
  <c r="AA29" i="28" s="1"/>
  <c r="U29" i="28"/>
  <c r="AB29" i="28" s="1"/>
  <c r="V29" i="28"/>
  <c r="AC29" i="28" s="1"/>
  <c r="Q30" i="28"/>
  <c r="X30" i="28" s="1"/>
  <c r="R30" i="28"/>
  <c r="Y30" i="28" s="1"/>
  <c r="S30" i="28"/>
  <c r="Z30" i="28" s="1"/>
  <c r="T30" i="28"/>
  <c r="AA30" i="28" s="1"/>
  <c r="U30" i="28"/>
  <c r="AB30" i="28" s="1"/>
  <c r="V30" i="28"/>
  <c r="AC30" i="28" s="1"/>
  <c r="Q31" i="28"/>
  <c r="X31" i="28" s="1"/>
  <c r="R31" i="28"/>
  <c r="Y31" i="28" s="1"/>
  <c r="S31" i="28"/>
  <c r="Z31" i="28" s="1"/>
  <c r="T31" i="28"/>
  <c r="AA31" i="28" s="1"/>
  <c r="U31" i="28"/>
  <c r="AB31" i="28" s="1"/>
  <c r="V31" i="28"/>
  <c r="AC31" i="28" s="1"/>
  <c r="Q32" i="28"/>
  <c r="X32" i="28" s="1"/>
  <c r="R32" i="28"/>
  <c r="Y32" i="28" s="1"/>
  <c r="S32" i="28"/>
  <c r="Z32" i="28" s="1"/>
  <c r="T32" i="28"/>
  <c r="AA32" i="28" s="1"/>
  <c r="U32" i="28"/>
  <c r="AB32" i="28" s="1"/>
  <c r="Q33" i="28"/>
  <c r="X33" i="28" s="1"/>
  <c r="R33" i="28"/>
  <c r="Y33" i="28" s="1"/>
  <c r="S33" i="28"/>
  <c r="Z33" i="28" s="1"/>
  <c r="T33" i="28"/>
  <c r="AA33" i="28" s="1"/>
  <c r="U33" i="28"/>
  <c r="AB33" i="28" s="1"/>
  <c r="V33" i="28"/>
  <c r="AC33" i="28" s="1"/>
  <c r="Q34" i="28"/>
  <c r="X34" i="28" s="1"/>
  <c r="R34" i="28"/>
  <c r="Y34" i="28" s="1"/>
  <c r="S34" i="28"/>
  <c r="Z34" i="28" s="1"/>
  <c r="T34" i="28"/>
  <c r="AA34" i="28" s="1"/>
  <c r="U34" i="28"/>
  <c r="AB34" i="28" s="1"/>
  <c r="V34" i="28"/>
  <c r="AC34" i="28" s="1"/>
  <c r="Q35" i="28"/>
  <c r="X35" i="28" s="1"/>
  <c r="R35" i="28"/>
  <c r="Y35" i="28" s="1"/>
  <c r="S35" i="28"/>
  <c r="Z35" i="28" s="1"/>
  <c r="T35" i="28"/>
  <c r="AA35" i="28" s="1"/>
  <c r="U35" i="28"/>
  <c r="AB35" i="28" s="1"/>
  <c r="V35" i="28"/>
  <c r="AC35" i="28" s="1"/>
  <c r="Q36" i="28"/>
  <c r="X36" i="28" s="1"/>
  <c r="R36" i="28"/>
  <c r="Y36" i="28" s="1"/>
  <c r="S36" i="28"/>
  <c r="Z36" i="28" s="1"/>
  <c r="T36" i="28"/>
  <c r="AA36" i="28" s="1"/>
  <c r="U36" i="28"/>
  <c r="AB36" i="28" s="1"/>
  <c r="V36" i="28"/>
  <c r="AC36" i="28" s="1"/>
  <c r="Q37" i="28"/>
  <c r="X37" i="28" s="1"/>
  <c r="R37" i="28"/>
  <c r="Y37" i="28" s="1"/>
  <c r="S37" i="28"/>
  <c r="Z37" i="28" s="1"/>
  <c r="T37" i="28"/>
  <c r="AA37" i="28" s="1"/>
  <c r="U37" i="28"/>
  <c r="AB37" i="28" s="1"/>
  <c r="V37" i="28"/>
  <c r="AC37" i="28" s="1"/>
  <c r="Q38" i="28"/>
  <c r="X38" i="28" s="1"/>
  <c r="R38" i="28"/>
  <c r="Y38" i="28" s="1"/>
  <c r="S38" i="28"/>
  <c r="Z38" i="28" s="1"/>
  <c r="T38" i="28"/>
  <c r="AA38" i="28" s="1"/>
  <c r="U38" i="28"/>
  <c r="AB38" i="28" s="1"/>
  <c r="V38" i="28"/>
  <c r="AC38" i="28" s="1"/>
  <c r="Q39" i="28"/>
  <c r="X39" i="28" s="1"/>
  <c r="R39" i="28"/>
  <c r="Y39" i="28" s="1"/>
  <c r="S39" i="28"/>
  <c r="Z39" i="28" s="1"/>
  <c r="T39" i="28"/>
  <c r="AA39" i="28" s="1"/>
  <c r="U39" i="28"/>
  <c r="AB39" i="28" s="1"/>
  <c r="V39" i="28"/>
  <c r="AC39" i="28" s="1"/>
  <c r="Q40" i="28"/>
  <c r="X40" i="28" s="1"/>
  <c r="R40" i="28"/>
  <c r="Y40" i="28" s="1"/>
  <c r="S40" i="28"/>
  <c r="Z40" i="28" s="1"/>
  <c r="T40" i="28"/>
  <c r="AA40" i="28" s="1"/>
  <c r="U40" i="28"/>
  <c r="AB40" i="28" s="1"/>
  <c r="Q41" i="28"/>
  <c r="X41" i="28" s="1"/>
  <c r="R41" i="28"/>
  <c r="Y41" i="28" s="1"/>
  <c r="S41" i="28"/>
  <c r="Z41" i="28" s="1"/>
  <c r="T41" i="28"/>
  <c r="AA41" i="28" s="1"/>
  <c r="U41" i="28"/>
  <c r="AB41" i="28" s="1"/>
  <c r="V41" i="28"/>
  <c r="AC41" i="28" s="1"/>
  <c r="Q42" i="28"/>
  <c r="X42" i="28" s="1"/>
  <c r="R42" i="28"/>
  <c r="Y42" i="28" s="1"/>
  <c r="S42" i="28"/>
  <c r="Z42" i="28" s="1"/>
  <c r="T42" i="28"/>
  <c r="AA42" i="28" s="1"/>
  <c r="U42" i="28"/>
  <c r="AB42" i="28" s="1"/>
  <c r="V42" i="28"/>
  <c r="AC42" i="28" s="1"/>
  <c r="Q43" i="28"/>
  <c r="X43" i="28" s="1"/>
  <c r="R43" i="28"/>
  <c r="Y43" i="28" s="1"/>
  <c r="S43" i="28"/>
  <c r="Z43" i="28" s="1"/>
  <c r="T43" i="28"/>
  <c r="AA43" i="28" s="1"/>
  <c r="U43" i="28"/>
  <c r="AB43" i="28" s="1"/>
  <c r="V43" i="28"/>
  <c r="AC43" i="28" s="1"/>
  <c r="Q44" i="28"/>
  <c r="X44" i="28" s="1"/>
  <c r="R44" i="28"/>
  <c r="Y44" i="28" s="1"/>
  <c r="S44" i="28"/>
  <c r="Z44" i="28" s="1"/>
  <c r="T44" i="28"/>
  <c r="AA44" i="28" s="1"/>
  <c r="U44" i="28"/>
  <c r="AB44" i="28" s="1"/>
  <c r="V44" i="28"/>
  <c r="AC44" i="28" s="1"/>
  <c r="Q45" i="28"/>
  <c r="X45" i="28" s="1"/>
  <c r="R45" i="28"/>
  <c r="Y45" i="28" s="1"/>
  <c r="S45" i="28"/>
  <c r="Z45" i="28" s="1"/>
  <c r="T45" i="28"/>
  <c r="AA45" i="28" s="1"/>
  <c r="U45" i="28"/>
  <c r="AB45" i="28" s="1"/>
  <c r="V45" i="28"/>
  <c r="AC45" i="28" s="1"/>
  <c r="Q46" i="28"/>
  <c r="X46" i="28" s="1"/>
  <c r="R46" i="28"/>
  <c r="Y46" i="28" s="1"/>
  <c r="S46" i="28"/>
  <c r="Z46" i="28" s="1"/>
  <c r="T46" i="28"/>
  <c r="AA46" i="28" s="1"/>
  <c r="U46" i="28"/>
  <c r="AB46" i="28" s="1"/>
  <c r="V46" i="28"/>
  <c r="AC46" i="28" s="1"/>
  <c r="Q47" i="28"/>
  <c r="X47" i="28" s="1"/>
  <c r="R47" i="28"/>
  <c r="Y47" i="28" s="1"/>
  <c r="S47" i="28"/>
  <c r="Z47" i="28" s="1"/>
  <c r="T47" i="28"/>
  <c r="AA47" i="28" s="1"/>
  <c r="U47" i="28"/>
  <c r="AB47" i="28" s="1"/>
  <c r="V47" i="28"/>
  <c r="AC47" i="28" s="1"/>
  <c r="Q48" i="28"/>
  <c r="X48" i="28" s="1"/>
  <c r="R48" i="28"/>
  <c r="Y48" i="28" s="1"/>
  <c r="S48" i="28"/>
  <c r="Z48" i="28" s="1"/>
  <c r="T48" i="28"/>
  <c r="AA48" i="28" s="1"/>
  <c r="U48" i="28"/>
  <c r="AB48" i="28" s="1"/>
  <c r="Q49" i="28"/>
  <c r="X49" i="28" s="1"/>
  <c r="R49" i="28"/>
  <c r="Y49" i="28" s="1"/>
  <c r="S49" i="28"/>
  <c r="Z49" i="28" s="1"/>
  <c r="T49" i="28"/>
  <c r="AA49" i="28" s="1"/>
  <c r="U49" i="28"/>
  <c r="AB49" i="28" s="1"/>
  <c r="V49" i="28"/>
  <c r="AC49" i="28" s="1"/>
  <c r="Q50" i="28"/>
  <c r="X50" i="28" s="1"/>
  <c r="R50" i="28"/>
  <c r="Y50" i="28" s="1"/>
  <c r="S50" i="28"/>
  <c r="Z50" i="28" s="1"/>
  <c r="T50" i="28"/>
  <c r="AA50" i="28" s="1"/>
  <c r="U50" i="28"/>
  <c r="AB50" i="28" s="1"/>
  <c r="V50" i="28"/>
  <c r="AC50" i="28" s="1"/>
  <c r="Q51" i="28"/>
  <c r="X51" i="28" s="1"/>
  <c r="R51" i="28"/>
  <c r="Y51" i="28" s="1"/>
  <c r="S51" i="28"/>
  <c r="Z51" i="28" s="1"/>
  <c r="T51" i="28"/>
  <c r="AA51" i="28" s="1"/>
  <c r="U51" i="28"/>
  <c r="AB51" i="28" s="1"/>
  <c r="V51" i="28"/>
  <c r="AC51" i="28" s="1"/>
  <c r="Q52" i="28"/>
  <c r="X52" i="28" s="1"/>
  <c r="R52" i="28"/>
  <c r="Y52" i="28" s="1"/>
  <c r="S52" i="28"/>
  <c r="Z52" i="28" s="1"/>
  <c r="T52" i="28"/>
  <c r="AA52" i="28" s="1"/>
  <c r="U52" i="28"/>
  <c r="AB52" i="28" s="1"/>
  <c r="V52" i="28"/>
  <c r="AC52" i="28" s="1"/>
  <c r="Q53" i="28"/>
  <c r="X53" i="28" s="1"/>
  <c r="R53" i="28"/>
  <c r="Y53" i="28" s="1"/>
  <c r="S53" i="28"/>
  <c r="Z53" i="28" s="1"/>
  <c r="T53" i="28"/>
  <c r="AA53" i="28" s="1"/>
  <c r="U53" i="28"/>
  <c r="AB53" i="28" s="1"/>
  <c r="V53" i="28"/>
  <c r="AC53" i="28" s="1"/>
  <c r="Q54" i="28"/>
  <c r="X54" i="28" s="1"/>
  <c r="R54" i="28"/>
  <c r="Y54" i="28" s="1"/>
  <c r="S54" i="28"/>
  <c r="Z54" i="28" s="1"/>
  <c r="T54" i="28"/>
  <c r="AA54" i="28" s="1"/>
  <c r="U54" i="28"/>
  <c r="AB54" i="28" s="1"/>
  <c r="V54" i="28"/>
  <c r="AC54" i="28" s="1"/>
  <c r="Q55" i="28"/>
  <c r="X55" i="28" s="1"/>
  <c r="R55" i="28"/>
  <c r="Y55" i="28" s="1"/>
  <c r="S55" i="28"/>
  <c r="Z55" i="28" s="1"/>
  <c r="T55" i="28"/>
  <c r="AA55" i="28" s="1"/>
  <c r="U55" i="28"/>
  <c r="AB55" i="28" s="1"/>
  <c r="V55" i="28"/>
  <c r="AC55" i="28" s="1"/>
  <c r="Q56" i="28"/>
  <c r="X56" i="28" s="1"/>
  <c r="R56" i="28"/>
  <c r="Y56" i="28" s="1"/>
  <c r="S56" i="28"/>
  <c r="Z56" i="28" s="1"/>
  <c r="T56" i="28"/>
  <c r="AA56" i="28" s="1"/>
  <c r="U56" i="28"/>
  <c r="AB56" i="28" s="1"/>
  <c r="Q57" i="28"/>
  <c r="X57" i="28" s="1"/>
  <c r="R57" i="28"/>
  <c r="Y57" i="28" s="1"/>
  <c r="S57" i="28"/>
  <c r="Z57" i="28" s="1"/>
  <c r="T57" i="28"/>
  <c r="AA57" i="28" s="1"/>
  <c r="U57" i="28"/>
  <c r="AB57" i="28" s="1"/>
  <c r="V57" i="28"/>
  <c r="AC57" i="28" s="1"/>
  <c r="Q58" i="28"/>
  <c r="X58" i="28" s="1"/>
  <c r="R58" i="28"/>
  <c r="Y58" i="28" s="1"/>
  <c r="S58" i="28"/>
  <c r="Z58" i="28" s="1"/>
  <c r="T58" i="28"/>
  <c r="AA58" i="28" s="1"/>
  <c r="U58" i="28"/>
  <c r="AB58" i="28" s="1"/>
  <c r="V58" i="28"/>
  <c r="AC58" i="28" s="1"/>
  <c r="Q59" i="28"/>
  <c r="X59" i="28" s="1"/>
  <c r="R59" i="28"/>
  <c r="Y59" i="28" s="1"/>
  <c r="S59" i="28"/>
  <c r="Z59" i="28" s="1"/>
  <c r="T59" i="28"/>
  <c r="AA59" i="28" s="1"/>
  <c r="U59" i="28"/>
  <c r="AB59" i="28" s="1"/>
  <c r="V59" i="28"/>
  <c r="AC59" i="28" s="1"/>
  <c r="Q60" i="28"/>
  <c r="X60" i="28" s="1"/>
  <c r="R60" i="28"/>
  <c r="Y60" i="28" s="1"/>
  <c r="S60" i="28"/>
  <c r="Z60" i="28" s="1"/>
  <c r="T60" i="28"/>
  <c r="AA60" i="28" s="1"/>
  <c r="U60" i="28"/>
  <c r="AB60" i="28" s="1"/>
  <c r="V60" i="28"/>
  <c r="AC60" i="28" s="1"/>
  <c r="Q61" i="28"/>
  <c r="X61" i="28" s="1"/>
  <c r="R61" i="28"/>
  <c r="Y61" i="28" s="1"/>
  <c r="S61" i="28"/>
  <c r="Z61" i="28" s="1"/>
  <c r="T61" i="28"/>
  <c r="AA61" i="28" s="1"/>
  <c r="U61" i="28"/>
  <c r="AB61" i="28" s="1"/>
  <c r="V61" i="28"/>
  <c r="AC61" i="28" s="1"/>
  <c r="Q62" i="28"/>
  <c r="X62" i="28" s="1"/>
  <c r="R62" i="28"/>
  <c r="Y62" i="28" s="1"/>
  <c r="S62" i="28"/>
  <c r="Z62" i="28" s="1"/>
  <c r="T62" i="28"/>
  <c r="AA62" i="28" s="1"/>
  <c r="U62" i="28"/>
  <c r="AB62" i="28" s="1"/>
  <c r="V62" i="28"/>
  <c r="AC62" i="28" s="1"/>
  <c r="Q63" i="28"/>
  <c r="X63" i="28" s="1"/>
  <c r="R63" i="28"/>
  <c r="Y63" i="28" s="1"/>
  <c r="S63" i="28"/>
  <c r="Z63" i="28" s="1"/>
  <c r="T63" i="28"/>
  <c r="AA63" i="28" s="1"/>
  <c r="U63" i="28"/>
  <c r="AB63" i="28" s="1"/>
  <c r="V63" i="28"/>
  <c r="AC63" i="28" s="1"/>
  <c r="Q64" i="28"/>
  <c r="X64" i="28" s="1"/>
  <c r="R64" i="28"/>
  <c r="Y64" i="28" s="1"/>
  <c r="S64" i="28"/>
  <c r="Z64" i="28" s="1"/>
  <c r="T64" i="28"/>
  <c r="AA64" i="28" s="1"/>
  <c r="U64" i="28"/>
  <c r="AB64" i="28" s="1"/>
  <c r="Q65" i="28"/>
  <c r="X65" i="28" s="1"/>
  <c r="R65" i="28"/>
  <c r="Y65" i="28" s="1"/>
  <c r="S65" i="28"/>
  <c r="Z65" i="28" s="1"/>
  <c r="T65" i="28"/>
  <c r="AA65" i="28" s="1"/>
  <c r="U65" i="28"/>
  <c r="AB65" i="28" s="1"/>
  <c r="V65" i="28"/>
  <c r="AC65" i="28" s="1"/>
  <c r="Q66" i="28"/>
  <c r="X66" i="28" s="1"/>
  <c r="R66" i="28"/>
  <c r="Y66" i="28" s="1"/>
  <c r="S66" i="28"/>
  <c r="Z66" i="28" s="1"/>
  <c r="T66" i="28"/>
  <c r="AA66" i="28" s="1"/>
  <c r="U66" i="28"/>
  <c r="AB66" i="28" s="1"/>
  <c r="V66" i="28"/>
  <c r="AC66" i="28" s="1"/>
  <c r="Q67" i="28"/>
  <c r="X67" i="28" s="1"/>
  <c r="R67" i="28"/>
  <c r="Y67" i="28" s="1"/>
  <c r="S67" i="28"/>
  <c r="Z67" i="28" s="1"/>
  <c r="T67" i="28"/>
  <c r="AA67" i="28" s="1"/>
  <c r="U67" i="28"/>
  <c r="AB67" i="28" s="1"/>
  <c r="V67" i="28"/>
  <c r="AC67" i="28" s="1"/>
  <c r="Q68" i="28"/>
  <c r="X68" i="28" s="1"/>
  <c r="R68" i="28"/>
  <c r="Y68" i="28" s="1"/>
  <c r="S68" i="28"/>
  <c r="Z68" i="28" s="1"/>
  <c r="T68" i="28"/>
  <c r="AA68" i="28" s="1"/>
  <c r="U68" i="28"/>
  <c r="AB68" i="28" s="1"/>
  <c r="V68" i="28"/>
  <c r="AC68" i="28" s="1"/>
  <c r="Q69" i="28"/>
  <c r="X69" i="28" s="1"/>
  <c r="R69" i="28"/>
  <c r="Y69" i="28" s="1"/>
  <c r="S69" i="28"/>
  <c r="Z69" i="28" s="1"/>
  <c r="T69" i="28"/>
  <c r="AA69" i="28" s="1"/>
  <c r="U69" i="28"/>
  <c r="AB69" i="28" s="1"/>
  <c r="V69" i="28"/>
  <c r="AC69" i="28" s="1"/>
  <c r="Q70" i="28"/>
  <c r="X70" i="28" s="1"/>
  <c r="R70" i="28"/>
  <c r="Y70" i="28" s="1"/>
  <c r="S70" i="28"/>
  <c r="Z70" i="28" s="1"/>
  <c r="T70" i="28"/>
  <c r="AA70" i="28" s="1"/>
  <c r="U70" i="28"/>
  <c r="AB70" i="28" s="1"/>
  <c r="V70" i="28"/>
  <c r="AC70" i="28" s="1"/>
  <c r="Q71" i="28"/>
  <c r="X71" i="28" s="1"/>
  <c r="R71" i="28"/>
  <c r="Y71" i="28" s="1"/>
  <c r="S71" i="28"/>
  <c r="Z71" i="28" s="1"/>
  <c r="T71" i="28"/>
  <c r="AA71" i="28" s="1"/>
  <c r="U71" i="28"/>
  <c r="AB71" i="28" s="1"/>
  <c r="V71" i="28"/>
  <c r="AC71" i="28" s="1"/>
  <c r="Q72" i="28"/>
  <c r="X72" i="28" s="1"/>
  <c r="R72" i="28"/>
  <c r="Y72" i="28" s="1"/>
  <c r="S72" i="28"/>
  <c r="Z72" i="28" s="1"/>
  <c r="T72" i="28"/>
  <c r="AA72" i="28" s="1"/>
  <c r="U72" i="28"/>
  <c r="AB72" i="28" s="1"/>
  <c r="Q73" i="28"/>
  <c r="X73" i="28" s="1"/>
  <c r="R73" i="28"/>
  <c r="Y73" i="28" s="1"/>
  <c r="S73" i="28"/>
  <c r="Z73" i="28" s="1"/>
  <c r="T73" i="28"/>
  <c r="AA73" i="28" s="1"/>
  <c r="U73" i="28"/>
  <c r="AB73" i="28" s="1"/>
  <c r="V73" i="28"/>
  <c r="AC73" i="28" s="1"/>
  <c r="Q74" i="28"/>
  <c r="X74" i="28" s="1"/>
  <c r="R74" i="28"/>
  <c r="Y74" i="28" s="1"/>
  <c r="S74" i="28"/>
  <c r="Z74" i="28" s="1"/>
  <c r="T74" i="28"/>
  <c r="AA74" i="28" s="1"/>
  <c r="U74" i="28"/>
  <c r="AB74" i="28" s="1"/>
  <c r="V74" i="28"/>
  <c r="AC74" i="28" s="1"/>
  <c r="Q75" i="28"/>
  <c r="X75" i="28" s="1"/>
  <c r="R75" i="28"/>
  <c r="Y75" i="28" s="1"/>
  <c r="S75" i="28"/>
  <c r="Z75" i="28" s="1"/>
  <c r="T75" i="28"/>
  <c r="AA75" i="28" s="1"/>
  <c r="U75" i="28"/>
  <c r="AB75" i="28" s="1"/>
  <c r="V75" i="28"/>
  <c r="AC75" i="28" s="1"/>
  <c r="Q76" i="28"/>
  <c r="X76" i="28" s="1"/>
  <c r="R76" i="28"/>
  <c r="Y76" i="28" s="1"/>
  <c r="S76" i="28"/>
  <c r="Z76" i="28" s="1"/>
  <c r="T76" i="28"/>
  <c r="AA76" i="28" s="1"/>
  <c r="U76" i="28"/>
  <c r="AB76" i="28" s="1"/>
  <c r="V76" i="28"/>
  <c r="AC76" i="28" s="1"/>
  <c r="Q77" i="28"/>
  <c r="X77" i="28" s="1"/>
  <c r="R77" i="28"/>
  <c r="Y77" i="28" s="1"/>
  <c r="S77" i="28"/>
  <c r="Z77" i="28" s="1"/>
  <c r="T77" i="28"/>
  <c r="AA77" i="28" s="1"/>
  <c r="U77" i="28"/>
  <c r="AB77" i="28" s="1"/>
  <c r="V77" i="28"/>
  <c r="AC77" i="28" s="1"/>
  <c r="Q78" i="28"/>
  <c r="X78" i="28" s="1"/>
  <c r="R78" i="28"/>
  <c r="Y78" i="28" s="1"/>
  <c r="S78" i="28"/>
  <c r="Z78" i="28" s="1"/>
  <c r="T78" i="28"/>
  <c r="AA78" i="28" s="1"/>
  <c r="U78" i="28"/>
  <c r="AB78" i="28" s="1"/>
  <c r="V78" i="28"/>
  <c r="AC78" i="28" s="1"/>
  <c r="Q79" i="28"/>
  <c r="X79" i="28" s="1"/>
  <c r="R79" i="28"/>
  <c r="Y79" i="28" s="1"/>
  <c r="S79" i="28"/>
  <c r="Z79" i="28" s="1"/>
  <c r="T79" i="28"/>
  <c r="AA79" i="28" s="1"/>
  <c r="U79" i="28"/>
  <c r="AB79" i="28" s="1"/>
  <c r="V79" i="28"/>
  <c r="AC79" i="28" s="1"/>
  <c r="Q80" i="28"/>
  <c r="X80" i="28" s="1"/>
  <c r="R80" i="28"/>
  <c r="Y80" i="28" s="1"/>
  <c r="S80" i="28"/>
  <c r="Z80" i="28" s="1"/>
  <c r="T80" i="28"/>
  <c r="AA80" i="28" s="1"/>
  <c r="U80" i="28"/>
  <c r="AB80" i="28" s="1"/>
  <c r="Q81" i="28"/>
  <c r="X81" i="28" s="1"/>
  <c r="R81" i="28"/>
  <c r="Y81" i="28" s="1"/>
  <c r="S81" i="28"/>
  <c r="Z81" i="28" s="1"/>
  <c r="T81" i="28"/>
  <c r="AA81" i="28" s="1"/>
  <c r="U81" i="28"/>
  <c r="AB81" i="28" s="1"/>
  <c r="V81" i="28"/>
  <c r="AC81" i="28" s="1"/>
  <c r="Q82" i="28"/>
  <c r="X82" i="28" s="1"/>
  <c r="R82" i="28"/>
  <c r="Y82" i="28" s="1"/>
  <c r="S82" i="28"/>
  <c r="Z82" i="28" s="1"/>
  <c r="T82" i="28"/>
  <c r="AA82" i="28" s="1"/>
  <c r="U82" i="28"/>
  <c r="AB82" i="28" s="1"/>
  <c r="V82" i="28"/>
  <c r="AC82" i="28" s="1"/>
  <c r="Q83" i="28"/>
  <c r="X83" i="28" s="1"/>
  <c r="R83" i="28"/>
  <c r="Y83" i="28" s="1"/>
  <c r="S83" i="28"/>
  <c r="Z83" i="28" s="1"/>
  <c r="T83" i="28"/>
  <c r="AA83" i="28" s="1"/>
  <c r="U83" i="28"/>
  <c r="AB83" i="28" s="1"/>
  <c r="V83" i="28"/>
  <c r="AC83" i="28" s="1"/>
  <c r="Q84" i="28"/>
  <c r="X84" i="28" s="1"/>
  <c r="R84" i="28"/>
  <c r="Y84" i="28" s="1"/>
  <c r="S84" i="28"/>
  <c r="Z84" i="28" s="1"/>
  <c r="T84" i="28"/>
  <c r="AA84" i="28" s="1"/>
  <c r="U84" i="28"/>
  <c r="AB84" i="28" s="1"/>
  <c r="V84" i="28"/>
  <c r="AC84" i="28" s="1"/>
  <c r="Q85" i="28"/>
  <c r="X85" i="28" s="1"/>
  <c r="R85" i="28"/>
  <c r="Y85" i="28" s="1"/>
  <c r="S85" i="28"/>
  <c r="Z85" i="28" s="1"/>
  <c r="T85" i="28"/>
  <c r="AA85" i="28" s="1"/>
  <c r="U85" i="28"/>
  <c r="AB85" i="28" s="1"/>
  <c r="V85" i="28"/>
  <c r="AC85" i="28" s="1"/>
  <c r="Q86" i="28"/>
  <c r="X86" i="28" s="1"/>
  <c r="R86" i="28"/>
  <c r="Y86" i="28" s="1"/>
  <c r="S86" i="28"/>
  <c r="Z86" i="28" s="1"/>
  <c r="T86" i="28"/>
  <c r="AA86" i="28" s="1"/>
  <c r="U86" i="28"/>
  <c r="AB86" i="28" s="1"/>
  <c r="V86" i="28"/>
  <c r="AC86" i="28" s="1"/>
  <c r="Q87" i="28"/>
  <c r="X87" i="28" s="1"/>
  <c r="R87" i="28"/>
  <c r="Y87" i="28" s="1"/>
  <c r="S87" i="28"/>
  <c r="Z87" i="28" s="1"/>
  <c r="T87" i="28"/>
  <c r="AA87" i="28" s="1"/>
  <c r="U87" i="28"/>
  <c r="AB87" i="28" s="1"/>
  <c r="V87" i="28"/>
  <c r="AC87" i="28" s="1"/>
  <c r="Q88" i="28"/>
  <c r="X88" i="28" s="1"/>
  <c r="R88" i="28"/>
  <c r="Y88" i="28" s="1"/>
  <c r="S88" i="28"/>
  <c r="Z88" i="28" s="1"/>
  <c r="T88" i="28"/>
  <c r="AA88" i="28" s="1"/>
  <c r="U88" i="28"/>
  <c r="AB88" i="28" s="1"/>
  <c r="Q89" i="28"/>
  <c r="X89" i="28" s="1"/>
  <c r="R89" i="28"/>
  <c r="Y89" i="28" s="1"/>
  <c r="S89" i="28"/>
  <c r="Z89" i="28" s="1"/>
  <c r="T89" i="28"/>
  <c r="AA89" i="28" s="1"/>
  <c r="U89" i="28"/>
  <c r="AB89" i="28" s="1"/>
  <c r="V89" i="28"/>
  <c r="AC89" i="28" s="1"/>
  <c r="Q90" i="28"/>
  <c r="X90" i="28" s="1"/>
  <c r="R90" i="28"/>
  <c r="Y90" i="28" s="1"/>
  <c r="S90" i="28"/>
  <c r="Z90" i="28" s="1"/>
  <c r="T90" i="28"/>
  <c r="AA90" i="28" s="1"/>
  <c r="U90" i="28"/>
  <c r="AB90" i="28" s="1"/>
  <c r="V90" i="28"/>
  <c r="AC90" i="28" s="1"/>
  <c r="Q91" i="28"/>
  <c r="X91" i="28" s="1"/>
  <c r="R91" i="28"/>
  <c r="Y91" i="28" s="1"/>
  <c r="S91" i="28"/>
  <c r="Z91" i="28" s="1"/>
  <c r="T91" i="28"/>
  <c r="AA91" i="28" s="1"/>
  <c r="U91" i="28"/>
  <c r="AB91" i="28" s="1"/>
  <c r="V91" i="28"/>
  <c r="AC91" i="28" s="1"/>
  <c r="Q92" i="28"/>
  <c r="X92" i="28" s="1"/>
  <c r="R92" i="28"/>
  <c r="Y92" i="28" s="1"/>
  <c r="S92" i="28"/>
  <c r="Z92" i="28" s="1"/>
  <c r="T92" i="28"/>
  <c r="AA92" i="28" s="1"/>
  <c r="U92" i="28"/>
  <c r="AB92" i="28" s="1"/>
  <c r="V92" i="28"/>
  <c r="AC92" i="28" s="1"/>
  <c r="Q93" i="28"/>
  <c r="X93" i="28" s="1"/>
  <c r="R93" i="28"/>
  <c r="Y93" i="28" s="1"/>
  <c r="S93" i="28"/>
  <c r="Z93" i="28" s="1"/>
  <c r="T93" i="28"/>
  <c r="AA93" i="28" s="1"/>
  <c r="U93" i="28"/>
  <c r="AB93" i="28" s="1"/>
  <c r="V93" i="28"/>
  <c r="AC93" i="28" s="1"/>
  <c r="Q94" i="28"/>
  <c r="X94" i="28" s="1"/>
  <c r="R94" i="28"/>
  <c r="Y94" i="28" s="1"/>
  <c r="S94" i="28"/>
  <c r="Z94" i="28" s="1"/>
  <c r="T94" i="28"/>
  <c r="AA94" i="28" s="1"/>
  <c r="U94" i="28"/>
  <c r="AB94" i="28" s="1"/>
  <c r="V94" i="28"/>
  <c r="AC94" i="28" s="1"/>
  <c r="Q95" i="28"/>
  <c r="X95" i="28" s="1"/>
  <c r="R95" i="28"/>
  <c r="Y95" i="28" s="1"/>
  <c r="S95" i="28"/>
  <c r="Z95" i="28" s="1"/>
  <c r="T95" i="28"/>
  <c r="AA95" i="28" s="1"/>
  <c r="U95" i="28"/>
  <c r="AB95" i="28" s="1"/>
  <c r="V95" i="28"/>
  <c r="AC95" i="28" s="1"/>
  <c r="Q96" i="28"/>
  <c r="X96" i="28" s="1"/>
  <c r="R96" i="28"/>
  <c r="Y96" i="28" s="1"/>
  <c r="S96" i="28"/>
  <c r="Z96" i="28" s="1"/>
  <c r="T96" i="28"/>
  <c r="AA96" i="28" s="1"/>
  <c r="U96" i="28"/>
  <c r="AB96" i="28" s="1"/>
  <c r="Q97" i="28"/>
  <c r="X97" i="28" s="1"/>
  <c r="R97" i="28"/>
  <c r="Y97" i="28" s="1"/>
  <c r="S97" i="28"/>
  <c r="Z97" i="28" s="1"/>
  <c r="T97" i="28"/>
  <c r="AA97" i="28" s="1"/>
  <c r="U97" i="28"/>
  <c r="AB97" i="28" s="1"/>
  <c r="V97" i="28"/>
  <c r="AC97" i="28" s="1"/>
  <c r="Q98" i="28"/>
  <c r="X98" i="28" s="1"/>
  <c r="R98" i="28"/>
  <c r="Y98" i="28" s="1"/>
  <c r="S98" i="28"/>
  <c r="Z98" i="28" s="1"/>
  <c r="T98" i="28"/>
  <c r="AA98" i="28" s="1"/>
  <c r="U98" i="28"/>
  <c r="AB98" i="28" s="1"/>
  <c r="V98" i="28"/>
  <c r="AC98" i="28" s="1"/>
  <c r="Q99" i="28"/>
  <c r="X99" i="28" s="1"/>
  <c r="R99" i="28"/>
  <c r="Y99" i="28" s="1"/>
  <c r="S99" i="28"/>
  <c r="Z99" i="28" s="1"/>
  <c r="T99" i="28"/>
  <c r="AA99" i="28" s="1"/>
  <c r="U99" i="28"/>
  <c r="AB99" i="28" s="1"/>
  <c r="V99" i="28"/>
  <c r="AC99" i="28" s="1"/>
  <c r="Q100" i="28"/>
  <c r="X100" i="28" s="1"/>
  <c r="R100" i="28"/>
  <c r="Y100" i="28" s="1"/>
  <c r="S100" i="28"/>
  <c r="Z100" i="28" s="1"/>
  <c r="T100" i="28"/>
  <c r="AA100" i="28" s="1"/>
  <c r="U100" i="28"/>
  <c r="AB100" i="28" s="1"/>
  <c r="V100" i="28"/>
  <c r="AC100" i="28" s="1"/>
  <c r="Q101" i="28"/>
  <c r="X101" i="28" s="1"/>
  <c r="R101" i="28"/>
  <c r="Y101" i="28" s="1"/>
  <c r="S101" i="28"/>
  <c r="Z101" i="28" s="1"/>
  <c r="T101" i="28"/>
  <c r="AA101" i="28" s="1"/>
  <c r="U101" i="28"/>
  <c r="AB101" i="28" s="1"/>
  <c r="V101" i="28"/>
  <c r="AC101" i="28" s="1"/>
  <c r="Q102" i="28"/>
  <c r="X102" i="28" s="1"/>
  <c r="R102" i="28"/>
  <c r="Y102" i="28" s="1"/>
  <c r="S102" i="28"/>
  <c r="Z102" i="28" s="1"/>
  <c r="T102" i="28"/>
  <c r="AA102" i="28" s="1"/>
  <c r="U102" i="28"/>
  <c r="AB102" i="28" s="1"/>
  <c r="V102" i="28"/>
  <c r="AC102" i="28" s="1"/>
  <c r="Q103" i="28"/>
  <c r="X103" i="28" s="1"/>
  <c r="R103" i="28"/>
  <c r="Y103" i="28" s="1"/>
  <c r="S103" i="28"/>
  <c r="Z103" i="28" s="1"/>
  <c r="T103" i="28"/>
  <c r="AA103" i="28" s="1"/>
  <c r="U103" i="28"/>
  <c r="AB103" i="28" s="1"/>
  <c r="V103" i="28"/>
  <c r="AC103" i="28" s="1"/>
  <c r="Q104" i="28"/>
  <c r="X104" i="28" s="1"/>
  <c r="R104" i="28"/>
  <c r="Y104" i="28" s="1"/>
  <c r="S104" i="28"/>
  <c r="Z104" i="28" s="1"/>
  <c r="T104" i="28"/>
  <c r="AA104" i="28" s="1"/>
  <c r="U104" i="28"/>
  <c r="AB104" i="28" s="1"/>
  <c r="Q105" i="28"/>
  <c r="X105" i="28" s="1"/>
  <c r="R105" i="28"/>
  <c r="Y105" i="28" s="1"/>
  <c r="S105" i="28"/>
  <c r="Z105" i="28" s="1"/>
  <c r="T105" i="28"/>
  <c r="AA105" i="28" s="1"/>
  <c r="U105" i="28"/>
  <c r="AB105" i="28" s="1"/>
  <c r="V105" i="28"/>
  <c r="AC105" i="28" s="1"/>
  <c r="Q106" i="28"/>
  <c r="X106" i="28" s="1"/>
  <c r="R106" i="28"/>
  <c r="Y106" i="28" s="1"/>
  <c r="S106" i="28"/>
  <c r="Z106" i="28" s="1"/>
  <c r="T106" i="28"/>
  <c r="AA106" i="28" s="1"/>
  <c r="U106" i="28"/>
  <c r="AB106" i="28" s="1"/>
  <c r="V106" i="28"/>
  <c r="AC106" i="28" s="1"/>
  <c r="Q107" i="28"/>
  <c r="X107" i="28" s="1"/>
  <c r="R107" i="28"/>
  <c r="Y107" i="28" s="1"/>
  <c r="S107" i="28"/>
  <c r="Z107" i="28" s="1"/>
  <c r="T107" i="28"/>
  <c r="AA107" i="28" s="1"/>
  <c r="U107" i="28"/>
  <c r="AB107" i="28" s="1"/>
  <c r="V107" i="28"/>
  <c r="AC107" i="28" s="1"/>
  <c r="Q108" i="28"/>
  <c r="X108" i="28" s="1"/>
  <c r="R108" i="28"/>
  <c r="Y108" i="28" s="1"/>
  <c r="S108" i="28"/>
  <c r="Z108" i="28" s="1"/>
  <c r="T108" i="28"/>
  <c r="AA108" i="28" s="1"/>
  <c r="U108" i="28"/>
  <c r="AB108" i="28" s="1"/>
  <c r="V108" i="28"/>
  <c r="AC108" i="28" s="1"/>
  <c r="Q109" i="28"/>
  <c r="X109" i="28" s="1"/>
  <c r="R109" i="28"/>
  <c r="Y109" i="28" s="1"/>
  <c r="S109" i="28"/>
  <c r="Z109" i="28" s="1"/>
  <c r="T109" i="28"/>
  <c r="AA109" i="28" s="1"/>
  <c r="U109" i="28"/>
  <c r="AB109" i="28" s="1"/>
  <c r="V109" i="28"/>
  <c r="AC109" i="28" s="1"/>
  <c r="Q110" i="28"/>
  <c r="X110" i="28" s="1"/>
  <c r="R110" i="28"/>
  <c r="Y110" i="28" s="1"/>
  <c r="S110" i="28"/>
  <c r="Z110" i="28" s="1"/>
  <c r="T110" i="28"/>
  <c r="AA110" i="28" s="1"/>
  <c r="U110" i="28"/>
  <c r="AB110" i="28" s="1"/>
  <c r="V110" i="28"/>
  <c r="AC110" i="28" s="1"/>
  <c r="Q111" i="28"/>
  <c r="X111" i="28" s="1"/>
  <c r="R111" i="28"/>
  <c r="Y111" i="28" s="1"/>
  <c r="S111" i="28"/>
  <c r="Z111" i="28" s="1"/>
  <c r="T111" i="28"/>
  <c r="AA111" i="28" s="1"/>
  <c r="U111" i="28"/>
  <c r="AB111" i="28" s="1"/>
  <c r="V111" i="28"/>
  <c r="AC111" i="28" s="1"/>
  <c r="Q112" i="28"/>
  <c r="X112" i="28" s="1"/>
  <c r="R112" i="28"/>
  <c r="Y112" i="28" s="1"/>
  <c r="S112" i="28"/>
  <c r="Z112" i="28" s="1"/>
  <c r="T112" i="28"/>
  <c r="AA112" i="28" s="1"/>
  <c r="U112" i="28"/>
  <c r="AB112" i="28" s="1"/>
  <c r="Q113" i="28"/>
  <c r="X113" i="28" s="1"/>
  <c r="R113" i="28"/>
  <c r="Y113" i="28" s="1"/>
  <c r="S113" i="28"/>
  <c r="Z113" i="28" s="1"/>
  <c r="T113" i="28"/>
  <c r="AA113" i="28" s="1"/>
  <c r="U113" i="28"/>
  <c r="AB113" i="28" s="1"/>
  <c r="V113" i="28"/>
  <c r="AC113" i="28" s="1"/>
  <c r="Q114" i="28"/>
  <c r="X114" i="28" s="1"/>
  <c r="R114" i="28"/>
  <c r="Y114" i="28" s="1"/>
  <c r="S114" i="28"/>
  <c r="Z114" i="28" s="1"/>
  <c r="T114" i="28"/>
  <c r="AA114" i="28" s="1"/>
  <c r="U114" i="28"/>
  <c r="AB114" i="28" s="1"/>
  <c r="V114" i="28"/>
  <c r="AC114" i="28" s="1"/>
  <c r="Q115" i="28"/>
  <c r="X115" i="28" s="1"/>
  <c r="R115" i="28"/>
  <c r="Y115" i="28" s="1"/>
  <c r="S115" i="28"/>
  <c r="Z115" i="28" s="1"/>
  <c r="T115" i="28"/>
  <c r="AA115" i="28" s="1"/>
  <c r="U115" i="28"/>
  <c r="AB115" i="28" s="1"/>
  <c r="V115" i="28"/>
  <c r="AC115" i="28" s="1"/>
  <c r="Q116" i="28"/>
  <c r="X116" i="28" s="1"/>
  <c r="R116" i="28"/>
  <c r="Y116" i="28" s="1"/>
  <c r="S116" i="28"/>
  <c r="Z116" i="28" s="1"/>
  <c r="T116" i="28"/>
  <c r="AA116" i="28" s="1"/>
  <c r="U116" i="28"/>
  <c r="AB116" i="28" s="1"/>
  <c r="V116" i="28"/>
  <c r="AC116" i="28" s="1"/>
  <c r="Q117" i="28"/>
  <c r="X117" i="28" s="1"/>
  <c r="R117" i="28"/>
  <c r="Y117" i="28" s="1"/>
  <c r="S117" i="28"/>
  <c r="Z117" i="28" s="1"/>
  <c r="T117" i="28"/>
  <c r="AA117" i="28" s="1"/>
  <c r="U117" i="28"/>
  <c r="AB117" i="28" s="1"/>
  <c r="V117" i="28"/>
  <c r="AC117" i="28" s="1"/>
  <c r="Q118" i="28"/>
  <c r="X118" i="28" s="1"/>
  <c r="R118" i="28"/>
  <c r="Y118" i="28" s="1"/>
  <c r="S118" i="28"/>
  <c r="Z118" i="28" s="1"/>
  <c r="T118" i="28"/>
  <c r="AA118" i="28" s="1"/>
  <c r="U118" i="28"/>
  <c r="AB118" i="28" s="1"/>
  <c r="V118" i="28"/>
  <c r="AC118" i="28" s="1"/>
  <c r="Q119" i="28"/>
  <c r="X119" i="28" s="1"/>
  <c r="R119" i="28"/>
  <c r="Y119" i="28" s="1"/>
  <c r="S119" i="28"/>
  <c r="Z119" i="28" s="1"/>
  <c r="T119" i="28"/>
  <c r="AA119" i="28" s="1"/>
  <c r="U119" i="28"/>
  <c r="AB119" i="28" s="1"/>
  <c r="V119" i="28"/>
  <c r="AC119" i="28" s="1"/>
  <c r="Q120" i="28"/>
  <c r="X120" i="28" s="1"/>
  <c r="R120" i="28"/>
  <c r="Y120" i="28" s="1"/>
  <c r="S120" i="28"/>
  <c r="Z120" i="28" s="1"/>
  <c r="T120" i="28"/>
  <c r="AA120" i="28" s="1"/>
  <c r="U120" i="28"/>
  <c r="AB120" i="28" s="1"/>
  <c r="Q121" i="28"/>
  <c r="X121" i="28" s="1"/>
  <c r="R121" i="28"/>
  <c r="Y121" i="28" s="1"/>
  <c r="S121" i="28"/>
  <c r="Z121" i="28" s="1"/>
  <c r="T121" i="28"/>
  <c r="AA121" i="28" s="1"/>
  <c r="U121" i="28"/>
  <c r="AB121" i="28" s="1"/>
  <c r="V121" i="28"/>
  <c r="AC121" i="28" s="1"/>
  <c r="Q122" i="28"/>
  <c r="X122" i="28" s="1"/>
  <c r="R122" i="28"/>
  <c r="Y122" i="28" s="1"/>
  <c r="S122" i="28"/>
  <c r="Z122" i="28" s="1"/>
  <c r="T122" i="28"/>
  <c r="AA122" i="28" s="1"/>
  <c r="U122" i="28"/>
  <c r="AB122" i="28" s="1"/>
  <c r="V122" i="28"/>
  <c r="AC122" i="28" s="1"/>
  <c r="Q123" i="28"/>
  <c r="X123" i="28" s="1"/>
  <c r="R123" i="28"/>
  <c r="Y123" i="28" s="1"/>
  <c r="S123" i="28"/>
  <c r="Z123" i="28" s="1"/>
  <c r="T123" i="28"/>
  <c r="AA123" i="28" s="1"/>
  <c r="U123" i="28"/>
  <c r="AB123" i="28" s="1"/>
  <c r="V123" i="28"/>
  <c r="AC123" i="28" s="1"/>
  <c r="Q124" i="28"/>
  <c r="X124" i="28" s="1"/>
  <c r="R124" i="28"/>
  <c r="Y124" i="28" s="1"/>
  <c r="S124" i="28"/>
  <c r="Z124" i="28" s="1"/>
  <c r="T124" i="28"/>
  <c r="AA124" i="28" s="1"/>
  <c r="U124" i="28"/>
  <c r="AB124" i="28" s="1"/>
  <c r="V124" i="28"/>
  <c r="AC124" i="28" s="1"/>
  <c r="Q125" i="28"/>
  <c r="X125" i="28" s="1"/>
  <c r="R125" i="28"/>
  <c r="Y125" i="28" s="1"/>
  <c r="S125" i="28"/>
  <c r="Z125" i="28" s="1"/>
  <c r="T125" i="28"/>
  <c r="AA125" i="28" s="1"/>
  <c r="U125" i="28"/>
  <c r="AB125" i="28" s="1"/>
  <c r="V125" i="28"/>
  <c r="AC125" i="28" s="1"/>
  <c r="Q126" i="28"/>
  <c r="X126" i="28" s="1"/>
  <c r="R126" i="28"/>
  <c r="Y126" i="28" s="1"/>
  <c r="S126" i="28"/>
  <c r="Z126" i="28" s="1"/>
  <c r="T126" i="28"/>
  <c r="AA126" i="28" s="1"/>
  <c r="U126" i="28"/>
  <c r="AB126" i="28" s="1"/>
  <c r="V126" i="28"/>
  <c r="AC126" i="28" s="1"/>
  <c r="Q127" i="28"/>
  <c r="X127" i="28" s="1"/>
  <c r="R127" i="28"/>
  <c r="Y127" i="28" s="1"/>
  <c r="S127" i="28"/>
  <c r="Z127" i="28" s="1"/>
  <c r="T127" i="28"/>
  <c r="AA127" i="28" s="1"/>
  <c r="U127" i="28"/>
  <c r="AB127" i="28" s="1"/>
  <c r="V127" i="28"/>
  <c r="AC127" i="28" s="1"/>
  <c r="Q128" i="28"/>
  <c r="X128" i="28" s="1"/>
  <c r="R128" i="28"/>
  <c r="Y128" i="28" s="1"/>
  <c r="S128" i="28"/>
  <c r="Z128" i="28" s="1"/>
  <c r="T128" i="28"/>
  <c r="AA128" i="28" s="1"/>
  <c r="U128" i="28"/>
  <c r="AB128" i="28" s="1"/>
  <c r="Q129" i="28"/>
  <c r="X129" i="28" s="1"/>
  <c r="R129" i="28"/>
  <c r="Y129" i="28" s="1"/>
  <c r="S129" i="28"/>
  <c r="Z129" i="28" s="1"/>
  <c r="T129" i="28"/>
  <c r="AA129" i="28" s="1"/>
  <c r="U129" i="28"/>
  <c r="AB129" i="28" s="1"/>
  <c r="V129" i="28"/>
  <c r="AC129" i="28" s="1"/>
  <c r="Q130" i="28"/>
  <c r="X130" i="28" s="1"/>
  <c r="R130" i="28"/>
  <c r="Y130" i="28" s="1"/>
  <c r="S130" i="28"/>
  <c r="Z130" i="28" s="1"/>
  <c r="T130" i="28"/>
  <c r="AA130" i="28" s="1"/>
  <c r="U130" i="28"/>
  <c r="AB130" i="28" s="1"/>
  <c r="V130" i="28"/>
  <c r="AC130" i="28" s="1"/>
  <c r="Q131" i="28"/>
  <c r="X131" i="28" s="1"/>
  <c r="R131" i="28"/>
  <c r="Y131" i="28" s="1"/>
  <c r="S131" i="28"/>
  <c r="Z131" i="28" s="1"/>
  <c r="T131" i="28"/>
  <c r="AA131" i="28" s="1"/>
  <c r="U131" i="28"/>
  <c r="AB131" i="28" s="1"/>
  <c r="V131" i="28"/>
  <c r="AC131" i="28" s="1"/>
  <c r="Q132" i="28"/>
  <c r="X132" i="28" s="1"/>
  <c r="R132" i="28"/>
  <c r="Y132" i="28" s="1"/>
  <c r="S132" i="28"/>
  <c r="Z132" i="28" s="1"/>
  <c r="T132" i="28"/>
  <c r="AA132" i="28" s="1"/>
  <c r="U132" i="28"/>
  <c r="AB132" i="28" s="1"/>
  <c r="V132" i="28"/>
  <c r="AC132" i="28" s="1"/>
  <c r="Q133" i="28"/>
  <c r="X133" i="28" s="1"/>
  <c r="R133" i="28"/>
  <c r="Y133" i="28" s="1"/>
  <c r="S133" i="28"/>
  <c r="Z133" i="28" s="1"/>
  <c r="T133" i="28"/>
  <c r="AA133" i="28" s="1"/>
  <c r="U133" i="28"/>
  <c r="AB133" i="28" s="1"/>
  <c r="V133" i="28"/>
  <c r="AC133" i="28" s="1"/>
  <c r="Q134" i="28"/>
  <c r="X134" i="28" s="1"/>
  <c r="R134" i="28"/>
  <c r="Y134" i="28" s="1"/>
  <c r="S134" i="28"/>
  <c r="Z134" i="28" s="1"/>
  <c r="T134" i="28"/>
  <c r="AA134" i="28" s="1"/>
  <c r="U134" i="28"/>
  <c r="AB134" i="28" s="1"/>
  <c r="V134" i="28"/>
  <c r="AC134" i="28" s="1"/>
  <c r="Q135" i="28"/>
  <c r="X135" i="28" s="1"/>
  <c r="R135" i="28"/>
  <c r="Y135" i="28" s="1"/>
  <c r="S135" i="28"/>
  <c r="Z135" i="28" s="1"/>
  <c r="T135" i="28"/>
  <c r="AA135" i="28" s="1"/>
  <c r="U135" i="28"/>
  <c r="AB135" i="28" s="1"/>
  <c r="V135" i="28"/>
  <c r="AC135" i="28" s="1"/>
  <c r="Q136" i="28"/>
  <c r="X136" i="28" s="1"/>
  <c r="R136" i="28"/>
  <c r="Y136" i="28" s="1"/>
  <c r="S136" i="28"/>
  <c r="Z136" i="28" s="1"/>
  <c r="T136" i="28"/>
  <c r="AA136" i="28" s="1"/>
  <c r="U136" i="28"/>
  <c r="AB136" i="28" s="1"/>
  <c r="Q137" i="28"/>
  <c r="X137" i="28" s="1"/>
  <c r="R137" i="28"/>
  <c r="Y137" i="28" s="1"/>
  <c r="S137" i="28"/>
  <c r="Z137" i="28" s="1"/>
  <c r="T137" i="28"/>
  <c r="AA137" i="28" s="1"/>
  <c r="U137" i="28"/>
  <c r="AB137" i="28" s="1"/>
  <c r="V137" i="28"/>
  <c r="AC137" i="28" s="1"/>
  <c r="Q138" i="28"/>
  <c r="X138" i="28" s="1"/>
  <c r="R138" i="28"/>
  <c r="Y138" i="28" s="1"/>
  <c r="S138" i="28"/>
  <c r="Z138" i="28" s="1"/>
  <c r="T138" i="28"/>
  <c r="AA138" i="28" s="1"/>
  <c r="U138" i="28"/>
  <c r="AB138" i="28" s="1"/>
  <c r="V138" i="28"/>
  <c r="AC138" i="28" s="1"/>
  <c r="Q139" i="28"/>
  <c r="X139" i="28" s="1"/>
  <c r="R139" i="28"/>
  <c r="Y139" i="28" s="1"/>
  <c r="S139" i="28"/>
  <c r="Z139" i="28" s="1"/>
  <c r="T139" i="28"/>
  <c r="AA139" i="28" s="1"/>
  <c r="U139" i="28"/>
  <c r="AB139" i="28" s="1"/>
  <c r="V139" i="28"/>
  <c r="AC139" i="28" s="1"/>
  <c r="Q140" i="28"/>
  <c r="X140" i="28" s="1"/>
  <c r="R140" i="28"/>
  <c r="Y140" i="28" s="1"/>
  <c r="S140" i="28"/>
  <c r="Z140" i="28" s="1"/>
  <c r="T140" i="28"/>
  <c r="AA140" i="28" s="1"/>
  <c r="U140" i="28"/>
  <c r="AB140" i="28" s="1"/>
  <c r="V140" i="28"/>
  <c r="AC140" i="28" s="1"/>
  <c r="Q141" i="28"/>
  <c r="X141" i="28" s="1"/>
  <c r="R141" i="28"/>
  <c r="Y141" i="28" s="1"/>
  <c r="S141" i="28"/>
  <c r="Z141" i="28" s="1"/>
  <c r="T141" i="28"/>
  <c r="AA141" i="28" s="1"/>
  <c r="U141" i="28"/>
  <c r="AB141" i="28" s="1"/>
  <c r="V141" i="28"/>
  <c r="AC141" i="28" s="1"/>
  <c r="Q142" i="28"/>
  <c r="X142" i="28" s="1"/>
  <c r="R142" i="28"/>
  <c r="Y142" i="28" s="1"/>
  <c r="S142" i="28"/>
  <c r="Z142" i="28" s="1"/>
  <c r="T142" i="28"/>
  <c r="AA142" i="28" s="1"/>
  <c r="U142" i="28"/>
  <c r="AB142" i="28" s="1"/>
  <c r="V142" i="28"/>
  <c r="AC142" i="28" s="1"/>
  <c r="Q143" i="28"/>
  <c r="X143" i="28" s="1"/>
  <c r="R143" i="28"/>
  <c r="Y143" i="28" s="1"/>
  <c r="S143" i="28"/>
  <c r="Z143" i="28" s="1"/>
  <c r="T143" i="28"/>
  <c r="AA143" i="28" s="1"/>
  <c r="U143" i="28"/>
  <c r="AB143" i="28" s="1"/>
  <c r="V143" i="28"/>
  <c r="AC143" i="28" s="1"/>
  <c r="Q144" i="28"/>
  <c r="X144" i="28" s="1"/>
  <c r="R144" i="28"/>
  <c r="Y144" i="28" s="1"/>
  <c r="S144" i="28"/>
  <c r="Z144" i="28" s="1"/>
  <c r="T144" i="28"/>
  <c r="AA144" i="28" s="1"/>
  <c r="U144" i="28"/>
  <c r="AB144" i="28" s="1"/>
  <c r="Q145" i="28"/>
  <c r="X145" i="28" s="1"/>
  <c r="R145" i="28"/>
  <c r="Y145" i="28" s="1"/>
  <c r="S145" i="28"/>
  <c r="Z145" i="28" s="1"/>
  <c r="T145" i="28"/>
  <c r="AA145" i="28" s="1"/>
  <c r="U145" i="28"/>
  <c r="AB145" i="28" s="1"/>
  <c r="V145" i="28"/>
  <c r="AC145" i="28" s="1"/>
  <c r="Q146" i="28"/>
  <c r="X146" i="28" s="1"/>
  <c r="R146" i="28"/>
  <c r="Y146" i="28" s="1"/>
  <c r="S146" i="28"/>
  <c r="Z146" i="28" s="1"/>
  <c r="T146" i="28"/>
  <c r="AA146" i="28" s="1"/>
  <c r="U146" i="28"/>
  <c r="AB146" i="28" s="1"/>
  <c r="V146" i="28"/>
  <c r="AC146" i="28" s="1"/>
  <c r="Q147" i="28"/>
  <c r="X147" i="28" s="1"/>
  <c r="R147" i="28"/>
  <c r="Y147" i="28" s="1"/>
  <c r="S147" i="28"/>
  <c r="Z147" i="28" s="1"/>
  <c r="T147" i="28"/>
  <c r="AA147" i="28" s="1"/>
  <c r="U147" i="28"/>
  <c r="AB147" i="28" s="1"/>
  <c r="V147" i="28"/>
  <c r="AC147" i="28" s="1"/>
  <c r="Q148" i="28"/>
  <c r="X148" i="28" s="1"/>
  <c r="R148" i="28"/>
  <c r="Y148" i="28" s="1"/>
  <c r="S148" i="28"/>
  <c r="Z148" i="28" s="1"/>
  <c r="T148" i="28"/>
  <c r="AA148" i="28" s="1"/>
  <c r="U148" i="28"/>
  <c r="AB148" i="28" s="1"/>
  <c r="V148" i="28"/>
  <c r="AC148" i="28" s="1"/>
  <c r="Q149" i="28"/>
  <c r="X149" i="28" s="1"/>
  <c r="R149" i="28"/>
  <c r="Y149" i="28" s="1"/>
  <c r="S149" i="28"/>
  <c r="Z149" i="28" s="1"/>
  <c r="T149" i="28"/>
  <c r="AA149" i="28" s="1"/>
  <c r="U149" i="28"/>
  <c r="AB149" i="28" s="1"/>
  <c r="V149" i="28"/>
  <c r="AC149" i="28" s="1"/>
  <c r="Q150" i="28"/>
  <c r="X150" i="28" s="1"/>
  <c r="R150" i="28"/>
  <c r="Y150" i="28" s="1"/>
  <c r="S150" i="28"/>
  <c r="Z150" i="28" s="1"/>
  <c r="T150" i="28"/>
  <c r="AA150" i="28" s="1"/>
  <c r="U150" i="28"/>
  <c r="AB150" i="28" s="1"/>
  <c r="V150" i="28"/>
  <c r="AC150" i="28" s="1"/>
  <c r="Q151" i="28"/>
  <c r="X151" i="28" s="1"/>
  <c r="R151" i="28"/>
  <c r="Y151" i="28" s="1"/>
  <c r="S151" i="28"/>
  <c r="Z151" i="28" s="1"/>
  <c r="T151" i="28"/>
  <c r="AA151" i="28" s="1"/>
  <c r="U151" i="28"/>
  <c r="AB151" i="28" s="1"/>
  <c r="V151" i="28"/>
  <c r="AC151" i="28" s="1"/>
  <c r="Q152" i="28"/>
  <c r="X152" i="28" s="1"/>
  <c r="R152" i="28"/>
  <c r="Y152" i="28" s="1"/>
  <c r="S152" i="28"/>
  <c r="Z152" i="28" s="1"/>
  <c r="T152" i="28"/>
  <c r="AA152" i="28" s="1"/>
  <c r="U152" i="28"/>
  <c r="AB152" i="28" s="1"/>
  <c r="Q153" i="28"/>
  <c r="X153" i="28" s="1"/>
  <c r="R153" i="28"/>
  <c r="Y153" i="28" s="1"/>
  <c r="S153" i="28"/>
  <c r="Z153" i="28" s="1"/>
  <c r="T153" i="28"/>
  <c r="AA153" i="28" s="1"/>
  <c r="U153" i="28"/>
  <c r="AB153" i="28" s="1"/>
  <c r="V153" i="28"/>
  <c r="AC153" i="28" s="1"/>
  <c r="Q154" i="28"/>
  <c r="X154" i="28" s="1"/>
  <c r="R154" i="28"/>
  <c r="Y154" i="28" s="1"/>
  <c r="S154" i="28"/>
  <c r="Z154" i="28" s="1"/>
  <c r="T154" i="28"/>
  <c r="AA154" i="28" s="1"/>
  <c r="U154" i="28"/>
  <c r="AB154" i="28" s="1"/>
  <c r="V154" i="28"/>
  <c r="AC154" i="28" s="1"/>
  <c r="Q155" i="28"/>
  <c r="X155" i="28" s="1"/>
  <c r="R155" i="28"/>
  <c r="Y155" i="28" s="1"/>
  <c r="S155" i="28"/>
  <c r="Z155" i="28" s="1"/>
  <c r="T155" i="28"/>
  <c r="AA155" i="28" s="1"/>
  <c r="U155" i="28"/>
  <c r="AB155" i="28" s="1"/>
  <c r="V155" i="28"/>
  <c r="AC155" i="28" s="1"/>
  <c r="Q156" i="28"/>
  <c r="X156" i="28" s="1"/>
  <c r="R156" i="28"/>
  <c r="Y156" i="28" s="1"/>
  <c r="S156" i="28"/>
  <c r="Z156" i="28" s="1"/>
  <c r="T156" i="28"/>
  <c r="AA156" i="28" s="1"/>
  <c r="U156" i="28"/>
  <c r="AB156" i="28" s="1"/>
  <c r="V156" i="28"/>
  <c r="AC156" i="28" s="1"/>
  <c r="Q157" i="28"/>
  <c r="X157" i="28" s="1"/>
  <c r="R157" i="28"/>
  <c r="Y157" i="28" s="1"/>
  <c r="S157" i="28"/>
  <c r="Z157" i="28" s="1"/>
  <c r="T157" i="28"/>
  <c r="AA157" i="28" s="1"/>
  <c r="U157" i="28"/>
  <c r="AB157" i="28" s="1"/>
  <c r="V157" i="28"/>
  <c r="AC157" i="28" s="1"/>
  <c r="Q158" i="28"/>
  <c r="X158" i="28" s="1"/>
  <c r="R158" i="28"/>
  <c r="Y158" i="28" s="1"/>
  <c r="S158" i="28"/>
  <c r="Z158" i="28" s="1"/>
  <c r="T158" i="28"/>
  <c r="AA158" i="28" s="1"/>
  <c r="U158" i="28"/>
  <c r="AB158" i="28" s="1"/>
  <c r="V158" i="28"/>
  <c r="AC158" i="28" s="1"/>
  <c r="Q159" i="28"/>
  <c r="X159" i="28" s="1"/>
  <c r="R159" i="28"/>
  <c r="Y159" i="28" s="1"/>
  <c r="S159" i="28"/>
  <c r="Z159" i="28" s="1"/>
  <c r="T159" i="28"/>
  <c r="AA159" i="28" s="1"/>
  <c r="U159" i="28"/>
  <c r="AB159" i="28" s="1"/>
  <c r="V159" i="28"/>
  <c r="AC159" i="28" s="1"/>
  <c r="Q160" i="28"/>
  <c r="X160" i="28" s="1"/>
  <c r="R160" i="28"/>
  <c r="Y160" i="28" s="1"/>
  <c r="S160" i="28"/>
  <c r="Z160" i="28" s="1"/>
  <c r="T160" i="28"/>
  <c r="AA160" i="28" s="1"/>
  <c r="U160" i="28"/>
  <c r="AB160" i="28" s="1"/>
  <c r="Q161" i="28"/>
  <c r="X161" i="28" s="1"/>
  <c r="R161" i="28"/>
  <c r="Y161" i="28" s="1"/>
  <c r="S161" i="28"/>
  <c r="Z161" i="28" s="1"/>
  <c r="T161" i="28"/>
  <c r="AA161" i="28" s="1"/>
  <c r="U161" i="28"/>
  <c r="AB161" i="28" s="1"/>
  <c r="V161" i="28"/>
  <c r="AC161" i="28" s="1"/>
  <c r="Q162" i="28"/>
  <c r="X162" i="28" s="1"/>
  <c r="R162" i="28"/>
  <c r="Y162" i="28" s="1"/>
  <c r="S162" i="28"/>
  <c r="Z162" i="28" s="1"/>
  <c r="T162" i="28"/>
  <c r="AA162" i="28" s="1"/>
  <c r="U162" i="28"/>
  <c r="AB162" i="28" s="1"/>
  <c r="V162" i="28"/>
  <c r="AC162" i="28" s="1"/>
  <c r="Q163" i="28"/>
  <c r="X163" i="28" s="1"/>
  <c r="R163" i="28"/>
  <c r="Y163" i="28" s="1"/>
  <c r="S163" i="28"/>
  <c r="Z163" i="28" s="1"/>
  <c r="T163" i="28"/>
  <c r="AA163" i="28" s="1"/>
  <c r="U163" i="28"/>
  <c r="AB163" i="28" s="1"/>
  <c r="V163" i="28"/>
  <c r="AC163" i="28" s="1"/>
  <c r="Q164" i="28"/>
  <c r="X164" i="28" s="1"/>
  <c r="R164" i="28"/>
  <c r="Y164" i="28" s="1"/>
  <c r="S164" i="28"/>
  <c r="Z164" i="28" s="1"/>
  <c r="T164" i="28"/>
  <c r="AA164" i="28" s="1"/>
  <c r="U164" i="28"/>
  <c r="AB164" i="28" s="1"/>
  <c r="V164" i="28"/>
  <c r="AC164" i="28" s="1"/>
  <c r="Q165" i="28"/>
  <c r="X165" i="28" s="1"/>
  <c r="R165" i="28"/>
  <c r="Y165" i="28" s="1"/>
  <c r="S165" i="28"/>
  <c r="Z165" i="28" s="1"/>
  <c r="T165" i="28"/>
  <c r="AA165" i="28" s="1"/>
  <c r="U165" i="28"/>
  <c r="AB165" i="28" s="1"/>
  <c r="V165" i="28"/>
  <c r="AC165" i="28" s="1"/>
  <c r="Q166" i="28"/>
  <c r="X166" i="28" s="1"/>
  <c r="R166" i="28"/>
  <c r="Y166" i="28" s="1"/>
  <c r="S166" i="28"/>
  <c r="Z166" i="28" s="1"/>
  <c r="T166" i="28"/>
  <c r="AA166" i="28" s="1"/>
  <c r="U166" i="28"/>
  <c r="AB166" i="28" s="1"/>
  <c r="V166" i="28"/>
  <c r="AC166" i="28" s="1"/>
  <c r="Q167" i="28"/>
  <c r="X167" i="28" s="1"/>
  <c r="R167" i="28"/>
  <c r="Y167" i="28" s="1"/>
  <c r="S167" i="28"/>
  <c r="Z167" i="28" s="1"/>
  <c r="T167" i="28"/>
  <c r="AA167" i="28" s="1"/>
  <c r="U167" i="28"/>
  <c r="AB167" i="28" s="1"/>
  <c r="V167" i="28"/>
  <c r="AC167" i="28" s="1"/>
  <c r="Q168" i="28"/>
  <c r="X168" i="28" s="1"/>
  <c r="R168" i="28"/>
  <c r="Y168" i="28" s="1"/>
  <c r="S168" i="28"/>
  <c r="Z168" i="28" s="1"/>
  <c r="T168" i="28"/>
  <c r="AA168" i="28" s="1"/>
  <c r="U168" i="28"/>
  <c r="AB168" i="28" s="1"/>
  <c r="Q169" i="28"/>
  <c r="X169" i="28" s="1"/>
  <c r="R169" i="28"/>
  <c r="Y169" i="28" s="1"/>
  <c r="S169" i="28"/>
  <c r="Z169" i="28" s="1"/>
  <c r="T169" i="28"/>
  <c r="AA169" i="28" s="1"/>
  <c r="U169" i="28"/>
  <c r="AB169" i="28" s="1"/>
  <c r="V169" i="28"/>
  <c r="AC169" i="28" s="1"/>
  <c r="Q170" i="28"/>
  <c r="X170" i="28" s="1"/>
  <c r="R170" i="28"/>
  <c r="Y170" i="28" s="1"/>
  <c r="S170" i="28"/>
  <c r="Z170" i="28" s="1"/>
  <c r="T170" i="28"/>
  <c r="AA170" i="28" s="1"/>
  <c r="U170" i="28"/>
  <c r="AB170" i="28" s="1"/>
  <c r="V170" i="28"/>
  <c r="AC170" i="28" s="1"/>
  <c r="Q171" i="28"/>
  <c r="X171" i="28" s="1"/>
  <c r="R171" i="28"/>
  <c r="Y171" i="28" s="1"/>
  <c r="S171" i="28"/>
  <c r="Z171" i="28" s="1"/>
  <c r="T171" i="28"/>
  <c r="AA171" i="28" s="1"/>
  <c r="U171" i="28"/>
  <c r="AB171" i="28" s="1"/>
  <c r="V171" i="28"/>
  <c r="AC171" i="28" s="1"/>
  <c r="Q172" i="28"/>
  <c r="X172" i="28" s="1"/>
  <c r="R172" i="28"/>
  <c r="Y172" i="28" s="1"/>
  <c r="S172" i="28"/>
  <c r="Z172" i="28" s="1"/>
  <c r="T172" i="28"/>
  <c r="AA172" i="28" s="1"/>
  <c r="U172" i="28"/>
  <c r="AB172" i="28" s="1"/>
  <c r="V172" i="28"/>
  <c r="AC172" i="28" s="1"/>
  <c r="Q173" i="28"/>
  <c r="X173" i="28" s="1"/>
  <c r="R173" i="28"/>
  <c r="Y173" i="28" s="1"/>
  <c r="S173" i="28"/>
  <c r="Z173" i="28" s="1"/>
  <c r="T173" i="28"/>
  <c r="AA173" i="28" s="1"/>
  <c r="U173" i="28"/>
  <c r="AB173" i="28" s="1"/>
  <c r="V173" i="28"/>
  <c r="AC173" i="28" s="1"/>
  <c r="Q174" i="28"/>
  <c r="X174" i="28" s="1"/>
  <c r="R174" i="28"/>
  <c r="Y174" i="28" s="1"/>
  <c r="S174" i="28"/>
  <c r="Z174" i="28" s="1"/>
  <c r="T174" i="28"/>
  <c r="AA174" i="28" s="1"/>
  <c r="U174" i="28"/>
  <c r="AB174" i="28" s="1"/>
  <c r="V174" i="28"/>
  <c r="AC174" i="28" s="1"/>
  <c r="Q175" i="28"/>
  <c r="X175" i="28" s="1"/>
  <c r="R175" i="28"/>
  <c r="Y175" i="28" s="1"/>
  <c r="S175" i="28"/>
  <c r="Z175" i="28" s="1"/>
  <c r="T175" i="28"/>
  <c r="AA175" i="28" s="1"/>
  <c r="U175" i="28"/>
  <c r="AB175" i="28" s="1"/>
  <c r="V175" i="28"/>
  <c r="AC175" i="28" s="1"/>
  <c r="Q176" i="28"/>
  <c r="X176" i="28" s="1"/>
  <c r="R176" i="28"/>
  <c r="Y176" i="28" s="1"/>
  <c r="S176" i="28"/>
  <c r="Z176" i="28" s="1"/>
  <c r="T176" i="28"/>
  <c r="AA176" i="28" s="1"/>
  <c r="U176" i="28"/>
  <c r="AB176" i="28" s="1"/>
  <c r="Q177" i="28"/>
  <c r="X177" i="28" s="1"/>
  <c r="R177" i="28"/>
  <c r="Y177" i="28" s="1"/>
  <c r="S177" i="28"/>
  <c r="Z177" i="28" s="1"/>
  <c r="T177" i="28"/>
  <c r="AA177" i="28" s="1"/>
  <c r="U177" i="28"/>
  <c r="AB177" i="28" s="1"/>
  <c r="V177" i="28"/>
  <c r="AC177" i="28" s="1"/>
  <c r="Q178" i="28"/>
  <c r="X178" i="28" s="1"/>
  <c r="R178" i="28"/>
  <c r="Y178" i="28" s="1"/>
  <c r="S178" i="28"/>
  <c r="Z178" i="28" s="1"/>
  <c r="T178" i="28"/>
  <c r="AA178" i="28" s="1"/>
  <c r="U178" i="28"/>
  <c r="AB178" i="28" s="1"/>
  <c r="V178" i="28"/>
  <c r="AC178" i="28" s="1"/>
  <c r="Q179" i="28"/>
  <c r="X179" i="28" s="1"/>
  <c r="R179" i="28"/>
  <c r="Y179" i="28" s="1"/>
  <c r="S179" i="28"/>
  <c r="Z179" i="28" s="1"/>
  <c r="T179" i="28"/>
  <c r="AA179" i="28" s="1"/>
  <c r="U179" i="28"/>
  <c r="AB179" i="28" s="1"/>
  <c r="V179" i="28"/>
  <c r="AC179" i="28" s="1"/>
  <c r="Q180" i="28"/>
  <c r="X180" i="28" s="1"/>
  <c r="R180" i="28"/>
  <c r="Y180" i="28" s="1"/>
  <c r="S180" i="28"/>
  <c r="Z180" i="28" s="1"/>
  <c r="T180" i="28"/>
  <c r="AA180" i="28" s="1"/>
  <c r="U180" i="28"/>
  <c r="AB180" i="28" s="1"/>
  <c r="V180" i="28"/>
  <c r="AC180" i="28" s="1"/>
  <c r="Q181" i="28"/>
  <c r="X181" i="28" s="1"/>
  <c r="R181" i="28"/>
  <c r="Y181" i="28" s="1"/>
  <c r="S181" i="28"/>
  <c r="Z181" i="28" s="1"/>
  <c r="T181" i="28"/>
  <c r="AA181" i="28" s="1"/>
  <c r="U181" i="28"/>
  <c r="AB181" i="28" s="1"/>
  <c r="V181" i="28"/>
  <c r="AC181" i="28" s="1"/>
  <c r="Q182" i="28"/>
  <c r="X182" i="28" s="1"/>
  <c r="R182" i="28"/>
  <c r="Y182" i="28" s="1"/>
  <c r="S182" i="28"/>
  <c r="Z182" i="28" s="1"/>
  <c r="T182" i="28"/>
  <c r="AA182" i="28" s="1"/>
  <c r="U182" i="28"/>
  <c r="AB182" i="28" s="1"/>
  <c r="V182" i="28"/>
  <c r="AC182" i="28" s="1"/>
  <c r="Q183" i="28"/>
  <c r="X183" i="28" s="1"/>
  <c r="R183" i="28"/>
  <c r="Y183" i="28" s="1"/>
  <c r="S183" i="28"/>
  <c r="Z183" i="28" s="1"/>
  <c r="T183" i="28"/>
  <c r="AA183" i="28" s="1"/>
  <c r="U183" i="28"/>
  <c r="AB183" i="28" s="1"/>
  <c r="V183" i="28"/>
  <c r="AC183" i="28" s="1"/>
  <c r="Q184" i="28"/>
  <c r="X184" i="28" s="1"/>
  <c r="R184" i="28"/>
  <c r="Y184" i="28" s="1"/>
  <c r="S184" i="28"/>
  <c r="Z184" i="28" s="1"/>
  <c r="T184" i="28"/>
  <c r="AA184" i="28" s="1"/>
  <c r="U184" i="28"/>
  <c r="AB184" i="28" s="1"/>
  <c r="Q185" i="28"/>
  <c r="X185" i="28" s="1"/>
  <c r="R185" i="28"/>
  <c r="Y185" i="28" s="1"/>
  <c r="S185" i="28"/>
  <c r="Z185" i="28" s="1"/>
  <c r="T185" i="28"/>
  <c r="AA185" i="28" s="1"/>
  <c r="U185" i="28"/>
  <c r="AB185" i="28" s="1"/>
  <c r="V185" i="28"/>
  <c r="AC185" i="28" s="1"/>
  <c r="Q186" i="28"/>
  <c r="X186" i="28" s="1"/>
  <c r="R186" i="28"/>
  <c r="Y186" i="28" s="1"/>
  <c r="S186" i="28"/>
  <c r="Z186" i="28" s="1"/>
  <c r="T186" i="28"/>
  <c r="AA186" i="28" s="1"/>
  <c r="U186" i="28"/>
  <c r="AB186" i="28" s="1"/>
  <c r="V186" i="28"/>
  <c r="AC186" i="28" s="1"/>
  <c r="Q187" i="28"/>
  <c r="X187" i="28" s="1"/>
  <c r="R187" i="28"/>
  <c r="Y187" i="28" s="1"/>
  <c r="S187" i="28"/>
  <c r="Z187" i="28" s="1"/>
  <c r="T187" i="28"/>
  <c r="AA187" i="28" s="1"/>
  <c r="U187" i="28"/>
  <c r="AB187" i="28" s="1"/>
  <c r="V187" i="28"/>
  <c r="AC187" i="28" s="1"/>
  <c r="Q188" i="28"/>
  <c r="X188" i="28" s="1"/>
  <c r="R188" i="28"/>
  <c r="Y188" i="28" s="1"/>
  <c r="S188" i="28"/>
  <c r="Z188" i="28" s="1"/>
  <c r="T188" i="28"/>
  <c r="AA188" i="28" s="1"/>
  <c r="U188" i="28"/>
  <c r="AB188" i="28" s="1"/>
  <c r="V188" i="28"/>
  <c r="AC188" i="28" s="1"/>
  <c r="Q189" i="28"/>
  <c r="X189" i="28" s="1"/>
  <c r="R189" i="28"/>
  <c r="Y189" i="28" s="1"/>
  <c r="S189" i="28"/>
  <c r="Z189" i="28" s="1"/>
  <c r="T189" i="28"/>
  <c r="AA189" i="28" s="1"/>
  <c r="U189" i="28"/>
  <c r="AB189" i="28" s="1"/>
  <c r="V189" i="28"/>
  <c r="AC189" i="28" s="1"/>
  <c r="Q190" i="28"/>
  <c r="X190" i="28" s="1"/>
  <c r="R190" i="28"/>
  <c r="Y190" i="28" s="1"/>
  <c r="S190" i="28"/>
  <c r="Z190" i="28" s="1"/>
  <c r="T190" i="28"/>
  <c r="AA190" i="28" s="1"/>
  <c r="U190" i="28"/>
  <c r="AB190" i="28" s="1"/>
  <c r="V190" i="28"/>
  <c r="AC190" i="28" s="1"/>
  <c r="Q191" i="28"/>
  <c r="X191" i="28" s="1"/>
  <c r="R191" i="28"/>
  <c r="Y191" i="28" s="1"/>
  <c r="S191" i="28"/>
  <c r="Z191" i="28" s="1"/>
  <c r="T191" i="28"/>
  <c r="AA191" i="28" s="1"/>
  <c r="U191" i="28"/>
  <c r="AB191" i="28" s="1"/>
  <c r="V191" i="28"/>
  <c r="AC191" i="28" s="1"/>
  <c r="Q192" i="28"/>
  <c r="X192" i="28" s="1"/>
  <c r="R192" i="28"/>
  <c r="Y192" i="28" s="1"/>
  <c r="S192" i="28"/>
  <c r="Z192" i="28" s="1"/>
  <c r="T192" i="28"/>
  <c r="AA192" i="28" s="1"/>
  <c r="U192" i="28"/>
  <c r="AB192" i="28" s="1"/>
  <c r="Q193" i="28"/>
  <c r="X193" i="28" s="1"/>
  <c r="R193" i="28"/>
  <c r="Y193" i="28" s="1"/>
  <c r="S193" i="28"/>
  <c r="Z193" i="28" s="1"/>
  <c r="T193" i="28"/>
  <c r="AA193" i="28" s="1"/>
  <c r="U193" i="28"/>
  <c r="AB193" i="28" s="1"/>
  <c r="V193" i="28"/>
  <c r="AC193" i="28" s="1"/>
  <c r="Q194" i="28"/>
  <c r="X194" i="28" s="1"/>
  <c r="R194" i="28"/>
  <c r="Y194" i="28" s="1"/>
  <c r="S194" i="28"/>
  <c r="Z194" i="28" s="1"/>
  <c r="T194" i="28"/>
  <c r="AA194" i="28" s="1"/>
  <c r="U194" i="28"/>
  <c r="AB194" i="28" s="1"/>
  <c r="V194" i="28"/>
  <c r="AC194" i="28" s="1"/>
  <c r="Q195" i="28"/>
  <c r="X195" i="28" s="1"/>
  <c r="R195" i="28"/>
  <c r="Y195" i="28" s="1"/>
  <c r="S195" i="28"/>
  <c r="Z195" i="28" s="1"/>
  <c r="T195" i="28"/>
  <c r="AA195" i="28" s="1"/>
  <c r="U195" i="28"/>
  <c r="AB195" i="28" s="1"/>
  <c r="V195" i="28"/>
  <c r="AC195" i="28" s="1"/>
  <c r="Q196" i="28"/>
  <c r="X196" i="28" s="1"/>
  <c r="R196" i="28"/>
  <c r="Y196" i="28" s="1"/>
  <c r="S196" i="28"/>
  <c r="Z196" i="28" s="1"/>
  <c r="T196" i="28"/>
  <c r="AA196" i="28" s="1"/>
  <c r="U196" i="28"/>
  <c r="AB196" i="28" s="1"/>
  <c r="V196" i="28"/>
  <c r="AC196" i="28" s="1"/>
  <c r="Q197" i="28"/>
  <c r="X197" i="28" s="1"/>
  <c r="R197" i="28"/>
  <c r="Y197" i="28" s="1"/>
  <c r="S197" i="28"/>
  <c r="Z197" i="28" s="1"/>
  <c r="T197" i="28"/>
  <c r="AA197" i="28" s="1"/>
  <c r="U197" i="28"/>
  <c r="AB197" i="28" s="1"/>
  <c r="V197" i="28"/>
  <c r="AC197" i="28" s="1"/>
  <c r="Q198" i="28"/>
  <c r="X198" i="28" s="1"/>
  <c r="R198" i="28"/>
  <c r="Y198" i="28" s="1"/>
  <c r="S198" i="28"/>
  <c r="Z198" i="28" s="1"/>
  <c r="T198" i="28"/>
  <c r="AA198" i="28" s="1"/>
  <c r="U198" i="28"/>
  <c r="AB198" i="28" s="1"/>
  <c r="V198" i="28"/>
  <c r="AC198" i="28" s="1"/>
  <c r="Q199" i="28"/>
  <c r="X199" i="28" s="1"/>
  <c r="R199" i="28"/>
  <c r="Y199" i="28" s="1"/>
  <c r="S199" i="28"/>
  <c r="Z199" i="28" s="1"/>
  <c r="T199" i="28"/>
  <c r="AA199" i="28" s="1"/>
  <c r="U199" i="28"/>
  <c r="AB199" i="28" s="1"/>
  <c r="V199" i="28"/>
  <c r="AC199" i="28" s="1"/>
  <c r="Q200" i="28"/>
  <c r="X200" i="28" s="1"/>
  <c r="R200" i="28"/>
  <c r="Y200" i="28" s="1"/>
  <c r="S200" i="28"/>
  <c r="Z200" i="28" s="1"/>
  <c r="T200" i="28"/>
  <c r="AA200" i="28" s="1"/>
  <c r="U200" i="28"/>
  <c r="AB200" i="28" s="1"/>
  <c r="Q201" i="28"/>
  <c r="X201" i="28" s="1"/>
  <c r="R201" i="28"/>
  <c r="Y201" i="28" s="1"/>
  <c r="S201" i="28"/>
  <c r="Z201" i="28" s="1"/>
  <c r="T201" i="28"/>
  <c r="AA201" i="28" s="1"/>
  <c r="U201" i="28"/>
  <c r="AB201" i="28" s="1"/>
  <c r="V201" i="28"/>
  <c r="AC201" i="28" s="1"/>
  <c r="Q202" i="28"/>
  <c r="X202" i="28" s="1"/>
  <c r="R202" i="28"/>
  <c r="Y202" i="28" s="1"/>
  <c r="S202" i="28"/>
  <c r="Z202" i="28" s="1"/>
  <c r="T202" i="28"/>
  <c r="AA202" i="28" s="1"/>
  <c r="U202" i="28"/>
  <c r="AB202" i="28" s="1"/>
  <c r="V202" i="28"/>
  <c r="AC202" i="28" s="1"/>
  <c r="Q203" i="28"/>
  <c r="X203" i="28" s="1"/>
  <c r="R203" i="28"/>
  <c r="Y203" i="28" s="1"/>
  <c r="S203" i="28"/>
  <c r="Z203" i="28" s="1"/>
  <c r="T203" i="28"/>
  <c r="AA203" i="28" s="1"/>
  <c r="U203" i="28"/>
  <c r="AB203" i="28" s="1"/>
  <c r="V203" i="28"/>
  <c r="AC203" i="28" s="1"/>
  <c r="Q204" i="28"/>
  <c r="X204" i="28" s="1"/>
  <c r="R204" i="28"/>
  <c r="Y204" i="28" s="1"/>
  <c r="S204" i="28"/>
  <c r="Z204" i="28" s="1"/>
  <c r="T204" i="28"/>
  <c r="AA204" i="28" s="1"/>
  <c r="U204" i="28"/>
  <c r="AB204" i="28" s="1"/>
  <c r="V204" i="28"/>
  <c r="AC204" i="28" s="1"/>
  <c r="Q205" i="28"/>
  <c r="X205" i="28" s="1"/>
  <c r="R205" i="28"/>
  <c r="Y205" i="28" s="1"/>
  <c r="S205" i="28"/>
  <c r="Z205" i="28" s="1"/>
  <c r="T205" i="28"/>
  <c r="AA205" i="28" s="1"/>
  <c r="U205" i="28"/>
  <c r="AB205" i="28" s="1"/>
  <c r="V205" i="28"/>
  <c r="AC205" i="28" s="1"/>
  <c r="Q206" i="28"/>
  <c r="X206" i="28" s="1"/>
  <c r="R206" i="28"/>
  <c r="Y206" i="28" s="1"/>
  <c r="S206" i="28"/>
  <c r="Z206" i="28" s="1"/>
  <c r="T206" i="28"/>
  <c r="AA206" i="28" s="1"/>
  <c r="U206" i="28"/>
  <c r="AB206" i="28" s="1"/>
  <c r="V206" i="28"/>
  <c r="AC206" i="28" s="1"/>
  <c r="Q207" i="28"/>
  <c r="X207" i="28" s="1"/>
  <c r="R207" i="28"/>
  <c r="Y207" i="28" s="1"/>
  <c r="S207" i="28"/>
  <c r="Z207" i="28" s="1"/>
  <c r="T207" i="28"/>
  <c r="AA207" i="28" s="1"/>
  <c r="U207" i="28"/>
  <c r="AB207" i="28" s="1"/>
  <c r="V207" i="28"/>
  <c r="AC207" i="28" s="1"/>
  <c r="Q208" i="28"/>
  <c r="X208" i="28" s="1"/>
  <c r="R208" i="28"/>
  <c r="Y208" i="28" s="1"/>
  <c r="S208" i="28"/>
  <c r="Z208" i="28" s="1"/>
  <c r="T208" i="28"/>
  <c r="AA208" i="28" s="1"/>
  <c r="U208" i="28"/>
  <c r="AB208" i="28" s="1"/>
  <c r="Q209" i="28"/>
  <c r="X209" i="28" s="1"/>
  <c r="R209" i="28"/>
  <c r="Y209" i="28" s="1"/>
  <c r="S209" i="28"/>
  <c r="Z209" i="28" s="1"/>
  <c r="T209" i="28"/>
  <c r="AA209" i="28" s="1"/>
  <c r="U209" i="28"/>
  <c r="AB209" i="28" s="1"/>
  <c r="V209" i="28"/>
  <c r="AC209" i="28" s="1"/>
  <c r="Q210" i="28"/>
  <c r="X210" i="28" s="1"/>
  <c r="R210" i="28"/>
  <c r="Y210" i="28" s="1"/>
  <c r="S210" i="28"/>
  <c r="Z210" i="28" s="1"/>
  <c r="T210" i="28"/>
  <c r="AA210" i="28" s="1"/>
  <c r="U210" i="28"/>
  <c r="AB210" i="28" s="1"/>
  <c r="V210" i="28"/>
  <c r="AC210" i="28" s="1"/>
  <c r="Q211" i="28"/>
  <c r="X211" i="28" s="1"/>
  <c r="R211" i="28"/>
  <c r="Y211" i="28" s="1"/>
  <c r="S211" i="28"/>
  <c r="Z211" i="28" s="1"/>
  <c r="T211" i="28"/>
  <c r="AA211" i="28" s="1"/>
  <c r="U211" i="28"/>
  <c r="AB211" i="28" s="1"/>
  <c r="V211" i="28"/>
  <c r="AC211" i="28" s="1"/>
  <c r="Q212" i="28"/>
  <c r="X212" i="28" s="1"/>
  <c r="R212" i="28"/>
  <c r="Y212" i="28" s="1"/>
  <c r="S212" i="28"/>
  <c r="Z212" i="28" s="1"/>
  <c r="T212" i="28"/>
  <c r="AA212" i="28" s="1"/>
  <c r="U212" i="28"/>
  <c r="AB212" i="28" s="1"/>
  <c r="V212" i="28"/>
  <c r="AC212" i="28" s="1"/>
  <c r="Q213" i="28"/>
  <c r="X213" i="28" s="1"/>
  <c r="R213" i="28"/>
  <c r="Y213" i="28" s="1"/>
  <c r="S213" i="28"/>
  <c r="Z213" i="28" s="1"/>
  <c r="T213" i="28"/>
  <c r="AA213" i="28" s="1"/>
  <c r="U213" i="28"/>
  <c r="AB213" i="28" s="1"/>
  <c r="V213" i="28"/>
  <c r="AC213" i="28" s="1"/>
  <c r="Q214" i="28"/>
  <c r="X214" i="28" s="1"/>
  <c r="R214" i="28"/>
  <c r="Y214" i="28" s="1"/>
  <c r="S214" i="28"/>
  <c r="Z214" i="28" s="1"/>
  <c r="T214" i="28"/>
  <c r="AA214" i="28" s="1"/>
  <c r="U214" i="28"/>
  <c r="AB214" i="28" s="1"/>
  <c r="V214" i="28"/>
  <c r="AC214" i="28" s="1"/>
  <c r="Q215" i="28"/>
  <c r="X215" i="28" s="1"/>
  <c r="R215" i="28"/>
  <c r="Y215" i="28" s="1"/>
  <c r="S215" i="28"/>
  <c r="Z215" i="28" s="1"/>
  <c r="T215" i="28"/>
  <c r="AA215" i="28" s="1"/>
  <c r="U215" i="28"/>
  <c r="AB215" i="28" s="1"/>
  <c r="V215" i="28"/>
  <c r="AC215" i="28" s="1"/>
  <c r="Q216" i="28"/>
  <c r="X216" i="28" s="1"/>
  <c r="R216" i="28"/>
  <c r="Y216" i="28" s="1"/>
  <c r="S216" i="28"/>
  <c r="Z216" i="28" s="1"/>
  <c r="T216" i="28"/>
  <c r="AA216" i="28" s="1"/>
  <c r="U216" i="28"/>
  <c r="AB216" i="28" s="1"/>
  <c r="Q217" i="28"/>
  <c r="X217" i="28" s="1"/>
  <c r="R217" i="28"/>
  <c r="Y217" i="28" s="1"/>
  <c r="S217" i="28"/>
  <c r="Z217" i="28" s="1"/>
  <c r="T217" i="28"/>
  <c r="AA217" i="28" s="1"/>
  <c r="U217" i="28"/>
  <c r="AB217" i="28" s="1"/>
  <c r="V217" i="28"/>
  <c r="AC217" i="28" s="1"/>
  <c r="Q218" i="28"/>
  <c r="X218" i="28" s="1"/>
  <c r="R218" i="28"/>
  <c r="Y218" i="28" s="1"/>
  <c r="S218" i="28"/>
  <c r="Z218" i="28" s="1"/>
  <c r="T218" i="28"/>
  <c r="AA218" i="28" s="1"/>
  <c r="U218" i="28"/>
  <c r="AB218" i="28" s="1"/>
  <c r="V218" i="28"/>
  <c r="AC218" i="28" s="1"/>
  <c r="Q219" i="28"/>
  <c r="X219" i="28" s="1"/>
  <c r="R219" i="28"/>
  <c r="Y219" i="28" s="1"/>
  <c r="S219" i="28"/>
  <c r="Z219" i="28" s="1"/>
  <c r="T219" i="28"/>
  <c r="AA219" i="28" s="1"/>
  <c r="U219" i="28"/>
  <c r="AB219" i="28" s="1"/>
  <c r="V219" i="28"/>
  <c r="AC219" i="28" s="1"/>
  <c r="Q220" i="28"/>
  <c r="X220" i="28" s="1"/>
  <c r="R220" i="28"/>
  <c r="Y220" i="28" s="1"/>
  <c r="S220" i="28"/>
  <c r="Z220" i="28" s="1"/>
  <c r="T220" i="28"/>
  <c r="AA220" i="28" s="1"/>
  <c r="U220" i="28"/>
  <c r="AB220" i="28" s="1"/>
  <c r="V220" i="28"/>
  <c r="AC220" i="28" s="1"/>
  <c r="Q221" i="28"/>
  <c r="X221" i="28" s="1"/>
  <c r="R221" i="28"/>
  <c r="Y221" i="28" s="1"/>
  <c r="S221" i="28"/>
  <c r="Z221" i="28" s="1"/>
  <c r="T221" i="28"/>
  <c r="AA221" i="28" s="1"/>
  <c r="U221" i="28"/>
  <c r="AB221" i="28" s="1"/>
  <c r="V221" i="28"/>
  <c r="AC221" i="28" s="1"/>
  <c r="Q222" i="28"/>
  <c r="X222" i="28" s="1"/>
  <c r="R222" i="28"/>
  <c r="Y222" i="28" s="1"/>
  <c r="S222" i="28"/>
  <c r="Z222" i="28" s="1"/>
  <c r="T222" i="28"/>
  <c r="AA222" i="28" s="1"/>
  <c r="U222" i="28"/>
  <c r="AB222" i="28" s="1"/>
  <c r="V222" i="28"/>
  <c r="AC222" i="28" s="1"/>
  <c r="Q223" i="28"/>
  <c r="X223" i="28" s="1"/>
  <c r="R223" i="28"/>
  <c r="Y223" i="28" s="1"/>
  <c r="S223" i="28"/>
  <c r="Z223" i="28" s="1"/>
  <c r="T223" i="28"/>
  <c r="AA223" i="28" s="1"/>
  <c r="U223" i="28"/>
  <c r="AB223" i="28" s="1"/>
  <c r="V223" i="28"/>
  <c r="AC223" i="28" s="1"/>
  <c r="Q224" i="28"/>
  <c r="X224" i="28" s="1"/>
  <c r="R224" i="28"/>
  <c r="Y224" i="28" s="1"/>
  <c r="S224" i="28"/>
  <c r="Z224" i="28" s="1"/>
  <c r="T224" i="28"/>
  <c r="AA224" i="28" s="1"/>
  <c r="U224" i="28"/>
  <c r="AB224" i="28" s="1"/>
  <c r="Q225" i="28"/>
  <c r="X225" i="28" s="1"/>
  <c r="R225" i="28"/>
  <c r="Y225" i="28" s="1"/>
  <c r="S225" i="28"/>
  <c r="Z225" i="28" s="1"/>
  <c r="T225" i="28"/>
  <c r="AA225" i="28" s="1"/>
  <c r="U225" i="28"/>
  <c r="AB225" i="28" s="1"/>
  <c r="V225" i="28"/>
  <c r="AC225" i="28" s="1"/>
  <c r="Q226" i="28"/>
  <c r="X226" i="28" s="1"/>
  <c r="R226" i="28"/>
  <c r="Y226" i="28" s="1"/>
  <c r="S226" i="28"/>
  <c r="Z226" i="28" s="1"/>
  <c r="T226" i="28"/>
  <c r="AA226" i="28" s="1"/>
  <c r="U226" i="28"/>
  <c r="AB226" i="28" s="1"/>
  <c r="V226" i="28"/>
  <c r="AC226" i="28" s="1"/>
  <c r="Q227" i="28"/>
  <c r="X227" i="28" s="1"/>
  <c r="R227" i="28"/>
  <c r="Y227" i="28" s="1"/>
  <c r="S227" i="28"/>
  <c r="Z227" i="28" s="1"/>
  <c r="T227" i="28"/>
  <c r="AA227" i="28" s="1"/>
  <c r="U227" i="28"/>
  <c r="AB227" i="28" s="1"/>
  <c r="V227" i="28"/>
  <c r="AC227" i="28" s="1"/>
  <c r="Q228" i="28"/>
  <c r="X228" i="28" s="1"/>
  <c r="R228" i="28"/>
  <c r="Y228" i="28" s="1"/>
  <c r="S228" i="28"/>
  <c r="Z228" i="28" s="1"/>
  <c r="T228" i="28"/>
  <c r="AA228" i="28" s="1"/>
  <c r="U228" i="28"/>
  <c r="AB228" i="28" s="1"/>
  <c r="V228" i="28"/>
  <c r="AC228" i="28" s="1"/>
  <c r="Q229" i="28"/>
  <c r="X229" i="28" s="1"/>
  <c r="R229" i="28"/>
  <c r="Y229" i="28" s="1"/>
  <c r="S229" i="28"/>
  <c r="Z229" i="28" s="1"/>
  <c r="T229" i="28"/>
  <c r="AA229" i="28" s="1"/>
  <c r="U229" i="28"/>
  <c r="AB229" i="28" s="1"/>
  <c r="V229" i="28"/>
  <c r="AC229" i="28" s="1"/>
  <c r="Q230" i="28"/>
  <c r="X230" i="28" s="1"/>
  <c r="R230" i="28"/>
  <c r="Y230" i="28" s="1"/>
  <c r="S230" i="28"/>
  <c r="Z230" i="28" s="1"/>
  <c r="T230" i="28"/>
  <c r="AA230" i="28" s="1"/>
  <c r="U230" i="28"/>
  <c r="AB230" i="28" s="1"/>
  <c r="V230" i="28"/>
  <c r="AC230" i="28" s="1"/>
  <c r="Q231" i="28"/>
  <c r="X231" i="28" s="1"/>
  <c r="R231" i="28"/>
  <c r="Y231" i="28" s="1"/>
  <c r="S231" i="28"/>
  <c r="Z231" i="28" s="1"/>
  <c r="T231" i="28"/>
  <c r="AA231" i="28" s="1"/>
  <c r="U231" i="28"/>
  <c r="AB231" i="28" s="1"/>
  <c r="V231" i="28"/>
  <c r="AC231" i="28" s="1"/>
  <c r="Q232" i="28"/>
  <c r="X232" i="28" s="1"/>
  <c r="R232" i="28"/>
  <c r="Y232" i="28" s="1"/>
  <c r="S232" i="28"/>
  <c r="Z232" i="28" s="1"/>
  <c r="T232" i="28"/>
  <c r="AA232" i="28" s="1"/>
  <c r="U232" i="28"/>
  <c r="AB232" i="28" s="1"/>
  <c r="Q233" i="28"/>
  <c r="X233" i="28" s="1"/>
  <c r="R233" i="28"/>
  <c r="Y233" i="28" s="1"/>
  <c r="S233" i="28"/>
  <c r="Z233" i="28" s="1"/>
  <c r="T233" i="28"/>
  <c r="AA233" i="28" s="1"/>
  <c r="U233" i="28"/>
  <c r="AB233" i="28" s="1"/>
  <c r="V233" i="28"/>
  <c r="AC233" i="28" s="1"/>
  <c r="Q234" i="28"/>
  <c r="X234" i="28" s="1"/>
  <c r="R234" i="28"/>
  <c r="Y234" i="28" s="1"/>
  <c r="S234" i="28"/>
  <c r="Z234" i="28" s="1"/>
  <c r="T234" i="28"/>
  <c r="AA234" i="28" s="1"/>
  <c r="U234" i="28"/>
  <c r="AB234" i="28" s="1"/>
  <c r="V234" i="28"/>
  <c r="AC234" i="28" s="1"/>
  <c r="Q235" i="28"/>
  <c r="X235" i="28" s="1"/>
  <c r="R235" i="28"/>
  <c r="Y235" i="28" s="1"/>
  <c r="S235" i="28"/>
  <c r="Z235" i="28" s="1"/>
  <c r="T235" i="28"/>
  <c r="AA235" i="28" s="1"/>
  <c r="U235" i="28"/>
  <c r="AB235" i="28" s="1"/>
  <c r="V235" i="28"/>
  <c r="AC235" i="28" s="1"/>
  <c r="Q236" i="28"/>
  <c r="X236" i="28" s="1"/>
  <c r="R236" i="28"/>
  <c r="Y236" i="28" s="1"/>
  <c r="S236" i="28"/>
  <c r="Z236" i="28" s="1"/>
  <c r="T236" i="28"/>
  <c r="AA236" i="28" s="1"/>
  <c r="U236" i="28"/>
  <c r="AB236" i="28" s="1"/>
  <c r="V236" i="28"/>
  <c r="AC236" i="28" s="1"/>
  <c r="Q237" i="28"/>
  <c r="X237" i="28" s="1"/>
  <c r="R237" i="28"/>
  <c r="Y237" i="28" s="1"/>
  <c r="S237" i="28"/>
  <c r="Z237" i="28" s="1"/>
  <c r="T237" i="28"/>
  <c r="AA237" i="28" s="1"/>
  <c r="U237" i="28"/>
  <c r="AB237" i="28" s="1"/>
  <c r="V237" i="28"/>
  <c r="AC237" i="28" s="1"/>
  <c r="Q238" i="28"/>
  <c r="X238" i="28" s="1"/>
  <c r="R238" i="28"/>
  <c r="Y238" i="28" s="1"/>
  <c r="S238" i="28"/>
  <c r="Z238" i="28" s="1"/>
  <c r="T238" i="28"/>
  <c r="AA238" i="28" s="1"/>
  <c r="U238" i="28"/>
  <c r="AB238" i="28" s="1"/>
  <c r="V238" i="28"/>
  <c r="AC238" i="28" s="1"/>
  <c r="Q239" i="28"/>
  <c r="X239" i="28" s="1"/>
  <c r="R239" i="28"/>
  <c r="Y239" i="28" s="1"/>
  <c r="S239" i="28"/>
  <c r="Z239" i="28" s="1"/>
  <c r="T239" i="28"/>
  <c r="AA239" i="28" s="1"/>
  <c r="U239" i="28"/>
  <c r="AB239" i="28" s="1"/>
  <c r="V239" i="28"/>
  <c r="AC239" i="28" s="1"/>
  <c r="Q240" i="28"/>
  <c r="X240" i="28" s="1"/>
  <c r="R240" i="28"/>
  <c r="Y240" i="28" s="1"/>
  <c r="S240" i="28"/>
  <c r="Z240" i="28" s="1"/>
  <c r="T240" i="28"/>
  <c r="AA240" i="28" s="1"/>
  <c r="U240" i="28"/>
  <c r="AB240" i="28" s="1"/>
  <c r="Q241" i="28"/>
  <c r="X241" i="28" s="1"/>
  <c r="R241" i="28"/>
  <c r="Y241" i="28" s="1"/>
  <c r="S241" i="28"/>
  <c r="Z241" i="28" s="1"/>
  <c r="T241" i="28"/>
  <c r="AA241" i="28" s="1"/>
  <c r="U241" i="28"/>
  <c r="AB241" i="28" s="1"/>
  <c r="V241" i="28"/>
  <c r="AC241" i="28" s="1"/>
  <c r="Q242" i="28"/>
  <c r="X242" i="28" s="1"/>
  <c r="R242" i="28"/>
  <c r="Y242" i="28" s="1"/>
  <c r="S242" i="28"/>
  <c r="Z242" i="28" s="1"/>
  <c r="T242" i="28"/>
  <c r="AA242" i="28" s="1"/>
  <c r="U242" i="28"/>
  <c r="AB242" i="28" s="1"/>
  <c r="V242" i="28"/>
  <c r="AC242" i="28" s="1"/>
  <c r="Q243" i="28"/>
  <c r="X243" i="28" s="1"/>
  <c r="R243" i="28"/>
  <c r="Y243" i="28" s="1"/>
  <c r="S243" i="28"/>
  <c r="Z243" i="28" s="1"/>
  <c r="T243" i="28"/>
  <c r="AA243" i="28" s="1"/>
  <c r="U243" i="28"/>
  <c r="AB243" i="28" s="1"/>
  <c r="V243" i="28"/>
  <c r="AC243" i="28" s="1"/>
  <c r="Q244" i="28"/>
  <c r="X244" i="28" s="1"/>
  <c r="R244" i="28"/>
  <c r="Y244" i="28" s="1"/>
  <c r="S244" i="28"/>
  <c r="Z244" i="28" s="1"/>
  <c r="T244" i="28"/>
  <c r="AA244" i="28" s="1"/>
  <c r="U244" i="28"/>
  <c r="AB244" i="28" s="1"/>
  <c r="V244" i="28"/>
  <c r="AC244" i="28" s="1"/>
  <c r="Q245" i="28"/>
  <c r="X245" i="28" s="1"/>
  <c r="R245" i="28"/>
  <c r="Y245" i="28" s="1"/>
  <c r="S245" i="28"/>
  <c r="Z245" i="28" s="1"/>
  <c r="T245" i="28"/>
  <c r="AA245" i="28" s="1"/>
  <c r="U245" i="28"/>
  <c r="AB245" i="28" s="1"/>
  <c r="V245" i="28"/>
  <c r="AC245" i="28" s="1"/>
  <c r="Q246" i="28"/>
  <c r="X246" i="28" s="1"/>
  <c r="R246" i="28"/>
  <c r="Y246" i="28" s="1"/>
  <c r="S246" i="28"/>
  <c r="Z246" i="28" s="1"/>
  <c r="T246" i="28"/>
  <c r="AA246" i="28" s="1"/>
  <c r="U246" i="28"/>
  <c r="AB246" i="28" s="1"/>
  <c r="V246" i="28"/>
  <c r="AC246" i="28" s="1"/>
  <c r="Q247" i="28"/>
  <c r="X247" i="28" s="1"/>
  <c r="R247" i="28"/>
  <c r="Y247" i="28" s="1"/>
  <c r="S247" i="28"/>
  <c r="Z247" i="28" s="1"/>
  <c r="T247" i="28"/>
  <c r="AA247" i="28" s="1"/>
  <c r="U247" i="28"/>
  <c r="AB247" i="28" s="1"/>
  <c r="V247" i="28"/>
  <c r="AC247" i="28" s="1"/>
  <c r="Q248" i="28"/>
  <c r="X248" i="28" s="1"/>
  <c r="R248" i="28"/>
  <c r="Y248" i="28" s="1"/>
  <c r="S248" i="28"/>
  <c r="Z248" i="28" s="1"/>
  <c r="T248" i="28"/>
  <c r="AA248" i="28" s="1"/>
  <c r="U248" i="28"/>
  <c r="AB248" i="28" s="1"/>
  <c r="Q249" i="28"/>
  <c r="X249" i="28" s="1"/>
  <c r="R249" i="28"/>
  <c r="Y249" i="28" s="1"/>
  <c r="S249" i="28"/>
  <c r="Z249" i="28" s="1"/>
  <c r="T249" i="28"/>
  <c r="AA249" i="28" s="1"/>
  <c r="U249" i="28"/>
  <c r="AB249" i="28" s="1"/>
  <c r="V249" i="28"/>
  <c r="AC249" i="28" s="1"/>
  <c r="Q250" i="28"/>
  <c r="X250" i="28" s="1"/>
  <c r="R250" i="28"/>
  <c r="Y250" i="28" s="1"/>
  <c r="S250" i="28"/>
  <c r="Z250" i="28" s="1"/>
  <c r="T250" i="28"/>
  <c r="AA250" i="28" s="1"/>
  <c r="U250" i="28"/>
  <c r="AB250" i="28" s="1"/>
  <c r="V250" i="28"/>
  <c r="AC250" i="28" s="1"/>
  <c r="Q251" i="28"/>
  <c r="X251" i="28" s="1"/>
  <c r="R251" i="28"/>
  <c r="Y251" i="28" s="1"/>
  <c r="S251" i="28"/>
  <c r="Z251" i="28" s="1"/>
  <c r="T251" i="28"/>
  <c r="AA251" i="28" s="1"/>
  <c r="U251" i="28"/>
  <c r="AB251" i="28" s="1"/>
  <c r="V251" i="28"/>
  <c r="AC251" i="28" s="1"/>
  <c r="Q252" i="28"/>
  <c r="X252" i="28" s="1"/>
  <c r="R252" i="28"/>
  <c r="Y252" i="28" s="1"/>
  <c r="S252" i="28"/>
  <c r="Z252" i="28" s="1"/>
  <c r="T252" i="28"/>
  <c r="AA252" i="28" s="1"/>
  <c r="U252" i="28"/>
  <c r="AB252" i="28" s="1"/>
  <c r="V252" i="28"/>
  <c r="AC252" i="28" s="1"/>
  <c r="Q253" i="28"/>
  <c r="X253" i="28" s="1"/>
  <c r="R253" i="28"/>
  <c r="Y253" i="28" s="1"/>
  <c r="S253" i="28"/>
  <c r="Z253" i="28" s="1"/>
  <c r="T253" i="28"/>
  <c r="AA253" i="28" s="1"/>
  <c r="U253" i="28"/>
  <c r="AB253" i="28" s="1"/>
  <c r="V253" i="28"/>
  <c r="AC253" i="28" s="1"/>
  <c r="Q254" i="28"/>
  <c r="X254" i="28" s="1"/>
  <c r="R254" i="28"/>
  <c r="Y254" i="28" s="1"/>
  <c r="S254" i="28"/>
  <c r="Z254" i="28" s="1"/>
  <c r="T254" i="28"/>
  <c r="AA254" i="28" s="1"/>
  <c r="U254" i="28"/>
  <c r="AB254" i="28" s="1"/>
  <c r="V254" i="28"/>
  <c r="AC254" i="28" s="1"/>
  <c r="Q255" i="28"/>
  <c r="X255" i="28" s="1"/>
  <c r="R255" i="28"/>
  <c r="Y255" i="28" s="1"/>
  <c r="S255" i="28"/>
  <c r="Z255" i="28" s="1"/>
  <c r="T255" i="28"/>
  <c r="AA255" i="28" s="1"/>
  <c r="U255" i="28"/>
  <c r="AB255" i="28" s="1"/>
  <c r="V255" i="28"/>
  <c r="AC255" i="28" s="1"/>
  <c r="Q256" i="28"/>
  <c r="X256" i="28" s="1"/>
  <c r="R256" i="28"/>
  <c r="Y256" i="28" s="1"/>
  <c r="S256" i="28"/>
  <c r="Z256" i="28" s="1"/>
  <c r="T256" i="28"/>
  <c r="AA256" i="28" s="1"/>
  <c r="U256" i="28"/>
  <c r="AB256" i="28" s="1"/>
  <c r="Q257" i="28"/>
  <c r="X257" i="28" s="1"/>
  <c r="R257" i="28"/>
  <c r="Y257" i="28" s="1"/>
  <c r="S257" i="28"/>
  <c r="Z257" i="28" s="1"/>
  <c r="T257" i="28"/>
  <c r="AA257" i="28" s="1"/>
  <c r="U257" i="28"/>
  <c r="AB257" i="28" s="1"/>
  <c r="V257" i="28"/>
  <c r="AC257" i="28" s="1"/>
  <c r="Q258" i="28"/>
  <c r="X258" i="28" s="1"/>
  <c r="R258" i="28"/>
  <c r="Y258" i="28" s="1"/>
  <c r="S258" i="28"/>
  <c r="Z258" i="28" s="1"/>
  <c r="T258" i="28"/>
  <c r="AA258" i="28" s="1"/>
  <c r="U258" i="28"/>
  <c r="AB258" i="28" s="1"/>
  <c r="V258" i="28"/>
  <c r="AC258" i="28" s="1"/>
  <c r="Q259" i="28"/>
  <c r="X259" i="28" s="1"/>
  <c r="R259" i="28"/>
  <c r="Y259" i="28" s="1"/>
  <c r="S259" i="28"/>
  <c r="Z259" i="28" s="1"/>
  <c r="T259" i="28"/>
  <c r="AA259" i="28" s="1"/>
  <c r="U259" i="28"/>
  <c r="AB259" i="28" s="1"/>
  <c r="V259" i="28"/>
  <c r="AC259" i="28" s="1"/>
  <c r="Q260" i="28"/>
  <c r="X260" i="28" s="1"/>
  <c r="R260" i="28"/>
  <c r="Y260" i="28" s="1"/>
  <c r="S260" i="28"/>
  <c r="Z260" i="28" s="1"/>
  <c r="T260" i="28"/>
  <c r="AA260" i="28" s="1"/>
  <c r="U260" i="28"/>
  <c r="AB260" i="28" s="1"/>
  <c r="V260" i="28"/>
  <c r="AC260" i="28" s="1"/>
  <c r="Q261" i="28"/>
  <c r="X261" i="28" s="1"/>
  <c r="R261" i="28"/>
  <c r="Y261" i="28" s="1"/>
  <c r="S261" i="28"/>
  <c r="Z261" i="28" s="1"/>
  <c r="T261" i="28"/>
  <c r="AA261" i="28" s="1"/>
  <c r="U261" i="28"/>
  <c r="AB261" i="28" s="1"/>
  <c r="V261" i="28"/>
  <c r="AC261" i="28" s="1"/>
  <c r="Q262" i="28"/>
  <c r="X262" i="28" s="1"/>
  <c r="R262" i="28"/>
  <c r="Y262" i="28" s="1"/>
  <c r="S262" i="28"/>
  <c r="Z262" i="28" s="1"/>
  <c r="T262" i="28"/>
  <c r="AA262" i="28" s="1"/>
  <c r="U262" i="28"/>
  <c r="AB262" i="28" s="1"/>
  <c r="V262" i="28"/>
  <c r="AC262" i="28" s="1"/>
  <c r="Q263" i="28"/>
  <c r="X263" i="28" s="1"/>
  <c r="R263" i="28"/>
  <c r="Y263" i="28" s="1"/>
  <c r="S263" i="28"/>
  <c r="Z263" i="28" s="1"/>
  <c r="T263" i="28"/>
  <c r="AA263" i="28" s="1"/>
  <c r="U263" i="28"/>
  <c r="AB263" i="28" s="1"/>
  <c r="V263" i="28"/>
  <c r="AC263" i="28" s="1"/>
  <c r="Q264" i="28"/>
  <c r="X264" i="28" s="1"/>
  <c r="R264" i="28"/>
  <c r="Y264" i="28" s="1"/>
  <c r="S264" i="28"/>
  <c r="Z264" i="28" s="1"/>
  <c r="T264" i="28"/>
  <c r="AA264" i="28" s="1"/>
  <c r="U264" i="28"/>
  <c r="AB264" i="28" s="1"/>
  <c r="Q265" i="28"/>
  <c r="X265" i="28" s="1"/>
  <c r="R265" i="28"/>
  <c r="Y265" i="28" s="1"/>
  <c r="S265" i="28"/>
  <c r="Z265" i="28" s="1"/>
  <c r="T265" i="28"/>
  <c r="AA265" i="28" s="1"/>
  <c r="U265" i="28"/>
  <c r="AB265" i="28" s="1"/>
  <c r="V265" i="28"/>
  <c r="AC265" i="28" s="1"/>
  <c r="Q266" i="28"/>
  <c r="X266" i="28" s="1"/>
  <c r="R266" i="28"/>
  <c r="Y266" i="28" s="1"/>
  <c r="S266" i="28"/>
  <c r="Z266" i="28" s="1"/>
  <c r="T266" i="28"/>
  <c r="AA266" i="28" s="1"/>
  <c r="U266" i="28"/>
  <c r="AB266" i="28" s="1"/>
  <c r="V266" i="28"/>
  <c r="AC266" i="28" s="1"/>
  <c r="Q267" i="28"/>
  <c r="X267" i="28" s="1"/>
  <c r="R267" i="28"/>
  <c r="Y267" i="28" s="1"/>
  <c r="S267" i="28"/>
  <c r="Z267" i="28" s="1"/>
  <c r="T267" i="28"/>
  <c r="AA267" i="28" s="1"/>
  <c r="U267" i="28"/>
  <c r="AB267" i="28" s="1"/>
  <c r="V267" i="28"/>
  <c r="AC267" i="28" s="1"/>
  <c r="Q268" i="28"/>
  <c r="X268" i="28" s="1"/>
  <c r="R268" i="28"/>
  <c r="Y268" i="28" s="1"/>
  <c r="S268" i="28"/>
  <c r="Z268" i="28" s="1"/>
  <c r="T268" i="28"/>
  <c r="AA268" i="28" s="1"/>
  <c r="U268" i="28"/>
  <c r="AB268" i="28" s="1"/>
  <c r="V268" i="28"/>
  <c r="AC268" i="28" s="1"/>
  <c r="Q269" i="28"/>
  <c r="X269" i="28" s="1"/>
  <c r="R269" i="28"/>
  <c r="Y269" i="28" s="1"/>
  <c r="S269" i="28"/>
  <c r="Z269" i="28" s="1"/>
  <c r="T269" i="28"/>
  <c r="AA269" i="28" s="1"/>
  <c r="U269" i="28"/>
  <c r="AB269" i="28" s="1"/>
  <c r="V269" i="28"/>
  <c r="AC269" i="28" s="1"/>
  <c r="Q270" i="28"/>
  <c r="X270" i="28" s="1"/>
  <c r="R270" i="28"/>
  <c r="Y270" i="28" s="1"/>
  <c r="S270" i="28"/>
  <c r="Z270" i="28" s="1"/>
  <c r="T270" i="28"/>
  <c r="AA270" i="28" s="1"/>
  <c r="U270" i="28"/>
  <c r="AB270" i="28" s="1"/>
  <c r="V270" i="28"/>
  <c r="AC270" i="28" s="1"/>
  <c r="Q271" i="28"/>
  <c r="X271" i="28" s="1"/>
  <c r="R271" i="28"/>
  <c r="Y271" i="28" s="1"/>
  <c r="S271" i="28"/>
  <c r="Z271" i="28" s="1"/>
  <c r="T271" i="28"/>
  <c r="AA271" i="28" s="1"/>
  <c r="U271" i="28"/>
  <c r="AB271" i="28" s="1"/>
  <c r="V271" i="28"/>
  <c r="AC271" i="28" s="1"/>
  <c r="Q272" i="28"/>
  <c r="X272" i="28" s="1"/>
  <c r="R272" i="28"/>
  <c r="Y272" i="28" s="1"/>
  <c r="S272" i="28"/>
  <c r="Z272" i="28" s="1"/>
  <c r="T272" i="28"/>
  <c r="AA272" i="28" s="1"/>
  <c r="U272" i="28"/>
  <c r="AB272" i="28" s="1"/>
  <c r="Q273" i="28"/>
  <c r="X273" i="28" s="1"/>
  <c r="R273" i="28"/>
  <c r="Y273" i="28" s="1"/>
  <c r="S273" i="28"/>
  <c r="Z273" i="28" s="1"/>
  <c r="T273" i="28"/>
  <c r="AA273" i="28" s="1"/>
  <c r="U273" i="28"/>
  <c r="AB273" i="28" s="1"/>
  <c r="V273" i="28"/>
  <c r="AC273" i="28" s="1"/>
  <c r="Q274" i="28"/>
  <c r="X274" i="28" s="1"/>
  <c r="R274" i="28"/>
  <c r="Y274" i="28" s="1"/>
  <c r="S274" i="28"/>
  <c r="Z274" i="28" s="1"/>
  <c r="T274" i="28"/>
  <c r="AA274" i="28" s="1"/>
  <c r="U274" i="28"/>
  <c r="AB274" i="28" s="1"/>
  <c r="V274" i="28"/>
  <c r="AC274" i="28" s="1"/>
  <c r="Q275" i="28"/>
  <c r="X275" i="28" s="1"/>
  <c r="R275" i="28"/>
  <c r="Y275" i="28" s="1"/>
  <c r="S275" i="28"/>
  <c r="Z275" i="28" s="1"/>
  <c r="T275" i="28"/>
  <c r="AA275" i="28" s="1"/>
  <c r="U275" i="28"/>
  <c r="AB275" i="28" s="1"/>
  <c r="V275" i="28"/>
  <c r="AC275" i="28" s="1"/>
  <c r="Q276" i="28"/>
  <c r="X276" i="28" s="1"/>
  <c r="R276" i="28"/>
  <c r="Y276" i="28" s="1"/>
  <c r="S276" i="28"/>
  <c r="Z276" i="28" s="1"/>
  <c r="T276" i="28"/>
  <c r="AA276" i="28" s="1"/>
  <c r="U276" i="28"/>
  <c r="AB276" i="28" s="1"/>
  <c r="V276" i="28"/>
  <c r="AC276" i="28" s="1"/>
  <c r="Q277" i="28"/>
  <c r="X277" i="28" s="1"/>
  <c r="R277" i="28"/>
  <c r="Y277" i="28" s="1"/>
  <c r="S277" i="28"/>
  <c r="Z277" i="28" s="1"/>
  <c r="T277" i="28"/>
  <c r="AA277" i="28" s="1"/>
  <c r="U277" i="28"/>
  <c r="AB277" i="28" s="1"/>
  <c r="V277" i="28"/>
  <c r="AC277" i="28" s="1"/>
  <c r="Q278" i="28"/>
  <c r="X278" i="28" s="1"/>
  <c r="R278" i="28"/>
  <c r="Y278" i="28" s="1"/>
  <c r="S278" i="28"/>
  <c r="Z278" i="28" s="1"/>
  <c r="T278" i="28"/>
  <c r="AA278" i="28" s="1"/>
  <c r="U278" i="28"/>
  <c r="AB278" i="28" s="1"/>
  <c r="V278" i="28"/>
  <c r="AC278" i="28" s="1"/>
  <c r="Q279" i="28"/>
  <c r="X279" i="28" s="1"/>
  <c r="R279" i="28"/>
  <c r="Y279" i="28" s="1"/>
  <c r="S279" i="28"/>
  <c r="Z279" i="28" s="1"/>
  <c r="T279" i="28"/>
  <c r="AA279" i="28" s="1"/>
  <c r="U279" i="28"/>
  <c r="AB279" i="28" s="1"/>
  <c r="V279" i="28"/>
  <c r="AC279" i="28" s="1"/>
  <c r="Q280" i="28"/>
  <c r="X280" i="28" s="1"/>
  <c r="R280" i="28"/>
  <c r="Y280" i="28" s="1"/>
  <c r="S280" i="28"/>
  <c r="Z280" i="28" s="1"/>
  <c r="T280" i="28"/>
  <c r="AA280" i="28" s="1"/>
  <c r="U280" i="28"/>
  <c r="AB280" i="28" s="1"/>
  <c r="Q281" i="28"/>
  <c r="X281" i="28" s="1"/>
  <c r="R281" i="28"/>
  <c r="Y281" i="28" s="1"/>
  <c r="S281" i="28"/>
  <c r="Z281" i="28" s="1"/>
  <c r="T281" i="28"/>
  <c r="AA281" i="28" s="1"/>
  <c r="U281" i="28"/>
  <c r="AB281" i="28" s="1"/>
  <c r="V281" i="28"/>
  <c r="AC281" i="28" s="1"/>
  <c r="Q282" i="28"/>
  <c r="X282" i="28" s="1"/>
  <c r="R282" i="28"/>
  <c r="Y282" i="28" s="1"/>
  <c r="S282" i="28"/>
  <c r="Z282" i="28" s="1"/>
  <c r="T282" i="28"/>
  <c r="AA282" i="28" s="1"/>
  <c r="U282" i="28"/>
  <c r="AB282" i="28" s="1"/>
  <c r="V282" i="28"/>
  <c r="AC282" i="28" s="1"/>
  <c r="Q283" i="28"/>
  <c r="X283" i="28" s="1"/>
  <c r="R283" i="28"/>
  <c r="Y283" i="28" s="1"/>
  <c r="S283" i="28"/>
  <c r="Z283" i="28" s="1"/>
  <c r="T283" i="28"/>
  <c r="AA283" i="28" s="1"/>
  <c r="U283" i="28"/>
  <c r="AB283" i="28" s="1"/>
  <c r="V283" i="28"/>
  <c r="AC283" i="28" s="1"/>
  <c r="Q284" i="28"/>
  <c r="X284" i="28" s="1"/>
  <c r="R284" i="28"/>
  <c r="Y284" i="28" s="1"/>
  <c r="S284" i="28"/>
  <c r="Z284" i="28" s="1"/>
  <c r="T284" i="28"/>
  <c r="AA284" i="28" s="1"/>
  <c r="U284" i="28"/>
  <c r="AB284" i="28" s="1"/>
  <c r="V284" i="28"/>
  <c r="AC284" i="28" s="1"/>
  <c r="Q285" i="28"/>
  <c r="X285" i="28" s="1"/>
  <c r="R285" i="28"/>
  <c r="Y285" i="28" s="1"/>
  <c r="S285" i="28"/>
  <c r="Z285" i="28" s="1"/>
  <c r="T285" i="28"/>
  <c r="AA285" i="28" s="1"/>
  <c r="U285" i="28"/>
  <c r="AB285" i="28" s="1"/>
  <c r="V285" i="28"/>
  <c r="AC285" i="28" s="1"/>
  <c r="Q286" i="28"/>
  <c r="X286" i="28" s="1"/>
  <c r="R286" i="28"/>
  <c r="Y286" i="28" s="1"/>
  <c r="S286" i="28"/>
  <c r="Z286" i="28" s="1"/>
  <c r="T286" i="28"/>
  <c r="AA286" i="28" s="1"/>
  <c r="U286" i="28"/>
  <c r="AB286" i="28" s="1"/>
  <c r="V286" i="28"/>
  <c r="AC286" i="28" s="1"/>
  <c r="Q287" i="28"/>
  <c r="X287" i="28" s="1"/>
  <c r="R287" i="28"/>
  <c r="Y287" i="28" s="1"/>
  <c r="S287" i="28"/>
  <c r="Z287" i="28" s="1"/>
  <c r="T287" i="28"/>
  <c r="AA287" i="28" s="1"/>
  <c r="U287" i="28"/>
  <c r="AB287" i="28" s="1"/>
  <c r="V287" i="28"/>
  <c r="AC287" i="28" s="1"/>
  <c r="Q288" i="28"/>
  <c r="X288" i="28" s="1"/>
  <c r="R288" i="28"/>
  <c r="Y288" i="28" s="1"/>
  <c r="S288" i="28"/>
  <c r="Z288" i="28" s="1"/>
  <c r="T288" i="28"/>
  <c r="AA288" i="28" s="1"/>
  <c r="U288" i="28"/>
  <c r="AB288" i="28" s="1"/>
  <c r="Q289" i="28"/>
  <c r="X289" i="28" s="1"/>
  <c r="R289" i="28"/>
  <c r="Y289" i="28" s="1"/>
  <c r="S289" i="28"/>
  <c r="Z289" i="28" s="1"/>
  <c r="T289" i="28"/>
  <c r="AA289" i="28" s="1"/>
  <c r="U289" i="28"/>
  <c r="AB289" i="28" s="1"/>
  <c r="V289" i="28"/>
  <c r="AC289" i="28" s="1"/>
  <c r="Q290" i="28"/>
  <c r="X290" i="28" s="1"/>
  <c r="R290" i="28"/>
  <c r="Y290" i="28" s="1"/>
  <c r="S290" i="28"/>
  <c r="Z290" i="28" s="1"/>
  <c r="T290" i="28"/>
  <c r="AA290" i="28" s="1"/>
  <c r="U290" i="28"/>
  <c r="AB290" i="28" s="1"/>
  <c r="V290" i="28"/>
  <c r="AC290" i="28" s="1"/>
  <c r="Q291" i="28"/>
  <c r="X291" i="28" s="1"/>
  <c r="R291" i="28"/>
  <c r="Y291" i="28" s="1"/>
  <c r="S291" i="28"/>
  <c r="Z291" i="28" s="1"/>
  <c r="T291" i="28"/>
  <c r="AA291" i="28" s="1"/>
  <c r="U291" i="28"/>
  <c r="AB291" i="28" s="1"/>
  <c r="V291" i="28"/>
  <c r="AC291" i="28" s="1"/>
  <c r="Q292" i="28"/>
  <c r="X292" i="28" s="1"/>
  <c r="R292" i="28"/>
  <c r="Y292" i="28" s="1"/>
  <c r="S292" i="28"/>
  <c r="Z292" i="28" s="1"/>
  <c r="T292" i="28"/>
  <c r="AA292" i="28" s="1"/>
  <c r="U292" i="28"/>
  <c r="AB292" i="28" s="1"/>
  <c r="V292" i="28"/>
  <c r="AC292" i="28" s="1"/>
  <c r="Q293" i="28"/>
  <c r="X293" i="28" s="1"/>
  <c r="R293" i="28"/>
  <c r="Y293" i="28" s="1"/>
  <c r="S293" i="28"/>
  <c r="Z293" i="28" s="1"/>
  <c r="T293" i="28"/>
  <c r="AA293" i="28" s="1"/>
  <c r="U293" i="28"/>
  <c r="AB293" i="28" s="1"/>
  <c r="V293" i="28"/>
  <c r="AC293" i="28" s="1"/>
  <c r="Q294" i="28"/>
  <c r="X294" i="28" s="1"/>
  <c r="R294" i="28"/>
  <c r="Y294" i="28" s="1"/>
  <c r="S294" i="28"/>
  <c r="Z294" i="28" s="1"/>
  <c r="T294" i="28"/>
  <c r="AA294" i="28" s="1"/>
  <c r="U294" i="28"/>
  <c r="AB294" i="28" s="1"/>
  <c r="V294" i="28"/>
  <c r="AC294" i="28" s="1"/>
  <c r="Q295" i="28"/>
  <c r="X295" i="28" s="1"/>
  <c r="R295" i="28"/>
  <c r="Y295" i="28" s="1"/>
  <c r="S295" i="28"/>
  <c r="Z295" i="28" s="1"/>
  <c r="T295" i="28"/>
  <c r="AA295" i="28" s="1"/>
  <c r="U295" i="28"/>
  <c r="AB295" i="28" s="1"/>
  <c r="V295" i="28"/>
  <c r="AC295" i="28" s="1"/>
  <c r="Q296" i="28"/>
  <c r="X296" i="28" s="1"/>
  <c r="R296" i="28"/>
  <c r="Y296" i="28" s="1"/>
  <c r="S296" i="28"/>
  <c r="Z296" i="28" s="1"/>
  <c r="T296" i="28"/>
  <c r="AA296" i="28" s="1"/>
  <c r="U296" i="28"/>
  <c r="AB296" i="28" s="1"/>
  <c r="Q297" i="28"/>
  <c r="X297" i="28" s="1"/>
  <c r="R297" i="28"/>
  <c r="Y297" i="28" s="1"/>
  <c r="S297" i="28"/>
  <c r="Z297" i="28" s="1"/>
  <c r="T297" i="28"/>
  <c r="AA297" i="28" s="1"/>
  <c r="U297" i="28"/>
  <c r="AB297" i="28" s="1"/>
  <c r="V297" i="28"/>
  <c r="AC297" i="28" s="1"/>
  <c r="Q298" i="28"/>
  <c r="X298" i="28" s="1"/>
  <c r="R298" i="28"/>
  <c r="Y298" i="28" s="1"/>
  <c r="S298" i="28"/>
  <c r="Z298" i="28" s="1"/>
  <c r="T298" i="28"/>
  <c r="AA298" i="28" s="1"/>
  <c r="U298" i="28"/>
  <c r="AB298" i="28" s="1"/>
  <c r="V298" i="28"/>
  <c r="AC298" i="28" s="1"/>
  <c r="Q299" i="28"/>
  <c r="X299" i="28" s="1"/>
  <c r="R299" i="28"/>
  <c r="Y299" i="28" s="1"/>
  <c r="S299" i="28"/>
  <c r="Z299" i="28" s="1"/>
  <c r="T299" i="28"/>
  <c r="AA299" i="28" s="1"/>
  <c r="U299" i="28"/>
  <c r="AB299" i="28" s="1"/>
  <c r="V299" i="28"/>
  <c r="AC299" i="28" s="1"/>
  <c r="Q300" i="28"/>
  <c r="X300" i="28" s="1"/>
  <c r="R300" i="28"/>
  <c r="Y300" i="28" s="1"/>
  <c r="S300" i="28"/>
  <c r="Z300" i="28" s="1"/>
  <c r="T300" i="28"/>
  <c r="AA300" i="28" s="1"/>
  <c r="U300" i="28"/>
  <c r="AB300" i="28" s="1"/>
  <c r="V300" i="28"/>
  <c r="AC300" i="28" s="1"/>
  <c r="Q301" i="28"/>
  <c r="X301" i="28" s="1"/>
  <c r="R301" i="28"/>
  <c r="Y301" i="28" s="1"/>
  <c r="S301" i="28"/>
  <c r="Z301" i="28" s="1"/>
  <c r="T301" i="28"/>
  <c r="AA301" i="28" s="1"/>
  <c r="U301" i="28"/>
  <c r="AB301" i="28" s="1"/>
  <c r="V301" i="28"/>
  <c r="AC301" i="28" s="1"/>
  <c r="Q302" i="28"/>
  <c r="X302" i="28" s="1"/>
  <c r="R302" i="28"/>
  <c r="Y302" i="28" s="1"/>
  <c r="S302" i="28"/>
  <c r="Z302" i="28" s="1"/>
  <c r="T302" i="28"/>
  <c r="AA302" i="28" s="1"/>
  <c r="U302" i="28"/>
  <c r="AB302" i="28" s="1"/>
  <c r="V302" i="28"/>
  <c r="AC302" i="28" s="1"/>
  <c r="Q303" i="28"/>
  <c r="X303" i="28" s="1"/>
  <c r="R303" i="28"/>
  <c r="Y303" i="28" s="1"/>
  <c r="S303" i="28"/>
  <c r="Z303" i="28" s="1"/>
  <c r="T303" i="28"/>
  <c r="AA303" i="28" s="1"/>
  <c r="U303" i="28"/>
  <c r="AB303" i="28" s="1"/>
  <c r="V303" i="28"/>
  <c r="AC303" i="28" s="1"/>
  <c r="Q304" i="28"/>
  <c r="X304" i="28" s="1"/>
  <c r="R304" i="28"/>
  <c r="Y304" i="28" s="1"/>
  <c r="S304" i="28"/>
  <c r="Z304" i="28" s="1"/>
  <c r="T304" i="28"/>
  <c r="AA304" i="28" s="1"/>
  <c r="U304" i="28"/>
  <c r="AB304" i="28" s="1"/>
  <c r="Q305" i="28"/>
  <c r="X305" i="28" s="1"/>
  <c r="R305" i="28"/>
  <c r="Y305" i="28" s="1"/>
  <c r="S305" i="28"/>
  <c r="Z305" i="28" s="1"/>
  <c r="T305" i="28"/>
  <c r="AA305" i="28" s="1"/>
  <c r="U305" i="28"/>
  <c r="AB305" i="28" s="1"/>
  <c r="V305" i="28"/>
  <c r="AC305" i="28" s="1"/>
  <c r="Q306" i="28"/>
  <c r="X306" i="28" s="1"/>
  <c r="R306" i="28"/>
  <c r="Y306" i="28" s="1"/>
  <c r="S306" i="28"/>
  <c r="Z306" i="28" s="1"/>
  <c r="T306" i="28"/>
  <c r="AA306" i="28" s="1"/>
  <c r="U306" i="28"/>
  <c r="AB306" i="28" s="1"/>
  <c r="V306" i="28"/>
  <c r="AC306" i="28" s="1"/>
  <c r="Q307" i="28"/>
  <c r="X307" i="28" s="1"/>
  <c r="R307" i="28"/>
  <c r="Y307" i="28" s="1"/>
  <c r="S307" i="28"/>
  <c r="Z307" i="28" s="1"/>
  <c r="T307" i="28"/>
  <c r="AA307" i="28" s="1"/>
  <c r="U307" i="28"/>
  <c r="AB307" i="28" s="1"/>
  <c r="V307" i="28"/>
  <c r="AC307" i="28" s="1"/>
  <c r="Q308" i="28"/>
  <c r="X308" i="28" s="1"/>
  <c r="R308" i="28"/>
  <c r="Y308" i="28" s="1"/>
  <c r="S308" i="28"/>
  <c r="Z308" i="28" s="1"/>
  <c r="T308" i="28"/>
  <c r="AA308" i="28" s="1"/>
  <c r="U308" i="28"/>
  <c r="AB308" i="28" s="1"/>
  <c r="V308" i="28"/>
  <c r="AC308" i="28" s="1"/>
  <c r="Q309" i="28"/>
  <c r="X309" i="28" s="1"/>
  <c r="R309" i="28"/>
  <c r="Y309" i="28" s="1"/>
  <c r="S309" i="28"/>
  <c r="Z309" i="28" s="1"/>
  <c r="T309" i="28"/>
  <c r="AA309" i="28" s="1"/>
  <c r="U309" i="28"/>
  <c r="AB309" i="28" s="1"/>
  <c r="V309" i="28"/>
  <c r="AC309" i="28" s="1"/>
  <c r="Q310" i="28"/>
  <c r="X310" i="28" s="1"/>
  <c r="R310" i="28"/>
  <c r="Y310" i="28" s="1"/>
  <c r="S310" i="28"/>
  <c r="Z310" i="28" s="1"/>
  <c r="T310" i="28"/>
  <c r="AA310" i="28" s="1"/>
  <c r="U310" i="28"/>
  <c r="AB310" i="28" s="1"/>
  <c r="V310" i="28"/>
  <c r="AC310" i="28" s="1"/>
  <c r="Q311" i="28"/>
  <c r="X311" i="28" s="1"/>
  <c r="R311" i="28"/>
  <c r="Y311" i="28" s="1"/>
  <c r="S311" i="28"/>
  <c r="Z311" i="28" s="1"/>
  <c r="T311" i="28"/>
  <c r="AA311" i="28" s="1"/>
  <c r="U311" i="28"/>
  <c r="AB311" i="28" s="1"/>
  <c r="V311" i="28"/>
  <c r="AC311" i="28" s="1"/>
  <c r="Q312" i="28"/>
  <c r="X312" i="28" s="1"/>
  <c r="R312" i="28"/>
  <c r="Y312" i="28" s="1"/>
  <c r="S312" i="28"/>
  <c r="Z312" i="28" s="1"/>
  <c r="T312" i="28"/>
  <c r="AA312" i="28" s="1"/>
  <c r="U312" i="28"/>
  <c r="AB312" i="28" s="1"/>
  <c r="Q313" i="28"/>
  <c r="X313" i="28" s="1"/>
  <c r="R313" i="28"/>
  <c r="Y313" i="28" s="1"/>
  <c r="S313" i="28"/>
  <c r="Z313" i="28" s="1"/>
  <c r="T313" i="28"/>
  <c r="AA313" i="28" s="1"/>
  <c r="U313" i="28"/>
  <c r="AB313" i="28" s="1"/>
  <c r="V313" i="28"/>
  <c r="AC313" i="28" s="1"/>
  <c r="Q314" i="28"/>
  <c r="X314" i="28" s="1"/>
  <c r="R314" i="28"/>
  <c r="Y314" i="28" s="1"/>
  <c r="S314" i="28"/>
  <c r="Z314" i="28" s="1"/>
  <c r="T314" i="28"/>
  <c r="AA314" i="28" s="1"/>
  <c r="U314" i="28"/>
  <c r="AB314" i="28" s="1"/>
  <c r="V314" i="28"/>
  <c r="AC314" i="28" s="1"/>
  <c r="Q315" i="28"/>
  <c r="X315" i="28" s="1"/>
  <c r="R315" i="28"/>
  <c r="Y315" i="28" s="1"/>
  <c r="S315" i="28"/>
  <c r="Z315" i="28" s="1"/>
  <c r="T315" i="28"/>
  <c r="AA315" i="28" s="1"/>
  <c r="U315" i="28"/>
  <c r="AB315" i="28" s="1"/>
  <c r="V315" i="28"/>
  <c r="AC315" i="28" s="1"/>
  <c r="Q316" i="28"/>
  <c r="X316" i="28" s="1"/>
  <c r="R316" i="28"/>
  <c r="Y316" i="28" s="1"/>
  <c r="S316" i="28"/>
  <c r="Z316" i="28" s="1"/>
  <c r="T316" i="28"/>
  <c r="AA316" i="28" s="1"/>
  <c r="U316" i="28"/>
  <c r="AB316" i="28" s="1"/>
  <c r="V316" i="28"/>
  <c r="AC316" i="28" s="1"/>
  <c r="Q317" i="28"/>
  <c r="X317" i="28" s="1"/>
  <c r="R317" i="28"/>
  <c r="Y317" i="28" s="1"/>
  <c r="S317" i="28"/>
  <c r="Z317" i="28" s="1"/>
  <c r="T317" i="28"/>
  <c r="AA317" i="28" s="1"/>
  <c r="U317" i="28"/>
  <c r="AB317" i="28" s="1"/>
  <c r="V317" i="28"/>
  <c r="AC317" i="28" s="1"/>
  <c r="Q318" i="28"/>
  <c r="X318" i="28" s="1"/>
  <c r="R318" i="28"/>
  <c r="Y318" i="28" s="1"/>
  <c r="S318" i="28"/>
  <c r="Z318" i="28" s="1"/>
  <c r="T318" i="28"/>
  <c r="AA318" i="28" s="1"/>
  <c r="U318" i="28"/>
  <c r="AB318" i="28" s="1"/>
  <c r="V318" i="28"/>
  <c r="AC318" i="28" s="1"/>
  <c r="Q319" i="28"/>
  <c r="X319" i="28" s="1"/>
  <c r="R319" i="28"/>
  <c r="Y319" i="28" s="1"/>
  <c r="S319" i="28"/>
  <c r="Z319" i="28" s="1"/>
  <c r="T319" i="28"/>
  <c r="AA319" i="28" s="1"/>
  <c r="U319" i="28"/>
  <c r="AB319" i="28" s="1"/>
  <c r="V319" i="28"/>
  <c r="AC319" i="28" s="1"/>
  <c r="Q320" i="28"/>
  <c r="X320" i="28" s="1"/>
  <c r="R320" i="28"/>
  <c r="Y320" i="28" s="1"/>
  <c r="S320" i="28"/>
  <c r="Z320" i="28" s="1"/>
  <c r="T320" i="28"/>
  <c r="AA320" i="28" s="1"/>
  <c r="U320" i="28"/>
  <c r="AB320" i="28" s="1"/>
  <c r="Q321" i="28"/>
  <c r="X321" i="28" s="1"/>
  <c r="R321" i="28"/>
  <c r="Y321" i="28" s="1"/>
  <c r="S321" i="28"/>
  <c r="Z321" i="28" s="1"/>
  <c r="T321" i="28"/>
  <c r="AA321" i="28" s="1"/>
  <c r="U321" i="28"/>
  <c r="AB321" i="28" s="1"/>
  <c r="V321" i="28"/>
  <c r="AC321" i="28" s="1"/>
  <c r="Q322" i="28"/>
  <c r="X322" i="28" s="1"/>
  <c r="R322" i="28"/>
  <c r="Y322" i="28" s="1"/>
  <c r="S322" i="28"/>
  <c r="Z322" i="28" s="1"/>
  <c r="T322" i="28"/>
  <c r="AA322" i="28" s="1"/>
  <c r="U322" i="28"/>
  <c r="AB322" i="28" s="1"/>
  <c r="V322" i="28"/>
  <c r="AC322" i="28" s="1"/>
  <c r="Q323" i="28"/>
  <c r="X323" i="28" s="1"/>
  <c r="R323" i="28"/>
  <c r="Y323" i="28" s="1"/>
  <c r="S323" i="28"/>
  <c r="Z323" i="28" s="1"/>
  <c r="T323" i="28"/>
  <c r="AA323" i="28" s="1"/>
  <c r="U323" i="28"/>
  <c r="AB323" i="28" s="1"/>
  <c r="V323" i="28"/>
  <c r="AC323" i="28" s="1"/>
  <c r="Q324" i="28"/>
  <c r="X324" i="28" s="1"/>
  <c r="R324" i="28"/>
  <c r="Y324" i="28" s="1"/>
  <c r="S324" i="28"/>
  <c r="Z324" i="28" s="1"/>
  <c r="T324" i="28"/>
  <c r="AA324" i="28" s="1"/>
  <c r="U324" i="28"/>
  <c r="AB324" i="28" s="1"/>
  <c r="V324" i="28"/>
  <c r="AC324" i="28" s="1"/>
  <c r="Q325" i="28"/>
  <c r="X325" i="28" s="1"/>
  <c r="R325" i="28"/>
  <c r="Y325" i="28" s="1"/>
  <c r="S325" i="28"/>
  <c r="Z325" i="28" s="1"/>
  <c r="T325" i="28"/>
  <c r="AA325" i="28" s="1"/>
  <c r="U325" i="28"/>
  <c r="AB325" i="28" s="1"/>
  <c r="V325" i="28"/>
  <c r="AC325" i="28" s="1"/>
  <c r="Q326" i="28"/>
  <c r="X326" i="28" s="1"/>
  <c r="R326" i="28"/>
  <c r="Y326" i="28" s="1"/>
  <c r="S326" i="28"/>
  <c r="Z326" i="28" s="1"/>
  <c r="T326" i="28"/>
  <c r="AA326" i="28" s="1"/>
  <c r="U326" i="28"/>
  <c r="AB326" i="28" s="1"/>
  <c r="V326" i="28"/>
  <c r="AC326" i="28" s="1"/>
  <c r="Q327" i="28"/>
  <c r="X327" i="28" s="1"/>
  <c r="R327" i="28"/>
  <c r="Y327" i="28" s="1"/>
  <c r="S327" i="28"/>
  <c r="Z327" i="28" s="1"/>
  <c r="T327" i="28"/>
  <c r="AA327" i="28" s="1"/>
  <c r="U327" i="28"/>
  <c r="AB327" i="28" s="1"/>
  <c r="V327" i="28"/>
  <c r="AC327" i="28" s="1"/>
  <c r="Q328" i="28"/>
  <c r="X328" i="28" s="1"/>
  <c r="R328" i="28"/>
  <c r="Y328" i="28" s="1"/>
  <c r="S328" i="28"/>
  <c r="Z328" i="28" s="1"/>
  <c r="T328" i="28"/>
  <c r="AA328" i="28" s="1"/>
  <c r="U328" i="28"/>
  <c r="AB328" i="28" s="1"/>
  <c r="Q329" i="28"/>
  <c r="X329" i="28" s="1"/>
  <c r="R329" i="28"/>
  <c r="Y329" i="28" s="1"/>
  <c r="S329" i="28"/>
  <c r="Z329" i="28" s="1"/>
  <c r="T329" i="28"/>
  <c r="AA329" i="28" s="1"/>
  <c r="U329" i="28"/>
  <c r="AB329" i="28" s="1"/>
  <c r="V329" i="28"/>
  <c r="AC329" i="28" s="1"/>
  <c r="Q330" i="28"/>
  <c r="X330" i="28" s="1"/>
  <c r="R330" i="28"/>
  <c r="Y330" i="28" s="1"/>
  <c r="S330" i="28"/>
  <c r="Z330" i="28" s="1"/>
  <c r="T330" i="28"/>
  <c r="AA330" i="28" s="1"/>
  <c r="U330" i="28"/>
  <c r="AB330" i="28" s="1"/>
  <c r="V330" i="28"/>
  <c r="AC330" i="28" s="1"/>
  <c r="Q331" i="28"/>
  <c r="X331" i="28" s="1"/>
  <c r="R331" i="28"/>
  <c r="Y331" i="28" s="1"/>
  <c r="S331" i="28"/>
  <c r="Z331" i="28" s="1"/>
  <c r="T331" i="28"/>
  <c r="AA331" i="28" s="1"/>
  <c r="U331" i="28"/>
  <c r="AB331" i="28" s="1"/>
  <c r="V331" i="28"/>
  <c r="AC331" i="28" s="1"/>
  <c r="Q332" i="28"/>
  <c r="X332" i="28" s="1"/>
  <c r="R332" i="28"/>
  <c r="Y332" i="28" s="1"/>
  <c r="S332" i="28"/>
  <c r="Z332" i="28" s="1"/>
  <c r="T332" i="28"/>
  <c r="AA332" i="28" s="1"/>
  <c r="U332" i="28"/>
  <c r="AB332" i="28" s="1"/>
  <c r="V332" i="28"/>
  <c r="AC332" i="28" s="1"/>
  <c r="Q333" i="28"/>
  <c r="X333" i="28" s="1"/>
  <c r="R333" i="28"/>
  <c r="Y333" i="28" s="1"/>
  <c r="S333" i="28"/>
  <c r="Z333" i="28" s="1"/>
  <c r="T333" i="28"/>
  <c r="AA333" i="28" s="1"/>
  <c r="U333" i="28"/>
  <c r="AB333" i="28" s="1"/>
  <c r="V333" i="28"/>
  <c r="AC333" i="28" s="1"/>
  <c r="Q334" i="28"/>
  <c r="X334" i="28" s="1"/>
  <c r="R334" i="28"/>
  <c r="Y334" i="28" s="1"/>
  <c r="S334" i="28"/>
  <c r="Z334" i="28" s="1"/>
  <c r="T334" i="28"/>
  <c r="AA334" i="28" s="1"/>
  <c r="U334" i="28"/>
  <c r="AB334" i="28" s="1"/>
  <c r="V334" i="28"/>
  <c r="AC334" i="28" s="1"/>
  <c r="Q335" i="28"/>
  <c r="X335" i="28" s="1"/>
  <c r="R335" i="28"/>
  <c r="Y335" i="28" s="1"/>
  <c r="S335" i="28"/>
  <c r="Z335" i="28" s="1"/>
  <c r="T335" i="28"/>
  <c r="AA335" i="28" s="1"/>
  <c r="U335" i="28"/>
  <c r="AB335" i="28" s="1"/>
  <c r="V335" i="28"/>
  <c r="AC335" i="28" s="1"/>
  <c r="Q336" i="28"/>
  <c r="X336" i="28" s="1"/>
  <c r="R336" i="28"/>
  <c r="Y336" i="28" s="1"/>
  <c r="S336" i="28"/>
  <c r="Z336" i="28" s="1"/>
  <c r="T336" i="28"/>
  <c r="AA336" i="28" s="1"/>
  <c r="U336" i="28"/>
  <c r="AB336" i="28" s="1"/>
  <c r="Q337" i="28"/>
  <c r="X337" i="28" s="1"/>
  <c r="R337" i="28"/>
  <c r="Y337" i="28" s="1"/>
  <c r="S337" i="28"/>
  <c r="Z337" i="28" s="1"/>
  <c r="T337" i="28"/>
  <c r="AA337" i="28" s="1"/>
  <c r="U337" i="28"/>
  <c r="AB337" i="28" s="1"/>
  <c r="V337" i="28"/>
  <c r="AC337" i="28" s="1"/>
  <c r="Q338" i="28"/>
  <c r="X338" i="28" s="1"/>
  <c r="R338" i="28"/>
  <c r="Y338" i="28" s="1"/>
  <c r="S338" i="28"/>
  <c r="Z338" i="28" s="1"/>
  <c r="T338" i="28"/>
  <c r="AA338" i="28" s="1"/>
  <c r="U338" i="28"/>
  <c r="AB338" i="28" s="1"/>
  <c r="V338" i="28"/>
  <c r="AC338" i="28" s="1"/>
  <c r="Q339" i="28"/>
  <c r="X339" i="28" s="1"/>
  <c r="R339" i="28"/>
  <c r="Y339" i="28" s="1"/>
  <c r="S339" i="28"/>
  <c r="Z339" i="28" s="1"/>
  <c r="T339" i="28"/>
  <c r="AA339" i="28" s="1"/>
  <c r="U339" i="28"/>
  <c r="AB339" i="28" s="1"/>
  <c r="V339" i="28"/>
  <c r="AC339" i="28" s="1"/>
  <c r="Q340" i="28"/>
  <c r="X340" i="28" s="1"/>
  <c r="R340" i="28"/>
  <c r="Y340" i="28" s="1"/>
  <c r="S340" i="28"/>
  <c r="Z340" i="28" s="1"/>
  <c r="T340" i="28"/>
  <c r="AA340" i="28" s="1"/>
  <c r="U340" i="28"/>
  <c r="AB340" i="28" s="1"/>
  <c r="V340" i="28"/>
  <c r="AC340" i="28" s="1"/>
  <c r="Q341" i="28"/>
  <c r="X341" i="28" s="1"/>
  <c r="R341" i="28"/>
  <c r="Y341" i="28" s="1"/>
  <c r="S341" i="28"/>
  <c r="Z341" i="28" s="1"/>
  <c r="T341" i="28"/>
  <c r="AA341" i="28" s="1"/>
  <c r="U341" i="28"/>
  <c r="AB341" i="28" s="1"/>
  <c r="V341" i="28"/>
  <c r="AC341" i="28" s="1"/>
  <c r="Q342" i="28"/>
  <c r="X342" i="28" s="1"/>
  <c r="R342" i="28"/>
  <c r="Y342" i="28" s="1"/>
  <c r="S342" i="28"/>
  <c r="Z342" i="28" s="1"/>
  <c r="T342" i="28"/>
  <c r="AA342" i="28" s="1"/>
  <c r="U342" i="28"/>
  <c r="AB342" i="28" s="1"/>
  <c r="V342" i="28"/>
  <c r="AC342" i="28" s="1"/>
  <c r="Q343" i="28"/>
  <c r="X343" i="28" s="1"/>
  <c r="R343" i="28"/>
  <c r="Y343" i="28" s="1"/>
  <c r="S343" i="28"/>
  <c r="Z343" i="28" s="1"/>
  <c r="T343" i="28"/>
  <c r="AA343" i="28" s="1"/>
  <c r="U343" i="28"/>
  <c r="AB343" i="28" s="1"/>
  <c r="V343" i="28"/>
  <c r="AC343" i="28" s="1"/>
  <c r="Q344" i="28"/>
  <c r="X344" i="28" s="1"/>
  <c r="R344" i="28"/>
  <c r="Y344" i="28" s="1"/>
  <c r="S344" i="28"/>
  <c r="Z344" i="28" s="1"/>
  <c r="T344" i="28"/>
  <c r="AA344" i="28" s="1"/>
  <c r="U344" i="28"/>
  <c r="AB344" i="28" s="1"/>
  <c r="Q345" i="28"/>
  <c r="X345" i="28" s="1"/>
  <c r="R345" i="28"/>
  <c r="Y345" i="28" s="1"/>
  <c r="S345" i="28"/>
  <c r="Z345" i="28" s="1"/>
  <c r="T345" i="28"/>
  <c r="AA345" i="28" s="1"/>
  <c r="U345" i="28"/>
  <c r="AB345" i="28" s="1"/>
  <c r="V345" i="28"/>
  <c r="AC345" i="28" s="1"/>
  <c r="Q346" i="28"/>
  <c r="X346" i="28" s="1"/>
  <c r="R346" i="28"/>
  <c r="Y346" i="28" s="1"/>
  <c r="S346" i="28"/>
  <c r="Z346" i="28" s="1"/>
  <c r="T346" i="28"/>
  <c r="AA346" i="28" s="1"/>
  <c r="U346" i="28"/>
  <c r="AB346" i="28" s="1"/>
  <c r="V346" i="28"/>
  <c r="AC346" i="28" s="1"/>
  <c r="Q347" i="28"/>
  <c r="X347" i="28" s="1"/>
  <c r="R347" i="28"/>
  <c r="Y347" i="28" s="1"/>
  <c r="S347" i="28"/>
  <c r="Z347" i="28" s="1"/>
  <c r="T347" i="28"/>
  <c r="AA347" i="28" s="1"/>
  <c r="U347" i="28"/>
  <c r="AB347" i="28" s="1"/>
  <c r="V347" i="28"/>
  <c r="AC347" i="28" s="1"/>
  <c r="Q348" i="28"/>
  <c r="X348" i="28" s="1"/>
  <c r="R348" i="28"/>
  <c r="Y348" i="28" s="1"/>
  <c r="S348" i="28"/>
  <c r="Z348" i="28" s="1"/>
  <c r="T348" i="28"/>
  <c r="AA348" i="28" s="1"/>
  <c r="U348" i="28"/>
  <c r="AB348" i="28" s="1"/>
  <c r="V348" i="28"/>
  <c r="AC348" i="28" s="1"/>
  <c r="Q349" i="28"/>
  <c r="X349" i="28" s="1"/>
  <c r="R349" i="28"/>
  <c r="Y349" i="28" s="1"/>
  <c r="S349" i="28"/>
  <c r="Z349" i="28" s="1"/>
  <c r="T349" i="28"/>
  <c r="AA349" i="28" s="1"/>
  <c r="U349" i="28"/>
  <c r="AB349" i="28" s="1"/>
  <c r="V349" i="28"/>
  <c r="AC349" i="28" s="1"/>
  <c r="Q350" i="28"/>
  <c r="X350" i="28" s="1"/>
  <c r="R350" i="28"/>
  <c r="Y350" i="28" s="1"/>
  <c r="S350" i="28"/>
  <c r="Z350" i="28" s="1"/>
  <c r="T350" i="28"/>
  <c r="AA350" i="28" s="1"/>
  <c r="U350" i="28"/>
  <c r="AB350" i="28" s="1"/>
  <c r="V350" i="28"/>
  <c r="AC350" i="28" s="1"/>
  <c r="Q351" i="28"/>
  <c r="X351" i="28" s="1"/>
  <c r="R351" i="28"/>
  <c r="Y351" i="28" s="1"/>
  <c r="S351" i="28"/>
  <c r="Z351" i="28" s="1"/>
  <c r="T351" i="28"/>
  <c r="AA351" i="28" s="1"/>
  <c r="U351" i="28"/>
  <c r="AB351" i="28" s="1"/>
  <c r="V351" i="28"/>
  <c r="AC351" i="28" s="1"/>
  <c r="Q352" i="28"/>
  <c r="X352" i="28" s="1"/>
  <c r="R352" i="28"/>
  <c r="Y352" i="28" s="1"/>
  <c r="S352" i="28"/>
  <c r="Z352" i="28" s="1"/>
  <c r="T352" i="28"/>
  <c r="AA352" i="28" s="1"/>
  <c r="U352" i="28"/>
  <c r="AB352" i="28" s="1"/>
  <c r="Q353" i="28"/>
  <c r="X353" i="28" s="1"/>
  <c r="R353" i="28"/>
  <c r="Y353" i="28" s="1"/>
  <c r="S353" i="28"/>
  <c r="Z353" i="28" s="1"/>
  <c r="T353" i="28"/>
  <c r="AA353" i="28" s="1"/>
  <c r="U353" i="28"/>
  <c r="AB353" i="28" s="1"/>
  <c r="V353" i="28"/>
  <c r="AC353" i="28" s="1"/>
  <c r="Q354" i="28"/>
  <c r="X354" i="28" s="1"/>
  <c r="R354" i="28"/>
  <c r="Y354" i="28" s="1"/>
  <c r="S354" i="28"/>
  <c r="Z354" i="28" s="1"/>
  <c r="T354" i="28"/>
  <c r="AA354" i="28" s="1"/>
  <c r="U354" i="28"/>
  <c r="AB354" i="28" s="1"/>
  <c r="V354" i="28"/>
  <c r="AC354" i="28" s="1"/>
  <c r="Q355" i="28"/>
  <c r="X355" i="28" s="1"/>
  <c r="R355" i="28"/>
  <c r="Y355" i="28" s="1"/>
  <c r="S355" i="28"/>
  <c r="Z355" i="28" s="1"/>
  <c r="T355" i="28"/>
  <c r="AA355" i="28" s="1"/>
  <c r="U355" i="28"/>
  <c r="AB355" i="28" s="1"/>
  <c r="V355" i="28"/>
  <c r="AC355" i="28" s="1"/>
  <c r="Q356" i="28"/>
  <c r="X356" i="28" s="1"/>
  <c r="R356" i="28"/>
  <c r="Y356" i="28" s="1"/>
  <c r="S356" i="28"/>
  <c r="Z356" i="28" s="1"/>
  <c r="T356" i="28"/>
  <c r="AA356" i="28" s="1"/>
  <c r="U356" i="28"/>
  <c r="AB356" i="28" s="1"/>
  <c r="V356" i="28"/>
  <c r="AC356" i="28" s="1"/>
  <c r="Q357" i="28"/>
  <c r="X357" i="28" s="1"/>
  <c r="R357" i="28"/>
  <c r="Y357" i="28" s="1"/>
  <c r="S357" i="28"/>
  <c r="Z357" i="28" s="1"/>
  <c r="T357" i="28"/>
  <c r="AA357" i="28" s="1"/>
  <c r="U357" i="28"/>
  <c r="AB357" i="28" s="1"/>
  <c r="V357" i="28"/>
  <c r="AC357" i="28" s="1"/>
  <c r="Q358" i="28"/>
  <c r="X358" i="28" s="1"/>
  <c r="R358" i="28"/>
  <c r="Y358" i="28" s="1"/>
  <c r="S358" i="28"/>
  <c r="Z358" i="28" s="1"/>
  <c r="T358" i="28"/>
  <c r="AA358" i="28" s="1"/>
  <c r="U358" i="28"/>
  <c r="AB358" i="28" s="1"/>
  <c r="V358" i="28"/>
  <c r="AC358" i="28" s="1"/>
  <c r="Q359" i="28"/>
  <c r="X359" i="28" s="1"/>
  <c r="R359" i="28"/>
  <c r="Y359" i="28" s="1"/>
  <c r="S359" i="28"/>
  <c r="Z359" i="28" s="1"/>
  <c r="T359" i="28"/>
  <c r="AA359" i="28" s="1"/>
  <c r="U359" i="28"/>
  <c r="AB359" i="28" s="1"/>
  <c r="V359" i="28"/>
  <c r="AC359" i="28" s="1"/>
  <c r="Q360" i="28"/>
  <c r="X360" i="28" s="1"/>
  <c r="R360" i="28"/>
  <c r="Y360" i="28" s="1"/>
  <c r="S360" i="28"/>
  <c r="Z360" i="28" s="1"/>
  <c r="T360" i="28"/>
  <c r="AA360" i="28" s="1"/>
  <c r="U360" i="28"/>
  <c r="AB360" i="28" s="1"/>
  <c r="Q361" i="28"/>
  <c r="X361" i="28" s="1"/>
  <c r="R361" i="28"/>
  <c r="Y361" i="28" s="1"/>
  <c r="S361" i="28"/>
  <c r="Z361" i="28" s="1"/>
  <c r="T361" i="28"/>
  <c r="AA361" i="28" s="1"/>
  <c r="U361" i="28"/>
  <c r="AB361" i="28" s="1"/>
  <c r="V361" i="28"/>
  <c r="AC361" i="28" s="1"/>
  <c r="Q362" i="28"/>
  <c r="X362" i="28" s="1"/>
  <c r="R362" i="28"/>
  <c r="Y362" i="28" s="1"/>
  <c r="S362" i="28"/>
  <c r="Z362" i="28" s="1"/>
  <c r="T362" i="28"/>
  <c r="AA362" i="28" s="1"/>
  <c r="U362" i="28"/>
  <c r="AB362" i="28" s="1"/>
  <c r="V362" i="28"/>
  <c r="AC362" i="28" s="1"/>
  <c r="Q363" i="28"/>
  <c r="X363" i="28" s="1"/>
  <c r="R363" i="28"/>
  <c r="Y363" i="28" s="1"/>
  <c r="S363" i="28"/>
  <c r="Z363" i="28" s="1"/>
  <c r="T363" i="28"/>
  <c r="AA363" i="28" s="1"/>
  <c r="U363" i="28"/>
  <c r="AB363" i="28" s="1"/>
  <c r="V363" i="28"/>
  <c r="AC363" i="28" s="1"/>
  <c r="Q364" i="28"/>
  <c r="X364" i="28" s="1"/>
  <c r="R364" i="28"/>
  <c r="Y364" i="28" s="1"/>
  <c r="S364" i="28"/>
  <c r="Z364" i="28" s="1"/>
  <c r="T364" i="28"/>
  <c r="AA364" i="28" s="1"/>
  <c r="U364" i="28"/>
  <c r="AB364" i="28" s="1"/>
  <c r="V364" i="28"/>
  <c r="AC364" i="28" s="1"/>
  <c r="Q365" i="28"/>
  <c r="X365" i="28" s="1"/>
  <c r="R365" i="28"/>
  <c r="Y365" i="28" s="1"/>
  <c r="S365" i="28"/>
  <c r="Z365" i="28" s="1"/>
  <c r="T365" i="28"/>
  <c r="AA365" i="28" s="1"/>
  <c r="U365" i="28"/>
  <c r="AB365" i="28" s="1"/>
  <c r="V365" i="28"/>
  <c r="AC365" i="28" s="1"/>
  <c r="Q366" i="28"/>
  <c r="X366" i="28" s="1"/>
  <c r="R366" i="28"/>
  <c r="Y366" i="28" s="1"/>
  <c r="S366" i="28"/>
  <c r="Z366" i="28" s="1"/>
  <c r="T366" i="28"/>
  <c r="AA366" i="28" s="1"/>
  <c r="U366" i="28"/>
  <c r="AB366" i="28" s="1"/>
  <c r="V366" i="28"/>
  <c r="AC366" i="28" s="1"/>
  <c r="Q367" i="28"/>
  <c r="X367" i="28" s="1"/>
  <c r="R367" i="28"/>
  <c r="Y367" i="28" s="1"/>
  <c r="S367" i="28"/>
  <c r="Z367" i="28" s="1"/>
  <c r="T367" i="28"/>
  <c r="AA367" i="28" s="1"/>
  <c r="U367" i="28"/>
  <c r="AB367" i="28" s="1"/>
  <c r="V367" i="28"/>
  <c r="AC367" i="28" s="1"/>
  <c r="Q368" i="28"/>
  <c r="X368" i="28" s="1"/>
  <c r="R368" i="28"/>
  <c r="Y368" i="28" s="1"/>
  <c r="S368" i="28"/>
  <c r="Z368" i="28" s="1"/>
  <c r="T368" i="28"/>
  <c r="AA368" i="28" s="1"/>
  <c r="U368" i="28"/>
  <c r="AB368" i="28" s="1"/>
  <c r="Q369" i="28"/>
  <c r="X369" i="28" s="1"/>
  <c r="R369" i="28"/>
  <c r="Y369" i="28" s="1"/>
  <c r="S369" i="28"/>
  <c r="Z369" i="28" s="1"/>
  <c r="T369" i="28"/>
  <c r="AA369" i="28" s="1"/>
  <c r="U369" i="28"/>
  <c r="AB369" i="28" s="1"/>
  <c r="V369" i="28"/>
  <c r="AC369" i="28" s="1"/>
  <c r="Q370" i="28"/>
  <c r="X370" i="28" s="1"/>
  <c r="R370" i="28"/>
  <c r="Y370" i="28" s="1"/>
  <c r="S370" i="28"/>
  <c r="Z370" i="28" s="1"/>
  <c r="T370" i="28"/>
  <c r="AA370" i="28" s="1"/>
  <c r="U370" i="28"/>
  <c r="AB370" i="28" s="1"/>
  <c r="V370" i="28"/>
  <c r="AC370" i="28" s="1"/>
  <c r="Q371" i="28"/>
  <c r="X371" i="28" s="1"/>
  <c r="R371" i="28"/>
  <c r="Y371" i="28" s="1"/>
  <c r="S371" i="28"/>
  <c r="Z371" i="28" s="1"/>
  <c r="T371" i="28"/>
  <c r="AA371" i="28" s="1"/>
  <c r="U371" i="28"/>
  <c r="AB371" i="28" s="1"/>
  <c r="V371" i="28"/>
  <c r="AC371" i="28" s="1"/>
  <c r="Q372" i="28"/>
  <c r="X372" i="28" s="1"/>
  <c r="R372" i="28"/>
  <c r="Y372" i="28" s="1"/>
  <c r="S372" i="28"/>
  <c r="Z372" i="28" s="1"/>
  <c r="T372" i="28"/>
  <c r="AA372" i="28" s="1"/>
  <c r="U372" i="28"/>
  <c r="AB372" i="28" s="1"/>
  <c r="V372" i="28"/>
  <c r="AC372" i="28" s="1"/>
  <c r="Q373" i="28"/>
  <c r="X373" i="28" s="1"/>
  <c r="R373" i="28"/>
  <c r="Y373" i="28" s="1"/>
  <c r="S373" i="28"/>
  <c r="Z373" i="28" s="1"/>
  <c r="T373" i="28"/>
  <c r="AA373" i="28" s="1"/>
  <c r="U373" i="28"/>
  <c r="AB373" i="28" s="1"/>
  <c r="V373" i="28"/>
  <c r="AC373" i="28" s="1"/>
  <c r="Q374" i="28"/>
  <c r="X374" i="28" s="1"/>
  <c r="R374" i="28"/>
  <c r="Y374" i="28" s="1"/>
  <c r="S374" i="28"/>
  <c r="Z374" i="28" s="1"/>
  <c r="T374" i="28"/>
  <c r="AA374" i="28" s="1"/>
  <c r="U374" i="28"/>
  <c r="AB374" i="28" s="1"/>
  <c r="V374" i="28"/>
  <c r="AC374" i="28" s="1"/>
  <c r="Q375" i="28"/>
  <c r="X375" i="28" s="1"/>
  <c r="R375" i="28"/>
  <c r="Y375" i="28" s="1"/>
  <c r="S375" i="28"/>
  <c r="Z375" i="28" s="1"/>
  <c r="T375" i="28"/>
  <c r="AA375" i="28" s="1"/>
  <c r="U375" i="28"/>
  <c r="AB375" i="28" s="1"/>
  <c r="V375" i="28"/>
  <c r="AC375" i="28" s="1"/>
  <c r="Q376" i="28"/>
  <c r="X376" i="28" s="1"/>
  <c r="R376" i="28"/>
  <c r="Y376" i="28" s="1"/>
  <c r="S376" i="28"/>
  <c r="Z376" i="28" s="1"/>
  <c r="T376" i="28"/>
  <c r="AA376" i="28" s="1"/>
  <c r="U376" i="28"/>
  <c r="AB376" i="28" s="1"/>
  <c r="Q377" i="28"/>
  <c r="X377" i="28" s="1"/>
  <c r="R377" i="28"/>
  <c r="Y377" i="28" s="1"/>
  <c r="S377" i="28"/>
  <c r="Z377" i="28" s="1"/>
  <c r="T377" i="28"/>
  <c r="AA377" i="28" s="1"/>
  <c r="U377" i="28"/>
  <c r="AB377" i="28" s="1"/>
  <c r="V377" i="28"/>
  <c r="AC377" i="28" s="1"/>
  <c r="Q378" i="28"/>
  <c r="X378" i="28" s="1"/>
  <c r="R378" i="28"/>
  <c r="Y378" i="28" s="1"/>
  <c r="S378" i="28"/>
  <c r="Z378" i="28" s="1"/>
  <c r="T378" i="28"/>
  <c r="AA378" i="28" s="1"/>
  <c r="U378" i="28"/>
  <c r="AB378" i="28" s="1"/>
  <c r="V378" i="28"/>
  <c r="AC378" i="28" s="1"/>
  <c r="Q379" i="28"/>
  <c r="X379" i="28" s="1"/>
  <c r="R379" i="28"/>
  <c r="Y379" i="28" s="1"/>
  <c r="S379" i="28"/>
  <c r="Z379" i="28" s="1"/>
  <c r="T379" i="28"/>
  <c r="AA379" i="28" s="1"/>
  <c r="U379" i="28"/>
  <c r="AB379" i="28" s="1"/>
  <c r="V379" i="28"/>
  <c r="AC379" i="28" s="1"/>
  <c r="Q380" i="28"/>
  <c r="X380" i="28" s="1"/>
  <c r="R380" i="28"/>
  <c r="Y380" i="28" s="1"/>
  <c r="S380" i="28"/>
  <c r="Z380" i="28" s="1"/>
  <c r="T380" i="28"/>
  <c r="AA380" i="28" s="1"/>
  <c r="U380" i="28"/>
  <c r="AB380" i="28" s="1"/>
  <c r="V380" i="28"/>
  <c r="AC380" i="28" s="1"/>
  <c r="Q381" i="28"/>
  <c r="X381" i="28" s="1"/>
  <c r="R381" i="28"/>
  <c r="Y381" i="28" s="1"/>
  <c r="S381" i="28"/>
  <c r="Z381" i="28" s="1"/>
  <c r="T381" i="28"/>
  <c r="AA381" i="28" s="1"/>
  <c r="U381" i="28"/>
  <c r="AB381" i="28" s="1"/>
  <c r="V381" i="28"/>
  <c r="AC381" i="28" s="1"/>
  <c r="Q382" i="28"/>
  <c r="X382" i="28" s="1"/>
  <c r="R382" i="28"/>
  <c r="Y382" i="28" s="1"/>
  <c r="S382" i="28"/>
  <c r="Z382" i="28" s="1"/>
  <c r="T382" i="28"/>
  <c r="AA382" i="28" s="1"/>
  <c r="U382" i="28"/>
  <c r="AB382" i="28" s="1"/>
  <c r="V382" i="28"/>
  <c r="AC382" i="28" s="1"/>
  <c r="Q383" i="28"/>
  <c r="X383" i="28" s="1"/>
  <c r="R383" i="28"/>
  <c r="Y383" i="28" s="1"/>
  <c r="S383" i="28"/>
  <c r="Z383" i="28" s="1"/>
  <c r="T383" i="28"/>
  <c r="AA383" i="28" s="1"/>
  <c r="U383" i="28"/>
  <c r="AB383" i="28" s="1"/>
  <c r="V383" i="28"/>
  <c r="AC383" i="28" s="1"/>
  <c r="Q384" i="28"/>
  <c r="X384" i="28" s="1"/>
  <c r="R384" i="28"/>
  <c r="Y384" i="28" s="1"/>
  <c r="S384" i="28"/>
  <c r="Z384" i="28" s="1"/>
  <c r="T384" i="28"/>
  <c r="AA384" i="28" s="1"/>
  <c r="U384" i="28"/>
  <c r="AB384" i="28" s="1"/>
  <c r="Q385" i="28"/>
  <c r="X385" i="28" s="1"/>
  <c r="R385" i="28"/>
  <c r="Y385" i="28" s="1"/>
  <c r="S385" i="28"/>
  <c r="Z385" i="28" s="1"/>
  <c r="T385" i="28"/>
  <c r="AA385" i="28" s="1"/>
  <c r="U385" i="28"/>
  <c r="AB385" i="28" s="1"/>
  <c r="V385" i="28"/>
  <c r="AC385" i="28" s="1"/>
  <c r="Q386" i="28"/>
  <c r="X386" i="28" s="1"/>
  <c r="R386" i="28"/>
  <c r="Y386" i="28" s="1"/>
  <c r="S386" i="28"/>
  <c r="Z386" i="28" s="1"/>
  <c r="T386" i="28"/>
  <c r="AA386" i="28" s="1"/>
  <c r="U386" i="28"/>
  <c r="AB386" i="28" s="1"/>
  <c r="V386" i="28"/>
  <c r="AC386" i="28" s="1"/>
  <c r="Q387" i="28"/>
  <c r="X387" i="28" s="1"/>
  <c r="R387" i="28"/>
  <c r="Y387" i="28" s="1"/>
  <c r="S387" i="28"/>
  <c r="Z387" i="28" s="1"/>
  <c r="T387" i="28"/>
  <c r="AA387" i="28" s="1"/>
  <c r="U387" i="28"/>
  <c r="AB387" i="28" s="1"/>
  <c r="V387" i="28"/>
  <c r="AC387" i="28" s="1"/>
  <c r="Q388" i="28"/>
  <c r="X388" i="28" s="1"/>
  <c r="R388" i="28"/>
  <c r="Y388" i="28" s="1"/>
  <c r="S388" i="28"/>
  <c r="Z388" i="28" s="1"/>
  <c r="T388" i="28"/>
  <c r="AA388" i="28" s="1"/>
  <c r="U388" i="28"/>
  <c r="AB388" i="28" s="1"/>
  <c r="V388" i="28"/>
  <c r="AC388" i="28" s="1"/>
  <c r="Q389" i="28"/>
  <c r="X389" i="28" s="1"/>
  <c r="R389" i="28"/>
  <c r="Y389" i="28" s="1"/>
  <c r="S389" i="28"/>
  <c r="Z389" i="28" s="1"/>
  <c r="T389" i="28"/>
  <c r="AA389" i="28" s="1"/>
  <c r="U389" i="28"/>
  <c r="AB389" i="28" s="1"/>
  <c r="V389" i="28"/>
  <c r="AC389" i="28" s="1"/>
  <c r="Q390" i="28"/>
  <c r="X390" i="28" s="1"/>
  <c r="R390" i="28"/>
  <c r="Y390" i="28" s="1"/>
  <c r="S390" i="28"/>
  <c r="Z390" i="28" s="1"/>
  <c r="T390" i="28"/>
  <c r="AA390" i="28" s="1"/>
  <c r="U390" i="28"/>
  <c r="AB390" i="28" s="1"/>
  <c r="V390" i="28"/>
  <c r="AC390" i="28" s="1"/>
  <c r="Q391" i="28"/>
  <c r="X391" i="28" s="1"/>
  <c r="R391" i="28"/>
  <c r="Y391" i="28" s="1"/>
  <c r="S391" i="28"/>
  <c r="Z391" i="28" s="1"/>
  <c r="T391" i="28"/>
  <c r="AA391" i="28" s="1"/>
  <c r="U391" i="28"/>
  <c r="AB391" i="28" s="1"/>
  <c r="V391" i="28"/>
  <c r="AC391" i="28" s="1"/>
  <c r="Q392" i="28"/>
  <c r="X392" i="28" s="1"/>
  <c r="R392" i="28"/>
  <c r="Y392" i="28" s="1"/>
  <c r="S392" i="28"/>
  <c r="Z392" i="28" s="1"/>
  <c r="T392" i="28"/>
  <c r="AA392" i="28" s="1"/>
  <c r="U392" i="28"/>
  <c r="AB392" i="28" s="1"/>
  <c r="Q393" i="28"/>
  <c r="X393" i="28" s="1"/>
  <c r="R393" i="28"/>
  <c r="Y393" i="28" s="1"/>
  <c r="S393" i="28"/>
  <c r="Z393" i="28" s="1"/>
  <c r="T393" i="28"/>
  <c r="AA393" i="28" s="1"/>
  <c r="U393" i="28"/>
  <c r="AB393" i="28" s="1"/>
  <c r="V393" i="28"/>
  <c r="AC393" i="28" s="1"/>
  <c r="Q394" i="28"/>
  <c r="X394" i="28" s="1"/>
  <c r="R394" i="28"/>
  <c r="Y394" i="28" s="1"/>
  <c r="S394" i="28"/>
  <c r="Z394" i="28" s="1"/>
  <c r="T394" i="28"/>
  <c r="AA394" i="28" s="1"/>
  <c r="U394" i="28"/>
  <c r="AB394" i="28" s="1"/>
  <c r="V394" i="28"/>
  <c r="AC394" i="28" s="1"/>
  <c r="Q395" i="28"/>
  <c r="X395" i="28" s="1"/>
  <c r="R395" i="28"/>
  <c r="Y395" i="28" s="1"/>
  <c r="S395" i="28"/>
  <c r="Z395" i="28" s="1"/>
  <c r="T395" i="28"/>
  <c r="AA395" i="28" s="1"/>
  <c r="U395" i="28"/>
  <c r="AB395" i="28" s="1"/>
  <c r="V395" i="28"/>
  <c r="AC395" i="28" s="1"/>
  <c r="Q396" i="28"/>
  <c r="X396" i="28" s="1"/>
  <c r="R396" i="28"/>
  <c r="Y396" i="28" s="1"/>
  <c r="S396" i="28"/>
  <c r="Z396" i="28" s="1"/>
  <c r="T396" i="28"/>
  <c r="AA396" i="28" s="1"/>
  <c r="U396" i="28"/>
  <c r="AB396" i="28" s="1"/>
  <c r="V396" i="28"/>
  <c r="AC396" i="28" s="1"/>
  <c r="Q397" i="28"/>
  <c r="X397" i="28" s="1"/>
  <c r="R397" i="28"/>
  <c r="Y397" i="28" s="1"/>
  <c r="S397" i="28"/>
  <c r="Z397" i="28" s="1"/>
  <c r="T397" i="28"/>
  <c r="AA397" i="28" s="1"/>
  <c r="U397" i="28"/>
  <c r="AB397" i="28" s="1"/>
  <c r="V397" i="28"/>
  <c r="AC397" i="28" s="1"/>
  <c r="Q398" i="28"/>
  <c r="X398" i="28" s="1"/>
  <c r="R398" i="28"/>
  <c r="Y398" i="28" s="1"/>
  <c r="S398" i="28"/>
  <c r="Z398" i="28" s="1"/>
  <c r="T398" i="28"/>
  <c r="AA398" i="28" s="1"/>
  <c r="U398" i="28"/>
  <c r="AB398" i="28" s="1"/>
  <c r="V398" i="28"/>
  <c r="AC398" i="28" s="1"/>
  <c r="Q399" i="28"/>
  <c r="X399" i="28" s="1"/>
  <c r="R399" i="28"/>
  <c r="Y399" i="28" s="1"/>
  <c r="S399" i="28"/>
  <c r="Z399" i="28" s="1"/>
  <c r="T399" i="28"/>
  <c r="AA399" i="28" s="1"/>
  <c r="U399" i="28"/>
  <c r="AB399" i="28" s="1"/>
  <c r="V399" i="28"/>
  <c r="AC399" i="28" s="1"/>
  <c r="Q400" i="28"/>
  <c r="X400" i="28" s="1"/>
  <c r="R400" i="28"/>
  <c r="Y400" i="28" s="1"/>
  <c r="S400" i="28"/>
  <c r="Z400" i="28" s="1"/>
  <c r="T400" i="28"/>
  <c r="AA400" i="28" s="1"/>
  <c r="U400" i="28"/>
  <c r="AB400" i="28" s="1"/>
  <c r="Q401" i="28"/>
  <c r="X401" i="28" s="1"/>
  <c r="R401" i="28"/>
  <c r="Y401" i="28" s="1"/>
  <c r="S401" i="28"/>
  <c r="Z401" i="28" s="1"/>
  <c r="T401" i="28"/>
  <c r="AA401" i="28" s="1"/>
  <c r="U401" i="28"/>
  <c r="AB401" i="28" s="1"/>
  <c r="V401" i="28"/>
  <c r="AC401" i="28" s="1"/>
  <c r="Q402" i="28"/>
  <c r="X402" i="28" s="1"/>
  <c r="R402" i="28"/>
  <c r="Y402" i="28" s="1"/>
  <c r="S402" i="28"/>
  <c r="Z402" i="28" s="1"/>
  <c r="T402" i="28"/>
  <c r="AA402" i="28" s="1"/>
  <c r="U402" i="28"/>
  <c r="AB402" i="28" s="1"/>
  <c r="V402" i="28"/>
  <c r="AC402" i="28" s="1"/>
  <c r="Q403" i="28"/>
  <c r="X403" i="28" s="1"/>
  <c r="R403" i="28"/>
  <c r="Y403" i="28" s="1"/>
  <c r="S403" i="28"/>
  <c r="Z403" i="28" s="1"/>
  <c r="T403" i="28"/>
  <c r="AA403" i="28" s="1"/>
  <c r="U403" i="28"/>
  <c r="AB403" i="28" s="1"/>
  <c r="V403" i="28"/>
  <c r="AC403" i="28" s="1"/>
  <c r="Q404" i="28"/>
  <c r="X404" i="28" s="1"/>
  <c r="R404" i="28"/>
  <c r="Y404" i="28" s="1"/>
  <c r="S404" i="28"/>
  <c r="Z404" i="28" s="1"/>
  <c r="T404" i="28"/>
  <c r="AA404" i="28" s="1"/>
  <c r="U404" i="28"/>
  <c r="AB404" i="28" s="1"/>
  <c r="V404" i="28"/>
  <c r="AC404" i="28" s="1"/>
  <c r="Q405" i="28"/>
  <c r="X405" i="28" s="1"/>
  <c r="R405" i="28"/>
  <c r="Y405" i="28" s="1"/>
  <c r="S405" i="28"/>
  <c r="Z405" i="28" s="1"/>
  <c r="T405" i="28"/>
  <c r="AA405" i="28" s="1"/>
  <c r="U405" i="28"/>
  <c r="AB405" i="28" s="1"/>
  <c r="V405" i="28"/>
  <c r="AC405" i="28" s="1"/>
  <c r="Q406" i="28"/>
  <c r="X406" i="28" s="1"/>
  <c r="R406" i="28"/>
  <c r="Y406" i="28" s="1"/>
  <c r="S406" i="28"/>
  <c r="Z406" i="28" s="1"/>
  <c r="T406" i="28"/>
  <c r="AA406" i="28" s="1"/>
  <c r="U406" i="28"/>
  <c r="AB406" i="28" s="1"/>
  <c r="V406" i="28"/>
  <c r="AC406" i="28" s="1"/>
  <c r="Q407" i="28"/>
  <c r="X407" i="28" s="1"/>
  <c r="R407" i="28"/>
  <c r="Y407" i="28" s="1"/>
  <c r="S407" i="28"/>
  <c r="Z407" i="28" s="1"/>
  <c r="T407" i="28"/>
  <c r="AA407" i="28" s="1"/>
  <c r="U407" i="28"/>
  <c r="AB407" i="28" s="1"/>
  <c r="V407" i="28"/>
  <c r="AC407" i="28" s="1"/>
  <c r="Q408" i="28"/>
  <c r="X408" i="28" s="1"/>
  <c r="R408" i="28"/>
  <c r="Y408" i="28" s="1"/>
  <c r="S408" i="28"/>
  <c r="Z408" i="28" s="1"/>
  <c r="T408" i="28"/>
  <c r="AA408" i="28" s="1"/>
  <c r="U408" i="28"/>
  <c r="AB408" i="28" s="1"/>
  <c r="Q409" i="28"/>
  <c r="X409" i="28" s="1"/>
  <c r="R409" i="28"/>
  <c r="Y409" i="28" s="1"/>
  <c r="S409" i="28"/>
  <c r="Z409" i="28" s="1"/>
  <c r="T409" i="28"/>
  <c r="AA409" i="28" s="1"/>
  <c r="U409" i="28"/>
  <c r="AB409" i="28" s="1"/>
  <c r="V409" i="28"/>
  <c r="AC409" i="28" s="1"/>
  <c r="Q410" i="28"/>
  <c r="X410" i="28" s="1"/>
  <c r="R410" i="28"/>
  <c r="Y410" i="28" s="1"/>
  <c r="S410" i="28"/>
  <c r="Z410" i="28" s="1"/>
  <c r="T410" i="28"/>
  <c r="AA410" i="28" s="1"/>
  <c r="U410" i="28"/>
  <c r="AB410" i="28" s="1"/>
  <c r="V410" i="28"/>
  <c r="AC410" i="28" s="1"/>
  <c r="Q411" i="28"/>
  <c r="X411" i="28" s="1"/>
  <c r="R411" i="28"/>
  <c r="Y411" i="28" s="1"/>
  <c r="S411" i="28"/>
  <c r="Z411" i="28" s="1"/>
  <c r="T411" i="28"/>
  <c r="AA411" i="28" s="1"/>
  <c r="U411" i="28"/>
  <c r="AB411" i="28" s="1"/>
  <c r="V411" i="28"/>
  <c r="AC411" i="28" s="1"/>
  <c r="Q412" i="28"/>
  <c r="X412" i="28" s="1"/>
  <c r="R412" i="28"/>
  <c r="Y412" i="28" s="1"/>
  <c r="S412" i="28"/>
  <c r="Z412" i="28" s="1"/>
  <c r="T412" i="28"/>
  <c r="AA412" i="28" s="1"/>
  <c r="U412" i="28"/>
  <c r="AB412" i="28" s="1"/>
  <c r="V412" i="28"/>
  <c r="AC412" i="28" s="1"/>
  <c r="Q413" i="28"/>
  <c r="X413" i="28" s="1"/>
  <c r="R413" i="28"/>
  <c r="Y413" i="28" s="1"/>
  <c r="S413" i="28"/>
  <c r="Z413" i="28" s="1"/>
  <c r="T413" i="28"/>
  <c r="AA413" i="28" s="1"/>
  <c r="U413" i="28"/>
  <c r="AB413" i="28" s="1"/>
  <c r="V413" i="28"/>
  <c r="AC413" i="28" s="1"/>
  <c r="Q414" i="28"/>
  <c r="X414" i="28" s="1"/>
  <c r="R414" i="28"/>
  <c r="Y414" i="28" s="1"/>
  <c r="S414" i="28"/>
  <c r="Z414" i="28" s="1"/>
  <c r="T414" i="28"/>
  <c r="AA414" i="28" s="1"/>
  <c r="U414" i="28"/>
  <c r="AB414" i="28" s="1"/>
  <c r="V414" i="28"/>
  <c r="AC414" i="28" s="1"/>
  <c r="Q415" i="28"/>
  <c r="X415" i="28" s="1"/>
  <c r="R415" i="28"/>
  <c r="Y415" i="28" s="1"/>
  <c r="S415" i="28"/>
  <c r="Z415" i="28" s="1"/>
  <c r="T415" i="28"/>
  <c r="AA415" i="28" s="1"/>
  <c r="U415" i="28"/>
  <c r="AB415" i="28" s="1"/>
  <c r="V415" i="28"/>
  <c r="AC415" i="28" s="1"/>
  <c r="Q416" i="28"/>
  <c r="X416" i="28" s="1"/>
  <c r="R416" i="28"/>
  <c r="Y416" i="28" s="1"/>
  <c r="S416" i="28"/>
  <c r="Z416" i="28" s="1"/>
  <c r="T416" i="28"/>
  <c r="AA416" i="28" s="1"/>
  <c r="U416" i="28"/>
  <c r="AB416" i="28" s="1"/>
  <c r="Q417" i="28"/>
  <c r="X417" i="28" s="1"/>
  <c r="R417" i="28"/>
  <c r="Y417" i="28" s="1"/>
  <c r="S417" i="28"/>
  <c r="Z417" i="28" s="1"/>
  <c r="T417" i="28"/>
  <c r="AA417" i="28" s="1"/>
  <c r="U417" i="28"/>
  <c r="AB417" i="28" s="1"/>
  <c r="V417" i="28"/>
  <c r="AC417" i="28" s="1"/>
  <c r="Q418" i="28"/>
  <c r="X418" i="28" s="1"/>
  <c r="R418" i="28"/>
  <c r="Y418" i="28" s="1"/>
  <c r="S418" i="28"/>
  <c r="Z418" i="28" s="1"/>
  <c r="T418" i="28"/>
  <c r="AA418" i="28" s="1"/>
  <c r="U418" i="28"/>
  <c r="AB418" i="28" s="1"/>
  <c r="V418" i="28"/>
  <c r="AC418" i="28" s="1"/>
  <c r="Q419" i="28"/>
  <c r="X419" i="28" s="1"/>
  <c r="R419" i="28"/>
  <c r="Y419" i="28" s="1"/>
  <c r="S419" i="28"/>
  <c r="Z419" i="28" s="1"/>
  <c r="T419" i="28"/>
  <c r="AA419" i="28" s="1"/>
  <c r="U419" i="28"/>
  <c r="AB419" i="28" s="1"/>
  <c r="V419" i="28"/>
  <c r="AC419" i="28" s="1"/>
  <c r="Q420" i="28"/>
  <c r="X420" i="28" s="1"/>
  <c r="R420" i="28"/>
  <c r="Y420" i="28" s="1"/>
  <c r="S420" i="28"/>
  <c r="Z420" i="28" s="1"/>
  <c r="T420" i="28"/>
  <c r="AA420" i="28" s="1"/>
  <c r="U420" i="28"/>
  <c r="AB420" i="28" s="1"/>
  <c r="V420" i="28"/>
  <c r="AC420" i="28" s="1"/>
  <c r="Q421" i="28"/>
  <c r="X421" i="28" s="1"/>
  <c r="R421" i="28"/>
  <c r="Y421" i="28" s="1"/>
  <c r="S421" i="28"/>
  <c r="Z421" i="28" s="1"/>
  <c r="T421" i="28"/>
  <c r="AA421" i="28" s="1"/>
  <c r="U421" i="28"/>
  <c r="AB421" i="28" s="1"/>
  <c r="V421" i="28"/>
  <c r="AC421" i="28" s="1"/>
  <c r="Q422" i="28"/>
  <c r="X422" i="28" s="1"/>
  <c r="R422" i="28"/>
  <c r="Y422" i="28" s="1"/>
  <c r="S422" i="28"/>
  <c r="Z422" i="28" s="1"/>
  <c r="T422" i="28"/>
  <c r="AA422" i="28" s="1"/>
  <c r="U422" i="28"/>
  <c r="AB422" i="28" s="1"/>
  <c r="V422" i="28"/>
  <c r="AC422" i="28" s="1"/>
  <c r="Q423" i="28"/>
  <c r="X423" i="28" s="1"/>
  <c r="R423" i="28"/>
  <c r="Y423" i="28" s="1"/>
  <c r="S423" i="28"/>
  <c r="Z423" i="28" s="1"/>
  <c r="T423" i="28"/>
  <c r="AA423" i="28" s="1"/>
  <c r="U423" i="28"/>
  <c r="AB423" i="28" s="1"/>
  <c r="V423" i="28"/>
  <c r="AC423" i="28" s="1"/>
  <c r="Q424" i="28"/>
  <c r="X424" i="28" s="1"/>
  <c r="R424" i="28"/>
  <c r="Y424" i="28" s="1"/>
  <c r="S424" i="28"/>
  <c r="Z424" i="28" s="1"/>
  <c r="T424" i="28"/>
  <c r="AA424" i="28" s="1"/>
  <c r="U424" i="28"/>
  <c r="AB424" i="28" s="1"/>
  <c r="Q425" i="28"/>
  <c r="X425" i="28" s="1"/>
  <c r="R425" i="28"/>
  <c r="Y425" i="28" s="1"/>
  <c r="S425" i="28"/>
  <c r="Z425" i="28" s="1"/>
  <c r="T425" i="28"/>
  <c r="AA425" i="28" s="1"/>
  <c r="U425" i="28"/>
  <c r="AB425" i="28" s="1"/>
  <c r="V425" i="28"/>
  <c r="AC425" i="28" s="1"/>
  <c r="Q426" i="28"/>
  <c r="X426" i="28" s="1"/>
  <c r="R426" i="28"/>
  <c r="Y426" i="28" s="1"/>
  <c r="S426" i="28"/>
  <c r="Z426" i="28" s="1"/>
  <c r="T426" i="28"/>
  <c r="AA426" i="28" s="1"/>
  <c r="U426" i="28"/>
  <c r="AB426" i="28" s="1"/>
  <c r="V426" i="28"/>
  <c r="AC426" i="28" s="1"/>
  <c r="Q427" i="28"/>
  <c r="X427" i="28" s="1"/>
  <c r="R427" i="28"/>
  <c r="Y427" i="28" s="1"/>
  <c r="S427" i="28"/>
  <c r="Z427" i="28" s="1"/>
  <c r="T427" i="28"/>
  <c r="AA427" i="28" s="1"/>
  <c r="U427" i="28"/>
  <c r="AB427" i="28" s="1"/>
  <c r="V427" i="28"/>
  <c r="AC427" i="28" s="1"/>
  <c r="Q428" i="28"/>
  <c r="X428" i="28" s="1"/>
  <c r="R428" i="28"/>
  <c r="Y428" i="28" s="1"/>
  <c r="S428" i="28"/>
  <c r="Z428" i="28" s="1"/>
  <c r="T428" i="28"/>
  <c r="AA428" i="28" s="1"/>
  <c r="U428" i="28"/>
  <c r="AB428" i="28" s="1"/>
  <c r="V428" i="28"/>
  <c r="AC428" i="28" s="1"/>
  <c r="Q429" i="28"/>
  <c r="X429" i="28" s="1"/>
  <c r="R429" i="28"/>
  <c r="Y429" i="28" s="1"/>
  <c r="S429" i="28"/>
  <c r="Z429" i="28" s="1"/>
  <c r="T429" i="28"/>
  <c r="AA429" i="28" s="1"/>
  <c r="U429" i="28"/>
  <c r="AB429" i="28" s="1"/>
  <c r="V429" i="28"/>
  <c r="AC429" i="28" s="1"/>
  <c r="Q430" i="28"/>
  <c r="X430" i="28" s="1"/>
  <c r="R430" i="28"/>
  <c r="Y430" i="28" s="1"/>
  <c r="S430" i="28"/>
  <c r="Z430" i="28" s="1"/>
  <c r="T430" i="28"/>
  <c r="AA430" i="28" s="1"/>
  <c r="U430" i="28"/>
  <c r="AB430" i="28" s="1"/>
  <c r="V430" i="28"/>
  <c r="AC430" i="28" s="1"/>
  <c r="Q431" i="28"/>
  <c r="X431" i="28" s="1"/>
  <c r="R431" i="28"/>
  <c r="Y431" i="28" s="1"/>
  <c r="S431" i="28"/>
  <c r="Z431" i="28" s="1"/>
  <c r="T431" i="28"/>
  <c r="AA431" i="28" s="1"/>
  <c r="U431" i="28"/>
  <c r="AB431" i="28" s="1"/>
  <c r="V431" i="28"/>
  <c r="AC431" i="28" s="1"/>
  <c r="Q432" i="28"/>
  <c r="X432" i="28" s="1"/>
  <c r="R432" i="28"/>
  <c r="Y432" i="28" s="1"/>
  <c r="S432" i="28"/>
  <c r="Z432" i="28" s="1"/>
  <c r="T432" i="28"/>
  <c r="AA432" i="28" s="1"/>
  <c r="U432" i="28"/>
  <c r="AB432" i="28" s="1"/>
  <c r="Q433" i="28"/>
  <c r="X433" i="28" s="1"/>
  <c r="R433" i="28"/>
  <c r="Y433" i="28" s="1"/>
  <c r="S433" i="28"/>
  <c r="Z433" i="28" s="1"/>
  <c r="T433" i="28"/>
  <c r="AA433" i="28" s="1"/>
  <c r="U433" i="28"/>
  <c r="AB433" i="28" s="1"/>
  <c r="V433" i="28"/>
  <c r="AC433" i="28" s="1"/>
  <c r="Q434" i="28"/>
  <c r="X434" i="28" s="1"/>
  <c r="R434" i="28"/>
  <c r="Y434" i="28" s="1"/>
  <c r="S434" i="28"/>
  <c r="Z434" i="28" s="1"/>
  <c r="T434" i="28"/>
  <c r="AA434" i="28" s="1"/>
  <c r="U434" i="28"/>
  <c r="AB434" i="28" s="1"/>
  <c r="V434" i="28"/>
  <c r="AC434" i="28" s="1"/>
  <c r="Q435" i="28"/>
  <c r="X435" i="28" s="1"/>
  <c r="R435" i="28"/>
  <c r="Y435" i="28" s="1"/>
  <c r="S435" i="28"/>
  <c r="Z435" i="28" s="1"/>
  <c r="T435" i="28"/>
  <c r="AA435" i="28" s="1"/>
  <c r="U435" i="28"/>
  <c r="AB435" i="28" s="1"/>
  <c r="V435" i="28"/>
  <c r="AC435" i="28" s="1"/>
  <c r="Q436" i="28"/>
  <c r="X436" i="28" s="1"/>
  <c r="R436" i="28"/>
  <c r="Y436" i="28" s="1"/>
  <c r="S436" i="28"/>
  <c r="Z436" i="28" s="1"/>
  <c r="T436" i="28"/>
  <c r="AA436" i="28" s="1"/>
  <c r="U436" i="28"/>
  <c r="AB436" i="28" s="1"/>
  <c r="V436" i="28"/>
  <c r="AC436" i="28" s="1"/>
  <c r="Q437" i="28"/>
  <c r="X437" i="28" s="1"/>
  <c r="R437" i="28"/>
  <c r="Y437" i="28" s="1"/>
  <c r="S437" i="28"/>
  <c r="Z437" i="28" s="1"/>
  <c r="T437" i="28"/>
  <c r="AA437" i="28" s="1"/>
  <c r="U437" i="28"/>
  <c r="AB437" i="28" s="1"/>
  <c r="V437" i="28"/>
  <c r="AC437" i="28" s="1"/>
  <c r="Q438" i="28"/>
  <c r="X438" i="28" s="1"/>
  <c r="R438" i="28"/>
  <c r="Y438" i="28" s="1"/>
  <c r="S438" i="28"/>
  <c r="Z438" i="28" s="1"/>
  <c r="T438" i="28"/>
  <c r="AA438" i="28" s="1"/>
  <c r="U438" i="28"/>
  <c r="AB438" i="28" s="1"/>
  <c r="V438" i="28"/>
  <c r="AC438" i="28" s="1"/>
  <c r="Q439" i="28"/>
  <c r="X439" i="28" s="1"/>
  <c r="R439" i="28"/>
  <c r="Y439" i="28" s="1"/>
  <c r="S439" i="28"/>
  <c r="Z439" i="28" s="1"/>
  <c r="T439" i="28"/>
  <c r="AA439" i="28" s="1"/>
  <c r="U439" i="28"/>
  <c r="AB439" i="28" s="1"/>
  <c r="V439" i="28"/>
  <c r="AC439" i="28" s="1"/>
  <c r="Q440" i="28"/>
  <c r="X440" i="28" s="1"/>
  <c r="R440" i="28"/>
  <c r="Y440" i="28" s="1"/>
  <c r="S440" i="28"/>
  <c r="Z440" i="28" s="1"/>
  <c r="T440" i="28"/>
  <c r="AA440" i="28" s="1"/>
  <c r="U440" i="28"/>
  <c r="AB440" i="28" s="1"/>
  <c r="Q441" i="28"/>
  <c r="X441" i="28" s="1"/>
  <c r="R441" i="28"/>
  <c r="Y441" i="28" s="1"/>
  <c r="S441" i="28"/>
  <c r="Z441" i="28" s="1"/>
  <c r="T441" i="28"/>
  <c r="AA441" i="28" s="1"/>
  <c r="U441" i="28"/>
  <c r="AB441" i="28" s="1"/>
  <c r="V441" i="28"/>
  <c r="AC441" i="28" s="1"/>
  <c r="Q442" i="28"/>
  <c r="X442" i="28" s="1"/>
  <c r="R442" i="28"/>
  <c r="Y442" i="28" s="1"/>
  <c r="S442" i="28"/>
  <c r="Z442" i="28" s="1"/>
  <c r="T442" i="28"/>
  <c r="AA442" i="28" s="1"/>
  <c r="U442" i="28"/>
  <c r="AB442" i="28" s="1"/>
  <c r="V442" i="28"/>
  <c r="AC442" i="28" s="1"/>
  <c r="Q443" i="28"/>
  <c r="X443" i="28" s="1"/>
  <c r="R443" i="28"/>
  <c r="Y443" i="28" s="1"/>
  <c r="S443" i="28"/>
  <c r="Z443" i="28" s="1"/>
  <c r="T443" i="28"/>
  <c r="AA443" i="28" s="1"/>
  <c r="U443" i="28"/>
  <c r="AB443" i="28" s="1"/>
  <c r="V443" i="28"/>
  <c r="AC443" i="28" s="1"/>
  <c r="Q444" i="28"/>
  <c r="X444" i="28" s="1"/>
  <c r="R444" i="28"/>
  <c r="Y444" i="28" s="1"/>
  <c r="S444" i="28"/>
  <c r="Z444" i="28" s="1"/>
  <c r="T444" i="28"/>
  <c r="AA444" i="28" s="1"/>
  <c r="U444" i="28"/>
  <c r="AB444" i="28" s="1"/>
  <c r="V444" i="28"/>
  <c r="AC444" i="28" s="1"/>
  <c r="Q445" i="28"/>
  <c r="X445" i="28" s="1"/>
  <c r="R445" i="28"/>
  <c r="Y445" i="28" s="1"/>
  <c r="S445" i="28"/>
  <c r="Z445" i="28" s="1"/>
  <c r="T445" i="28"/>
  <c r="AA445" i="28" s="1"/>
  <c r="U445" i="28"/>
  <c r="AB445" i="28" s="1"/>
  <c r="V445" i="28"/>
  <c r="AC445" i="28" s="1"/>
  <c r="Q446" i="28"/>
  <c r="X446" i="28" s="1"/>
  <c r="R446" i="28"/>
  <c r="Y446" i="28" s="1"/>
  <c r="S446" i="28"/>
  <c r="Z446" i="28" s="1"/>
  <c r="T446" i="28"/>
  <c r="AA446" i="28" s="1"/>
  <c r="U446" i="28"/>
  <c r="AB446" i="28" s="1"/>
  <c r="V446" i="28"/>
  <c r="AC446" i="28" s="1"/>
  <c r="Q447" i="28"/>
  <c r="X447" i="28" s="1"/>
  <c r="R447" i="28"/>
  <c r="Y447" i="28" s="1"/>
  <c r="S447" i="28"/>
  <c r="Z447" i="28" s="1"/>
  <c r="T447" i="28"/>
  <c r="AA447" i="28" s="1"/>
  <c r="U447" i="28"/>
  <c r="AB447" i="28" s="1"/>
  <c r="V447" i="28"/>
  <c r="AC447" i="28" s="1"/>
  <c r="Q448" i="28"/>
  <c r="X448" i="28" s="1"/>
  <c r="R448" i="28"/>
  <c r="Y448" i="28" s="1"/>
  <c r="S448" i="28"/>
  <c r="Z448" i="28" s="1"/>
  <c r="T448" i="28"/>
  <c r="AA448" i="28" s="1"/>
  <c r="U448" i="28"/>
  <c r="AB448" i="28" s="1"/>
  <c r="Q449" i="28"/>
  <c r="X449" i="28" s="1"/>
  <c r="R449" i="28"/>
  <c r="Y449" i="28" s="1"/>
  <c r="S449" i="28"/>
  <c r="Z449" i="28" s="1"/>
  <c r="T449" i="28"/>
  <c r="AA449" i="28" s="1"/>
  <c r="U449" i="28"/>
  <c r="AB449" i="28" s="1"/>
  <c r="V449" i="28"/>
  <c r="AC449" i="28" s="1"/>
  <c r="Q450" i="28"/>
  <c r="X450" i="28" s="1"/>
  <c r="R450" i="28"/>
  <c r="Y450" i="28" s="1"/>
  <c r="S450" i="28"/>
  <c r="Z450" i="28" s="1"/>
  <c r="T450" i="28"/>
  <c r="AA450" i="28" s="1"/>
  <c r="U450" i="28"/>
  <c r="AB450" i="28" s="1"/>
  <c r="V450" i="28"/>
  <c r="AC450" i="28" s="1"/>
  <c r="Q451" i="28"/>
  <c r="X451" i="28" s="1"/>
  <c r="R451" i="28"/>
  <c r="Y451" i="28" s="1"/>
  <c r="S451" i="28"/>
  <c r="Z451" i="28" s="1"/>
  <c r="T451" i="28"/>
  <c r="AA451" i="28" s="1"/>
  <c r="U451" i="28"/>
  <c r="AB451" i="28" s="1"/>
  <c r="V451" i="28"/>
  <c r="AC451" i="28" s="1"/>
  <c r="Q452" i="28"/>
  <c r="X452" i="28" s="1"/>
  <c r="R452" i="28"/>
  <c r="Y452" i="28" s="1"/>
  <c r="S452" i="28"/>
  <c r="Z452" i="28" s="1"/>
  <c r="T452" i="28"/>
  <c r="AA452" i="28" s="1"/>
  <c r="U452" i="28"/>
  <c r="AB452" i="28" s="1"/>
  <c r="V452" i="28"/>
  <c r="AC452" i="28" s="1"/>
  <c r="Q453" i="28"/>
  <c r="X453" i="28" s="1"/>
  <c r="R453" i="28"/>
  <c r="Y453" i="28" s="1"/>
  <c r="S453" i="28"/>
  <c r="Z453" i="28" s="1"/>
  <c r="T453" i="28"/>
  <c r="AA453" i="28" s="1"/>
  <c r="U453" i="28"/>
  <c r="AB453" i="28" s="1"/>
  <c r="V453" i="28"/>
  <c r="AC453" i="28" s="1"/>
  <c r="Q454" i="28"/>
  <c r="X454" i="28" s="1"/>
  <c r="R454" i="28"/>
  <c r="Y454" i="28" s="1"/>
  <c r="S454" i="28"/>
  <c r="Z454" i="28" s="1"/>
  <c r="T454" i="28"/>
  <c r="AA454" i="28" s="1"/>
  <c r="U454" i="28"/>
  <c r="AB454" i="28" s="1"/>
  <c r="V454" i="28"/>
  <c r="AC454" i="28" s="1"/>
  <c r="Q455" i="28"/>
  <c r="X455" i="28" s="1"/>
  <c r="R455" i="28"/>
  <c r="Y455" i="28" s="1"/>
  <c r="S455" i="28"/>
  <c r="Z455" i="28" s="1"/>
  <c r="T455" i="28"/>
  <c r="AA455" i="28" s="1"/>
  <c r="U455" i="28"/>
  <c r="AB455" i="28" s="1"/>
  <c r="V455" i="28"/>
  <c r="AC455" i="28" s="1"/>
  <c r="Q456" i="28"/>
  <c r="X456" i="28" s="1"/>
  <c r="R456" i="28"/>
  <c r="Y456" i="28" s="1"/>
  <c r="S456" i="28"/>
  <c r="Z456" i="28" s="1"/>
  <c r="T456" i="28"/>
  <c r="AA456" i="28" s="1"/>
  <c r="U456" i="28"/>
  <c r="AB456" i="28" s="1"/>
  <c r="Q457" i="28"/>
  <c r="X457" i="28" s="1"/>
  <c r="R457" i="28"/>
  <c r="Y457" i="28" s="1"/>
  <c r="S457" i="28"/>
  <c r="Z457" i="28" s="1"/>
  <c r="T457" i="28"/>
  <c r="AA457" i="28" s="1"/>
  <c r="U457" i="28"/>
  <c r="AB457" i="28" s="1"/>
  <c r="V457" i="28"/>
  <c r="AC457" i="28" s="1"/>
  <c r="Q458" i="28"/>
  <c r="X458" i="28" s="1"/>
  <c r="R458" i="28"/>
  <c r="Y458" i="28" s="1"/>
  <c r="S458" i="28"/>
  <c r="Z458" i="28" s="1"/>
  <c r="T458" i="28"/>
  <c r="AA458" i="28" s="1"/>
  <c r="U458" i="28"/>
  <c r="AB458" i="28" s="1"/>
  <c r="V458" i="28"/>
  <c r="AC458" i="28" s="1"/>
  <c r="Q459" i="28"/>
  <c r="X459" i="28" s="1"/>
  <c r="R459" i="28"/>
  <c r="Y459" i="28" s="1"/>
  <c r="S459" i="28"/>
  <c r="Z459" i="28" s="1"/>
  <c r="T459" i="28"/>
  <c r="AA459" i="28" s="1"/>
  <c r="U459" i="28"/>
  <c r="AB459" i="28" s="1"/>
  <c r="V459" i="28"/>
  <c r="AC459" i="28" s="1"/>
  <c r="Q460" i="28"/>
  <c r="X460" i="28" s="1"/>
  <c r="R460" i="28"/>
  <c r="Y460" i="28" s="1"/>
  <c r="S460" i="28"/>
  <c r="Z460" i="28" s="1"/>
  <c r="T460" i="28"/>
  <c r="AA460" i="28" s="1"/>
  <c r="U460" i="28"/>
  <c r="AB460" i="28" s="1"/>
  <c r="V460" i="28"/>
  <c r="AC460" i="28" s="1"/>
  <c r="Q461" i="28"/>
  <c r="X461" i="28" s="1"/>
  <c r="R461" i="28"/>
  <c r="Y461" i="28" s="1"/>
  <c r="S461" i="28"/>
  <c r="Z461" i="28" s="1"/>
  <c r="T461" i="28"/>
  <c r="AA461" i="28" s="1"/>
  <c r="U461" i="28"/>
  <c r="AB461" i="28" s="1"/>
  <c r="V461" i="28"/>
  <c r="AC461" i="28" s="1"/>
  <c r="Q462" i="28"/>
  <c r="X462" i="28" s="1"/>
  <c r="R462" i="28"/>
  <c r="Y462" i="28" s="1"/>
  <c r="S462" i="28"/>
  <c r="Z462" i="28" s="1"/>
  <c r="T462" i="28"/>
  <c r="AA462" i="28" s="1"/>
  <c r="U462" i="28"/>
  <c r="AB462" i="28" s="1"/>
  <c r="V462" i="28"/>
  <c r="AC462" i="28" s="1"/>
  <c r="Q463" i="28"/>
  <c r="X463" i="28" s="1"/>
  <c r="R463" i="28"/>
  <c r="Y463" i="28" s="1"/>
  <c r="S463" i="28"/>
  <c r="Z463" i="28" s="1"/>
  <c r="T463" i="28"/>
  <c r="AA463" i="28" s="1"/>
  <c r="U463" i="28"/>
  <c r="AB463" i="28" s="1"/>
  <c r="V463" i="28"/>
  <c r="AC463" i="28" s="1"/>
  <c r="Q464" i="28"/>
  <c r="X464" i="28" s="1"/>
  <c r="R464" i="28"/>
  <c r="Y464" i="28" s="1"/>
  <c r="S464" i="28"/>
  <c r="Z464" i="28" s="1"/>
  <c r="T464" i="28"/>
  <c r="AA464" i="28" s="1"/>
  <c r="U464" i="28"/>
  <c r="AB464" i="28" s="1"/>
  <c r="Q465" i="28"/>
  <c r="X465" i="28" s="1"/>
  <c r="R465" i="28"/>
  <c r="Y465" i="28" s="1"/>
  <c r="S465" i="28"/>
  <c r="Z465" i="28" s="1"/>
  <c r="T465" i="28"/>
  <c r="AA465" i="28" s="1"/>
  <c r="U465" i="28"/>
  <c r="AB465" i="28" s="1"/>
  <c r="V465" i="28"/>
  <c r="AC465" i="28" s="1"/>
  <c r="Q466" i="28"/>
  <c r="X466" i="28" s="1"/>
  <c r="R466" i="28"/>
  <c r="Y466" i="28" s="1"/>
  <c r="S466" i="28"/>
  <c r="Z466" i="28" s="1"/>
  <c r="T466" i="28"/>
  <c r="AA466" i="28" s="1"/>
  <c r="U466" i="28"/>
  <c r="AB466" i="28" s="1"/>
  <c r="V466" i="28"/>
  <c r="AC466" i="28" s="1"/>
  <c r="Q467" i="28"/>
  <c r="X467" i="28" s="1"/>
  <c r="R467" i="28"/>
  <c r="Y467" i="28" s="1"/>
  <c r="S467" i="28"/>
  <c r="Z467" i="28" s="1"/>
  <c r="T467" i="28"/>
  <c r="AA467" i="28" s="1"/>
  <c r="U467" i="28"/>
  <c r="AB467" i="28" s="1"/>
  <c r="V467" i="28"/>
  <c r="AC467" i="28" s="1"/>
  <c r="Q468" i="28"/>
  <c r="X468" i="28" s="1"/>
  <c r="R468" i="28"/>
  <c r="Y468" i="28" s="1"/>
  <c r="S468" i="28"/>
  <c r="Z468" i="28" s="1"/>
  <c r="T468" i="28"/>
  <c r="AA468" i="28" s="1"/>
  <c r="U468" i="28"/>
  <c r="AB468" i="28" s="1"/>
  <c r="V468" i="28"/>
  <c r="AC468" i="28" s="1"/>
  <c r="Q469" i="28"/>
  <c r="X469" i="28" s="1"/>
  <c r="R469" i="28"/>
  <c r="Y469" i="28" s="1"/>
  <c r="S469" i="28"/>
  <c r="Z469" i="28" s="1"/>
  <c r="T469" i="28"/>
  <c r="AA469" i="28" s="1"/>
  <c r="U469" i="28"/>
  <c r="AB469" i="28" s="1"/>
  <c r="V469" i="28"/>
  <c r="AC469" i="28" s="1"/>
  <c r="Q470" i="28"/>
  <c r="X470" i="28" s="1"/>
  <c r="R470" i="28"/>
  <c r="Y470" i="28" s="1"/>
  <c r="S470" i="28"/>
  <c r="Z470" i="28" s="1"/>
  <c r="T470" i="28"/>
  <c r="AA470" i="28" s="1"/>
  <c r="U470" i="28"/>
  <c r="AB470" i="28" s="1"/>
  <c r="V470" i="28"/>
  <c r="AC470" i="28" s="1"/>
  <c r="Q471" i="28"/>
  <c r="X471" i="28" s="1"/>
  <c r="R471" i="28"/>
  <c r="Y471" i="28" s="1"/>
  <c r="S471" i="28"/>
  <c r="Z471" i="28" s="1"/>
  <c r="T471" i="28"/>
  <c r="AA471" i="28" s="1"/>
  <c r="U471" i="28"/>
  <c r="AB471" i="28" s="1"/>
  <c r="V471" i="28"/>
  <c r="AC471" i="28" s="1"/>
  <c r="Q472" i="28"/>
  <c r="X472" i="28" s="1"/>
  <c r="R472" i="28"/>
  <c r="Y472" i="28" s="1"/>
  <c r="S472" i="28"/>
  <c r="Z472" i="28" s="1"/>
  <c r="T472" i="28"/>
  <c r="AA472" i="28" s="1"/>
  <c r="U472" i="28"/>
  <c r="AB472" i="28" s="1"/>
  <c r="Q473" i="28"/>
  <c r="X473" i="28" s="1"/>
  <c r="R473" i="28"/>
  <c r="Y473" i="28" s="1"/>
  <c r="S473" i="28"/>
  <c r="Z473" i="28" s="1"/>
  <c r="T473" i="28"/>
  <c r="AA473" i="28" s="1"/>
  <c r="U473" i="28"/>
  <c r="AB473" i="28" s="1"/>
  <c r="V473" i="28"/>
  <c r="AC473" i="28" s="1"/>
  <c r="Q474" i="28"/>
  <c r="X474" i="28" s="1"/>
  <c r="R474" i="28"/>
  <c r="Y474" i="28" s="1"/>
  <c r="S474" i="28"/>
  <c r="Z474" i="28" s="1"/>
  <c r="T474" i="28"/>
  <c r="AA474" i="28" s="1"/>
  <c r="U474" i="28"/>
  <c r="AB474" i="28" s="1"/>
  <c r="V474" i="28"/>
  <c r="AC474" i="28" s="1"/>
  <c r="Q475" i="28"/>
  <c r="X475" i="28" s="1"/>
  <c r="R475" i="28"/>
  <c r="Y475" i="28" s="1"/>
  <c r="S475" i="28"/>
  <c r="Z475" i="28" s="1"/>
  <c r="T475" i="28"/>
  <c r="AA475" i="28" s="1"/>
  <c r="U475" i="28"/>
  <c r="AB475" i="28" s="1"/>
  <c r="V475" i="28"/>
  <c r="AC475" i="28" s="1"/>
  <c r="Q476" i="28"/>
  <c r="X476" i="28" s="1"/>
  <c r="R476" i="28"/>
  <c r="Y476" i="28" s="1"/>
  <c r="S476" i="28"/>
  <c r="Z476" i="28" s="1"/>
  <c r="T476" i="28"/>
  <c r="AA476" i="28" s="1"/>
  <c r="U476" i="28"/>
  <c r="AB476" i="28" s="1"/>
  <c r="V476" i="28"/>
  <c r="AC476" i="28" s="1"/>
  <c r="Q477" i="28"/>
  <c r="X477" i="28" s="1"/>
  <c r="R477" i="28"/>
  <c r="Y477" i="28" s="1"/>
  <c r="S477" i="28"/>
  <c r="Z477" i="28" s="1"/>
  <c r="T477" i="28"/>
  <c r="AA477" i="28" s="1"/>
  <c r="U477" i="28"/>
  <c r="AB477" i="28" s="1"/>
  <c r="V477" i="28"/>
  <c r="AC477" i="28" s="1"/>
  <c r="Q478" i="28"/>
  <c r="X478" i="28" s="1"/>
  <c r="R478" i="28"/>
  <c r="Y478" i="28" s="1"/>
  <c r="S478" i="28"/>
  <c r="Z478" i="28" s="1"/>
  <c r="T478" i="28"/>
  <c r="AA478" i="28" s="1"/>
  <c r="U478" i="28"/>
  <c r="AB478" i="28" s="1"/>
  <c r="V478" i="28"/>
  <c r="AC478" i="28" s="1"/>
  <c r="Q479" i="28"/>
  <c r="X479" i="28" s="1"/>
  <c r="R479" i="28"/>
  <c r="Y479" i="28" s="1"/>
  <c r="S479" i="28"/>
  <c r="Z479" i="28" s="1"/>
  <c r="T479" i="28"/>
  <c r="AA479" i="28" s="1"/>
  <c r="U479" i="28"/>
  <c r="AB479" i="28" s="1"/>
  <c r="V479" i="28"/>
  <c r="AC479" i="28" s="1"/>
  <c r="Q480" i="28"/>
  <c r="X480" i="28" s="1"/>
  <c r="R480" i="28"/>
  <c r="Y480" i="28" s="1"/>
  <c r="S480" i="28"/>
  <c r="Z480" i="28" s="1"/>
  <c r="T480" i="28"/>
  <c r="AA480" i="28" s="1"/>
  <c r="U480" i="28"/>
  <c r="AB480" i="28" s="1"/>
  <c r="Q481" i="28"/>
  <c r="X481" i="28" s="1"/>
  <c r="R481" i="28"/>
  <c r="Y481" i="28" s="1"/>
  <c r="S481" i="28"/>
  <c r="Z481" i="28" s="1"/>
  <c r="T481" i="28"/>
  <c r="AA481" i="28" s="1"/>
  <c r="U481" i="28"/>
  <c r="AB481" i="28" s="1"/>
  <c r="V481" i="28"/>
  <c r="AC481" i="28" s="1"/>
  <c r="Q482" i="28"/>
  <c r="X482" i="28" s="1"/>
  <c r="R482" i="28"/>
  <c r="Y482" i="28" s="1"/>
  <c r="S482" i="28"/>
  <c r="Z482" i="28" s="1"/>
  <c r="T482" i="28"/>
  <c r="AA482" i="28" s="1"/>
  <c r="U482" i="28"/>
  <c r="AB482" i="28" s="1"/>
  <c r="V482" i="28"/>
  <c r="AC482" i="28" s="1"/>
  <c r="Q483" i="28"/>
  <c r="X483" i="28" s="1"/>
  <c r="R483" i="28"/>
  <c r="Y483" i="28" s="1"/>
  <c r="S483" i="28"/>
  <c r="Z483" i="28" s="1"/>
  <c r="T483" i="28"/>
  <c r="AA483" i="28" s="1"/>
  <c r="U483" i="28"/>
  <c r="AB483" i="28" s="1"/>
  <c r="V483" i="28"/>
  <c r="AC483" i="28" s="1"/>
  <c r="Q484" i="28"/>
  <c r="X484" i="28" s="1"/>
  <c r="R484" i="28"/>
  <c r="Y484" i="28" s="1"/>
  <c r="S484" i="28"/>
  <c r="Z484" i="28" s="1"/>
  <c r="T484" i="28"/>
  <c r="AA484" i="28" s="1"/>
  <c r="U484" i="28"/>
  <c r="AB484" i="28" s="1"/>
  <c r="V484" i="28"/>
  <c r="AC484" i="28" s="1"/>
  <c r="Q485" i="28"/>
  <c r="X485" i="28" s="1"/>
  <c r="R485" i="28"/>
  <c r="Y485" i="28" s="1"/>
  <c r="S485" i="28"/>
  <c r="Z485" i="28" s="1"/>
  <c r="T485" i="28"/>
  <c r="AA485" i="28" s="1"/>
  <c r="U485" i="28"/>
  <c r="AB485" i="28" s="1"/>
  <c r="V485" i="28"/>
  <c r="AC485" i="28" s="1"/>
  <c r="Q486" i="28"/>
  <c r="X486" i="28" s="1"/>
  <c r="R486" i="28"/>
  <c r="Y486" i="28" s="1"/>
  <c r="S486" i="28"/>
  <c r="Z486" i="28" s="1"/>
  <c r="T486" i="28"/>
  <c r="AA486" i="28" s="1"/>
  <c r="U486" i="28"/>
  <c r="AB486" i="28" s="1"/>
  <c r="V486" i="28"/>
  <c r="AC486" i="28" s="1"/>
  <c r="Q487" i="28"/>
  <c r="X487" i="28" s="1"/>
  <c r="R487" i="28"/>
  <c r="Y487" i="28" s="1"/>
  <c r="S487" i="28"/>
  <c r="Z487" i="28" s="1"/>
  <c r="T487" i="28"/>
  <c r="AA487" i="28" s="1"/>
  <c r="U487" i="28"/>
  <c r="AB487" i="28" s="1"/>
  <c r="V487" i="28"/>
  <c r="AC487" i="28" s="1"/>
  <c r="Q488" i="28"/>
  <c r="X488" i="28" s="1"/>
  <c r="R488" i="28"/>
  <c r="Y488" i="28" s="1"/>
  <c r="S488" i="28"/>
  <c r="Z488" i="28" s="1"/>
  <c r="T488" i="28"/>
  <c r="AA488" i="28" s="1"/>
  <c r="U488" i="28"/>
  <c r="AB488" i="28" s="1"/>
  <c r="Q489" i="28"/>
  <c r="X489" i="28" s="1"/>
  <c r="R489" i="28"/>
  <c r="Y489" i="28" s="1"/>
  <c r="S489" i="28"/>
  <c r="Z489" i="28" s="1"/>
  <c r="T489" i="28"/>
  <c r="AA489" i="28" s="1"/>
  <c r="U489" i="28"/>
  <c r="AB489" i="28" s="1"/>
  <c r="V489" i="28"/>
  <c r="AC489" i="28" s="1"/>
  <c r="Q490" i="28"/>
  <c r="X490" i="28" s="1"/>
  <c r="R490" i="28"/>
  <c r="Y490" i="28" s="1"/>
  <c r="S490" i="28"/>
  <c r="Z490" i="28" s="1"/>
  <c r="T490" i="28"/>
  <c r="AA490" i="28" s="1"/>
  <c r="U490" i="28"/>
  <c r="AB490" i="28" s="1"/>
  <c r="V490" i="28"/>
  <c r="AC490" i="28" s="1"/>
  <c r="Q491" i="28"/>
  <c r="X491" i="28" s="1"/>
  <c r="R491" i="28"/>
  <c r="Y491" i="28" s="1"/>
  <c r="S491" i="28"/>
  <c r="Z491" i="28" s="1"/>
  <c r="T491" i="28"/>
  <c r="AA491" i="28" s="1"/>
  <c r="U491" i="28"/>
  <c r="AB491" i="28" s="1"/>
  <c r="V491" i="28"/>
  <c r="AC491" i="28" s="1"/>
  <c r="Q492" i="28"/>
  <c r="X492" i="28" s="1"/>
  <c r="R492" i="28"/>
  <c r="Y492" i="28" s="1"/>
  <c r="S492" i="28"/>
  <c r="Z492" i="28" s="1"/>
  <c r="T492" i="28"/>
  <c r="AA492" i="28" s="1"/>
  <c r="U492" i="28"/>
  <c r="AB492" i="28" s="1"/>
  <c r="V492" i="28"/>
  <c r="AC492" i="28" s="1"/>
  <c r="Q493" i="28"/>
  <c r="X493" i="28" s="1"/>
  <c r="R493" i="28"/>
  <c r="Y493" i="28" s="1"/>
  <c r="S493" i="28"/>
  <c r="Z493" i="28" s="1"/>
  <c r="T493" i="28"/>
  <c r="AA493" i="28" s="1"/>
  <c r="U493" i="28"/>
  <c r="AB493" i="28" s="1"/>
  <c r="V493" i="28"/>
  <c r="AC493" i="28" s="1"/>
  <c r="Q494" i="28"/>
  <c r="X494" i="28" s="1"/>
  <c r="R494" i="28"/>
  <c r="Y494" i="28" s="1"/>
  <c r="S494" i="28"/>
  <c r="Z494" i="28" s="1"/>
  <c r="T494" i="28"/>
  <c r="AA494" i="28" s="1"/>
  <c r="U494" i="28"/>
  <c r="AB494" i="28" s="1"/>
  <c r="V494" i="28"/>
  <c r="AC494" i="28" s="1"/>
  <c r="Q495" i="28"/>
  <c r="X495" i="28" s="1"/>
  <c r="R495" i="28"/>
  <c r="Y495" i="28" s="1"/>
  <c r="S495" i="28"/>
  <c r="Z495" i="28" s="1"/>
  <c r="T495" i="28"/>
  <c r="AA495" i="28" s="1"/>
  <c r="U495" i="28"/>
  <c r="AB495" i="28" s="1"/>
  <c r="V495" i="28"/>
  <c r="AC495" i="28" s="1"/>
  <c r="Q496" i="28"/>
  <c r="X496" i="28" s="1"/>
  <c r="R496" i="28"/>
  <c r="Y496" i="28" s="1"/>
  <c r="S496" i="28"/>
  <c r="Z496" i="28" s="1"/>
  <c r="T496" i="28"/>
  <c r="AA496" i="28" s="1"/>
  <c r="U496" i="28"/>
  <c r="AB496" i="28" s="1"/>
  <c r="Q497" i="28"/>
  <c r="X497" i="28" s="1"/>
  <c r="R497" i="28"/>
  <c r="Y497" i="28" s="1"/>
  <c r="S497" i="28"/>
  <c r="Z497" i="28" s="1"/>
  <c r="T497" i="28"/>
  <c r="AA497" i="28" s="1"/>
  <c r="U497" i="28"/>
  <c r="AB497" i="28" s="1"/>
  <c r="V497" i="28"/>
  <c r="AC497" i="28" s="1"/>
  <c r="Q498" i="28"/>
  <c r="X498" i="28" s="1"/>
  <c r="R498" i="28"/>
  <c r="Y498" i="28" s="1"/>
  <c r="S498" i="28"/>
  <c r="Z498" i="28" s="1"/>
  <c r="T498" i="28"/>
  <c r="AA498" i="28" s="1"/>
  <c r="U498" i="28"/>
  <c r="AB498" i="28" s="1"/>
  <c r="V498" i="28"/>
  <c r="AC498" i="28" s="1"/>
  <c r="Q499" i="28"/>
  <c r="X499" i="28" s="1"/>
  <c r="R499" i="28"/>
  <c r="Y499" i="28" s="1"/>
  <c r="S499" i="28"/>
  <c r="Z499" i="28" s="1"/>
  <c r="T499" i="28"/>
  <c r="AA499" i="28" s="1"/>
  <c r="U499" i="28"/>
  <c r="AB499" i="28" s="1"/>
  <c r="V499" i="28"/>
  <c r="AC499" i="28" s="1"/>
  <c r="Q500" i="28"/>
  <c r="X500" i="28" s="1"/>
  <c r="R500" i="28"/>
  <c r="Y500" i="28" s="1"/>
  <c r="S500" i="28"/>
  <c r="Z500" i="28" s="1"/>
  <c r="T500" i="28"/>
  <c r="AA500" i="28" s="1"/>
  <c r="U500" i="28"/>
  <c r="AB500" i="28" s="1"/>
  <c r="V500" i="28"/>
  <c r="AC500" i="28" s="1"/>
  <c r="Q501" i="28"/>
  <c r="X501" i="28" s="1"/>
  <c r="R501" i="28"/>
  <c r="Y501" i="28" s="1"/>
  <c r="S501" i="28"/>
  <c r="Z501" i="28" s="1"/>
  <c r="T501" i="28"/>
  <c r="AA501" i="28" s="1"/>
  <c r="U501" i="28"/>
  <c r="AB501" i="28" s="1"/>
  <c r="V501" i="28"/>
  <c r="AC501" i="28" s="1"/>
  <c r="Q502" i="28"/>
  <c r="X502" i="28" s="1"/>
  <c r="R502" i="28"/>
  <c r="Y502" i="28" s="1"/>
  <c r="S502" i="28"/>
  <c r="Z502" i="28" s="1"/>
  <c r="T502" i="28"/>
  <c r="AA502" i="28" s="1"/>
  <c r="U502" i="28"/>
  <c r="AB502" i="28" s="1"/>
  <c r="V502" i="28"/>
  <c r="AC502" i="28" s="1"/>
  <c r="Q503" i="28"/>
  <c r="X503" i="28" s="1"/>
  <c r="R503" i="28"/>
  <c r="Y503" i="28" s="1"/>
  <c r="S503" i="28"/>
  <c r="Z503" i="28" s="1"/>
  <c r="T503" i="28"/>
  <c r="AA503" i="28" s="1"/>
  <c r="U503" i="28"/>
  <c r="AB503" i="28" s="1"/>
  <c r="V503" i="28"/>
  <c r="AC503" i="28" s="1"/>
  <c r="Q504" i="28"/>
  <c r="X504" i="28" s="1"/>
  <c r="R504" i="28"/>
  <c r="Y504" i="28" s="1"/>
  <c r="S504" i="28"/>
  <c r="Z504" i="28" s="1"/>
  <c r="T504" i="28"/>
  <c r="AA504" i="28" s="1"/>
  <c r="U504" i="28"/>
  <c r="AB504" i="28" s="1"/>
  <c r="Q505" i="28"/>
  <c r="X505" i="28" s="1"/>
  <c r="R505" i="28"/>
  <c r="Y505" i="28" s="1"/>
  <c r="S505" i="28"/>
  <c r="Z505" i="28" s="1"/>
  <c r="T505" i="28"/>
  <c r="AA505" i="28" s="1"/>
  <c r="U505" i="28"/>
  <c r="AB505" i="28" s="1"/>
  <c r="V505" i="28"/>
  <c r="AC505" i="28" s="1"/>
  <c r="Q506" i="28"/>
  <c r="X506" i="28" s="1"/>
  <c r="R506" i="28"/>
  <c r="Y506" i="28" s="1"/>
  <c r="S506" i="28"/>
  <c r="Z506" i="28" s="1"/>
  <c r="T506" i="28"/>
  <c r="AA506" i="28" s="1"/>
  <c r="U506" i="28"/>
  <c r="AB506" i="28" s="1"/>
  <c r="V506" i="28"/>
  <c r="AC506" i="28" s="1"/>
  <c r="Q507" i="28"/>
  <c r="X507" i="28" s="1"/>
  <c r="R507" i="28"/>
  <c r="Y507" i="28" s="1"/>
  <c r="S507" i="28"/>
  <c r="Z507" i="28" s="1"/>
  <c r="T507" i="28"/>
  <c r="AA507" i="28" s="1"/>
  <c r="U507" i="28"/>
  <c r="AB507" i="28" s="1"/>
  <c r="V507" i="28"/>
  <c r="AC507" i="28" s="1"/>
  <c r="Q508" i="28"/>
  <c r="X508" i="28" s="1"/>
  <c r="R508" i="28"/>
  <c r="Y508" i="28" s="1"/>
  <c r="S508" i="28"/>
  <c r="Z508" i="28" s="1"/>
  <c r="T508" i="28"/>
  <c r="AA508" i="28" s="1"/>
  <c r="U508" i="28"/>
  <c r="AB508" i="28" s="1"/>
  <c r="V508" i="28"/>
  <c r="AC508" i="28" s="1"/>
  <c r="Q509" i="28"/>
  <c r="X509" i="28" s="1"/>
  <c r="R509" i="28"/>
  <c r="Y509" i="28" s="1"/>
  <c r="S509" i="28"/>
  <c r="Z509" i="28" s="1"/>
  <c r="T509" i="28"/>
  <c r="AA509" i="28" s="1"/>
  <c r="U509" i="28"/>
  <c r="AB509" i="28" s="1"/>
  <c r="V509" i="28"/>
  <c r="AC509" i="28" s="1"/>
  <c r="Q510" i="28"/>
  <c r="X510" i="28" s="1"/>
  <c r="R510" i="28"/>
  <c r="Y510" i="28" s="1"/>
  <c r="S510" i="28"/>
  <c r="Z510" i="28" s="1"/>
  <c r="T510" i="28"/>
  <c r="AA510" i="28" s="1"/>
  <c r="U510" i="28"/>
  <c r="AB510" i="28" s="1"/>
  <c r="V510" i="28"/>
  <c r="AC510" i="28" s="1"/>
  <c r="Q511" i="28"/>
  <c r="X511" i="28" s="1"/>
  <c r="R511" i="28"/>
  <c r="Y511" i="28" s="1"/>
  <c r="S511" i="28"/>
  <c r="Z511" i="28" s="1"/>
  <c r="T511" i="28"/>
  <c r="AA511" i="28" s="1"/>
  <c r="U511" i="28"/>
  <c r="AB511" i="28" s="1"/>
  <c r="V511" i="28"/>
  <c r="AC511" i="28" s="1"/>
  <c r="Q512" i="28"/>
  <c r="X512" i="28" s="1"/>
  <c r="R512" i="28"/>
  <c r="Y512" i="28" s="1"/>
  <c r="S512" i="28"/>
  <c r="Z512" i="28" s="1"/>
  <c r="T512" i="28"/>
  <c r="AA512" i="28" s="1"/>
  <c r="U512" i="28"/>
  <c r="AB512" i="28" s="1"/>
  <c r="Q513" i="28"/>
  <c r="X513" i="28" s="1"/>
  <c r="R513" i="28"/>
  <c r="Y513" i="28" s="1"/>
  <c r="S513" i="28"/>
  <c r="Z513" i="28" s="1"/>
  <c r="T513" i="28"/>
  <c r="AA513" i="28" s="1"/>
  <c r="U513" i="28"/>
  <c r="AB513" i="28" s="1"/>
  <c r="V513" i="28"/>
  <c r="AC513" i="28" s="1"/>
  <c r="Q514" i="28"/>
  <c r="X514" i="28" s="1"/>
  <c r="R514" i="28"/>
  <c r="Y514" i="28" s="1"/>
  <c r="S514" i="28"/>
  <c r="Z514" i="28" s="1"/>
  <c r="T514" i="28"/>
  <c r="AA514" i="28" s="1"/>
  <c r="U514" i="28"/>
  <c r="AB514" i="28" s="1"/>
  <c r="V514" i="28"/>
  <c r="AC514" i="28" s="1"/>
  <c r="Q515" i="28"/>
  <c r="X515" i="28" s="1"/>
  <c r="R515" i="28"/>
  <c r="Y515" i="28" s="1"/>
  <c r="S515" i="28"/>
  <c r="Z515" i="28" s="1"/>
  <c r="T515" i="28"/>
  <c r="AA515" i="28" s="1"/>
  <c r="U515" i="28"/>
  <c r="AB515" i="28" s="1"/>
  <c r="V515" i="28"/>
  <c r="AC515" i="28" s="1"/>
  <c r="Q516" i="28"/>
  <c r="X516" i="28" s="1"/>
  <c r="R516" i="28"/>
  <c r="Y516" i="28" s="1"/>
  <c r="S516" i="28"/>
  <c r="Z516" i="28" s="1"/>
  <c r="T516" i="28"/>
  <c r="AA516" i="28" s="1"/>
  <c r="U516" i="28"/>
  <c r="AB516" i="28" s="1"/>
  <c r="V516" i="28"/>
  <c r="AC516" i="28" s="1"/>
  <c r="Q517" i="28"/>
  <c r="X517" i="28" s="1"/>
  <c r="R517" i="28"/>
  <c r="Y517" i="28" s="1"/>
  <c r="S517" i="28"/>
  <c r="Z517" i="28" s="1"/>
  <c r="T517" i="28"/>
  <c r="AA517" i="28" s="1"/>
  <c r="U517" i="28"/>
  <c r="AB517" i="28" s="1"/>
  <c r="V517" i="28"/>
  <c r="AC517" i="28" s="1"/>
  <c r="Q518" i="28"/>
  <c r="X518" i="28" s="1"/>
  <c r="R518" i="28"/>
  <c r="Y518" i="28" s="1"/>
  <c r="S518" i="28"/>
  <c r="Z518" i="28" s="1"/>
  <c r="T518" i="28"/>
  <c r="AA518" i="28" s="1"/>
  <c r="U518" i="28"/>
  <c r="AB518" i="28" s="1"/>
  <c r="V518" i="28"/>
  <c r="AC518" i="28" s="1"/>
  <c r="Q519" i="28"/>
  <c r="X519" i="28" s="1"/>
  <c r="R519" i="28"/>
  <c r="Y519" i="28" s="1"/>
  <c r="S519" i="28"/>
  <c r="Z519" i="28" s="1"/>
  <c r="T519" i="28"/>
  <c r="AA519" i="28" s="1"/>
  <c r="U519" i="28"/>
  <c r="AB519" i="28" s="1"/>
  <c r="V519" i="28"/>
  <c r="AC519" i="28" s="1"/>
  <c r="Q520" i="28"/>
  <c r="X520" i="28" s="1"/>
  <c r="R520" i="28"/>
  <c r="Y520" i="28" s="1"/>
  <c r="S520" i="28"/>
  <c r="Z520" i="28" s="1"/>
  <c r="T520" i="28"/>
  <c r="AA520" i="28" s="1"/>
  <c r="U520" i="28"/>
  <c r="AB520" i="28" s="1"/>
  <c r="Q521" i="28"/>
  <c r="X521" i="28" s="1"/>
  <c r="R521" i="28"/>
  <c r="Y521" i="28" s="1"/>
  <c r="S521" i="28"/>
  <c r="Z521" i="28" s="1"/>
  <c r="T521" i="28"/>
  <c r="AA521" i="28" s="1"/>
  <c r="U521" i="28"/>
  <c r="AB521" i="28" s="1"/>
  <c r="V521" i="28"/>
  <c r="AC521" i="28" s="1"/>
  <c r="Q522" i="28"/>
  <c r="X522" i="28" s="1"/>
  <c r="R522" i="28"/>
  <c r="Y522" i="28" s="1"/>
  <c r="S522" i="28"/>
  <c r="Z522" i="28" s="1"/>
  <c r="T522" i="28"/>
  <c r="AA522" i="28" s="1"/>
  <c r="U522" i="28"/>
  <c r="AB522" i="28" s="1"/>
  <c r="V522" i="28"/>
  <c r="AC522" i="28" s="1"/>
  <c r="Q523" i="28"/>
  <c r="X523" i="28" s="1"/>
  <c r="R523" i="28"/>
  <c r="Y523" i="28" s="1"/>
  <c r="S523" i="28"/>
  <c r="Z523" i="28" s="1"/>
  <c r="T523" i="28"/>
  <c r="AA523" i="28" s="1"/>
  <c r="U523" i="28"/>
  <c r="AB523" i="28" s="1"/>
  <c r="V523" i="28"/>
  <c r="AC523" i="28" s="1"/>
  <c r="Q524" i="28"/>
  <c r="X524" i="28" s="1"/>
  <c r="R524" i="28"/>
  <c r="Y524" i="28" s="1"/>
  <c r="S524" i="28"/>
  <c r="Z524" i="28" s="1"/>
  <c r="T524" i="28"/>
  <c r="AA524" i="28" s="1"/>
  <c r="U524" i="28"/>
  <c r="AB524" i="28" s="1"/>
  <c r="V524" i="28"/>
  <c r="AC524" i="28" s="1"/>
  <c r="Q525" i="28"/>
  <c r="X525" i="28" s="1"/>
  <c r="R525" i="28"/>
  <c r="Y525" i="28" s="1"/>
  <c r="S525" i="28"/>
  <c r="Z525" i="28" s="1"/>
  <c r="T525" i="28"/>
  <c r="AA525" i="28" s="1"/>
  <c r="U525" i="28"/>
  <c r="AB525" i="28" s="1"/>
  <c r="V525" i="28"/>
  <c r="AC525" i="28" s="1"/>
  <c r="Q526" i="28"/>
  <c r="X526" i="28" s="1"/>
  <c r="R526" i="28"/>
  <c r="Y526" i="28" s="1"/>
  <c r="S526" i="28"/>
  <c r="Z526" i="28" s="1"/>
  <c r="T526" i="28"/>
  <c r="AA526" i="28" s="1"/>
  <c r="U526" i="28"/>
  <c r="AB526" i="28" s="1"/>
  <c r="V526" i="28"/>
  <c r="AC526" i="28" s="1"/>
  <c r="Q527" i="28"/>
  <c r="X527" i="28" s="1"/>
  <c r="R527" i="28"/>
  <c r="Y527" i="28" s="1"/>
  <c r="S527" i="28"/>
  <c r="Z527" i="28" s="1"/>
  <c r="T527" i="28"/>
  <c r="AA527" i="28" s="1"/>
  <c r="U527" i="28"/>
  <c r="AB527" i="28" s="1"/>
  <c r="V527" i="28"/>
  <c r="AC527" i="28" s="1"/>
  <c r="Q528" i="28"/>
  <c r="X528" i="28" s="1"/>
  <c r="R528" i="28"/>
  <c r="Y528" i="28" s="1"/>
  <c r="S528" i="28"/>
  <c r="Z528" i="28" s="1"/>
  <c r="T528" i="28"/>
  <c r="AA528" i="28" s="1"/>
  <c r="U528" i="28"/>
  <c r="AB528" i="28" s="1"/>
  <c r="Q529" i="28"/>
  <c r="X529" i="28" s="1"/>
  <c r="R529" i="28"/>
  <c r="Y529" i="28" s="1"/>
  <c r="S529" i="28"/>
  <c r="Z529" i="28" s="1"/>
  <c r="T529" i="28"/>
  <c r="AA529" i="28" s="1"/>
  <c r="U529" i="28"/>
  <c r="AB529" i="28" s="1"/>
  <c r="V529" i="28"/>
  <c r="AC529" i="28" s="1"/>
  <c r="Q530" i="28"/>
  <c r="X530" i="28" s="1"/>
  <c r="R530" i="28"/>
  <c r="Y530" i="28" s="1"/>
  <c r="S530" i="28"/>
  <c r="Z530" i="28" s="1"/>
  <c r="T530" i="28"/>
  <c r="AA530" i="28" s="1"/>
  <c r="U530" i="28"/>
  <c r="AB530" i="28" s="1"/>
  <c r="V530" i="28"/>
  <c r="AC530" i="28" s="1"/>
  <c r="Q531" i="28"/>
  <c r="X531" i="28" s="1"/>
  <c r="R531" i="28"/>
  <c r="Y531" i="28" s="1"/>
  <c r="S531" i="28"/>
  <c r="Z531" i="28" s="1"/>
  <c r="T531" i="28"/>
  <c r="AA531" i="28" s="1"/>
  <c r="U531" i="28"/>
  <c r="AB531" i="28" s="1"/>
  <c r="V531" i="28"/>
  <c r="AC531" i="28" s="1"/>
  <c r="Q532" i="28"/>
  <c r="X532" i="28" s="1"/>
  <c r="R532" i="28"/>
  <c r="Y532" i="28" s="1"/>
  <c r="S532" i="28"/>
  <c r="Z532" i="28" s="1"/>
  <c r="T532" i="28"/>
  <c r="AA532" i="28" s="1"/>
  <c r="U532" i="28"/>
  <c r="AB532" i="28" s="1"/>
  <c r="V532" i="28"/>
  <c r="AC532" i="28" s="1"/>
  <c r="Q533" i="28"/>
  <c r="X533" i="28" s="1"/>
  <c r="R533" i="28"/>
  <c r="Y533" i="28" s="1"/>
  <c r="S533" i="28"/>
  <c r="Z533" i="28" s="1"/>
  <c r="T533" i="28"/>
  <c r="AA533" i="28" s="1"/>
  <c r="U533" i="28"/>
  <c r="AB533" i="28" s="1"/>
  <c r="V533" i="28"/>
  <c r="AC533" i="28" s="1"/>
  <c r="Q534" i="28"/>
  <c r="X534" i="28" s="1"/>
  <c r="R534" i="28"/>
  <c r="Y534" i="28" s="1"/>
  <c r="S534" i="28"/>
  <c r="Z534" i="28" s="1"/>
  <c r="T534" i="28"/>
  <c r="AA534" i="28" s="1"/>
  <c r="U534" i="28"/>
  <c r="AB534" i="28" s="1"/>
  <c r="V534" i="28"/>
  <c r="AC534" i="28" s="1"/>
  <c r="Q535" i="28"/>
  <c r="X535" i="28" s="1"/>
  <c r="R535" i="28"/>
  <c r="Y535" i="28" s="1"/>
  <c r="S535" i="28"/>
  <c r="Z535" i="28" s="1"/>
  <c r="T535" i="28"/>
  <c r="AA535" i="28" s="1"/>
  <c r="U535" i="28"/>
  <c r="AB535" i="28" s="1"/>
  <c r="V535" i="28"/>
  <c r="AC535" i="28" s="1"/>
  <c r="Q536" i="28"/>
  <c r="X536" i="28" s="1"/>
  <c r="R536" i="28"/>
  <c r="Y536" i="28" s="1"/>
  <c r="S536" i="28"/>
  <c r="Z536" i="28" s="1"/>
  <c r="T536" i="28"/>
  <c r="AA536" i="28" s="1"/>
  <c r="U536" i="28"/>
  <c r="AB536" i="28" s="1"/>
  <c r="Q537" i="28"/>
  <c r="X537" i="28" s="1"/>
  <c r="R537" i="28"/>
  <c r="Y537" i="28" s="1"/>
  <c r="S537" i="28"/>
  <c r="Z537" i="28" s="1"/>
  <c r="T537" i="28"/>
  <c r="AA537" i="28" s="1"/>
  <c r="U537" i="28"/>
  <c r="AB537" i="28" s="1"/>
  <c r="V537" i="28"/>
  <c r="AC537" i="28" s="1"/>
  <c r="Q538" i="28"/>
  <c r="X538" i="28" s="1"/>
  <c r="R538" i="28"/>
  <c r="Y538" i="28" s="1"/>
  <c r="S538" i="28"/>
  <c r="Z538" i="28" s="1"/>
  <c r="T538" i="28"/>
  <c r="AA538" i="28" s="1"/>
  <c r="U538" i="28"/>
  <c r="AB538" i="28" s="1"/>
  <c r="V538" i="28"/>
  <c r="AC538" i="28" s="1"/>
  <c r="Q539" i="28"/>
  <c r="X539" i="28" s="1"/>
  <c r="R539" i="28"/>
  <c r="Y539" i="28" s="1"/>
  <c r="S539" i="28"/>
  <c r="Z539" i="28" s="1"/>
  <c r="T539" i="28"/>
  <c r="AA539" i="28" s="1"/>
  <c r="U539" i="28"/>
  <c r="AB539" i="28" s="1"/>
  <c r="V539" i="28"/>
  <c r="AC539" i="28" s="1"/>
  <c r="Q540" i="28"/>
  <c r="X540" i="28" s="1"/>
  <c r="R540" i="28"/>
  <c r="Y540" i="28" s="1"/>
  <c r="S540" i="28"/>
  <c r="Z540" i="28" s="1"/>
  <c r="T540" i="28"/>
  <c r="AA540" i="28" s="1"/>
  <c r="U540" i="28"/>
  <c r="AB540" i="28" s="1"/>
  <c r="V540" i="28"/>
  <c r="AC540" i="28" s="1"/>
  <c r="Q541" i="28"/>
  <c r="X541" i="28" s="1"/>
  <c r="R541" i="28"/>
  <c r="Y541" i="28" s="1"/>
  <c r="S541" i="28"/>
  <c r="Z541" i="28" s="1"/>
  <c r="T541" i="28"/>
  <c r="AA541" i="28" s="1"/>
  <c r="U541" i="28"/>
  <c r="AB541" i="28" s="1"/>
  <c r="V541" i="28"/>
  <c r="AC541" i="28" s="1"/>
  <c r="Q542" i="28"/>
  <c r="X542" i="28" s="1"/>
  <c r="R542" i="28"/>
  <c r="Y542" i="28" s="1"/>
  <c r="S542" i="28"/>
  <c r="Z542" i="28" s="1"/>
  <c r="T542" i="28"/>
  <c r="AA542" i="28" s="1"/>
  <c r="U542" i="28"/>
  <c r="AB542" i="28" s="1"/>
  <c r="V542" i="28"/>
  <c r="AC542" i="28" s="1"/>
  <c r="Q543" i="28"/>
  <c r="X543" i="28" s="1"/>
  <c r="R543" i="28"/>
  <c r="Y543" i="28" s="1"/>
  <c r="S543" i="28"/>
  <c r="Z543" i="28" s="1"/>
  <c r="T543" i="28"/>
  <c r="AA543" i="28" s="1"/>
  <c r="U543" i="28"/>
  <c r="AB543" i="28" s="1"/>
  <c r="V543" i="28"/>
  <c r="AC543" i="28" s="1"/>
  <c r="Q544" i="28"/>
  <c r="X544" i="28" s="1"/>
  <c r="R544" i="28"/>
  <c r="Y544" i="28" s="1"/>
  <c r="S544" i="28"/>
  <c r="Z544" i="28" s="1"/>
  <c r="T544" i="28"/>
  <c r="AA544" i="28" s="1"/>
  <c r="U544" i="28"/>
  <c r="AB544" i="28" s="1"/>
  <c r="Q545" i="28"/>
  <c r="X545" i="28" s="1"/>
  <c r="R545" i="28"/>
  <c r="Y545" i="28" s="1"/>
  <c r="S545" i="28"/>
  <c r="Z545" i="28" s="1"/>
  <c r="T545" i="28"/>
  <c r="AA545" i="28" s="1"/>
  <c r="U545" i="28"/>
  <c r="AB545" i="28" s="1"/>
  <c r="V545" i="28"/>
  <c r="AC545" i="28" s="1"/>
  <c r="Q546" i="28"/>
  <c r="X546" i="28" s="1"/>
  <c r="R546" i="28"/>
  <c r="Y546" i="28" s="1"/>
  <c r="S546" i="28"/>
  <c r="Z546" i="28" s="1"/>
  <c r="T546" i="28"/>
  <c r="AA546" i="28" s="1"/>
  <c r="U546" i="28"/>
  <c r="AB546" i="28" s="1"/>
  <c r="V546" i="28"/>
  <c r="AC546" i="28" s="1"/>
  <c r="Q547" i="28"/>
  <c r="X547" i="28" s="1"/>
  <c r="R547" i="28"/>
  <c r="Y547" i="28" s="1"/>
  <c r="S547" i="28"/>
  <c r="Z547" i="28" s="1"/>
  <c r="T547" i="28"/>
  <c r="AA547" i="28" s="1"/>
  <c r="U547" i="28"/>
  <c r="AB547" i="28" s="1"/>
  <c r="V547" i="28"/>
  <c r="AC547" i="28" s="1"/>
  <c r="Q548" i="28"/>
  <c r="X548" i="28" s="1"/>
  <c r="R548" i="28"/>
  <c r="Y548" i="28" s="1"/>
  <c r="S548" i="28"/>
  <c r="Z548" i="28" s="1"/>
  <c r="T548" i="28"/>
  <c r="AA548" i="28" s="1"/>
  <c r="U548" i="28"/>
  <c r="AB548" i="28" s="1"/>
  <c r="V548" i="28"/>
  <c r="AC548" i="28" s="1"/>
  <c r="Q549" i="28"/>
  <c r="X549" i="28" s="1"/>
  <c r="R549" i="28"/>
  <c r="Y549" i="28" s="1"/>
  <c r="S549" i="28"/>
  <c r="Z549" i="28" s="1"/>
  <c r="T549" i="28"/>
  <c r="AA549" i="28" s="1"/>
  <c r="U549" i="28"/>
  <c r="AB549" i="28" s="1"/>
  <c r="V549" i="28"/>
  <c r="AC549" i="28" s="1"/>
  <c r="Q550" i="28"/>
  <c r="X550" i="28" s="1"/>
  <c r="R550" i="28"/>
  <c r="Y550" i="28" s="1"/>
  <c r="S550" i="28"/>
  <c r="Z550" i="28" s="1"/>
  <c r="T550" i="28"/>
  <c r="AA550" i="28" s="1"/>
  <c r="U550" i="28"/>
  <c r="AB550" i="28" s="1"/>
  <c r="V550" i="28"/>
  <c r="AC550" i="28" s="1"/>
  <c r="Q551" i="28"/>
  <c r="X551" i="28" s="1"/>
  <c r="R551" i="28"/>
  <c r="Y551" i="28" s="1"/>
  <c r="S551" i="28"/>
  <c r="Z551" i="28" s="1"/>
  <c r="T551" i="28"/>
  <c r="AA551" i="28" s="1"/>
  <c r="U551" i="28"/>
  <c r="AB551" i="28" s="1"/>
  <c r="V551" i="28"/>
  <c r="AC551" i="28" s="1"/>
  <c r="Q552" i="28"/>
  <c r="X552" i="28" s="1"/>
  <c r="R552" i="28"/>
  <c r="Y552" i="28" s="1"/>
  <c r="S552" i="28"/>
  <c r="Z552" i="28" s="1"/>
  <c r="T552" i="28"/>
  <c r="AA552" i="28" s="1"/>
  <c r="U552" i="28"/>
  <c r="AB552" i="28" s="1"/>
  <c r="Q553" i="28"/>
  <c r="X553" i="28" s="1"/>
  <c r="R553" i="28"/>
  <c r="Y553" i="28" s="1"/>
  <c r="S553" i="28"/>
  <c r="Z553" i="28" s="1"/>
  <c r="T553" i="28"/>
  <c r="AA553" i="28" s="1"/>
  <c r="U553" i="28"/>
  <c r="AB553" i="28" s="1"/>
  <c r="V553" i="28"/>
  <c r="AC553" i="28" s="1"/>
  <c r="Q554" i="28"/>
  <c r="X554" i="28" s="1"/>
  <c r="R554" i="28"/>
  <c r="Y554" i="28" s="1"/>
  <c r="S554" i="28"/>
  <c r="Z554" i="28" s="1"/>
  <c r="T554" i="28"/>
  <c r="AA554" i="28" s="1"/>
  <c r="U554" i="28"/>
  <c r="AB554" i="28" s="1"/>
  <c r="V554" i="28"/>
  <c r="AC554" i="28" s="1"/>
  <c r="Q555" i="28"/>
  <c r="X555" i="28" s="1"/>
  <c r="R555" i="28"/>
  <c r="Y555" i="28" s="1"/>
  <c r="S555" i="28"/>
  <c r="Z555" i="28" s="1"/>
  <c r="T555" i="28"/>
  <c r="AA555" i="28" s="1"/>
  <c r="U555" i="28"/>
  <c r="AB555" i="28" s="1"/>
  <c r="V555" i="28"/>
  <c r="AC555" i="28" s="1"/>
  <c r="Q556" i="28"/>
  <c r="X556" i="28" s="1"/>
  <c r="R556" i="28"/>
  <c r="Y556" i="28" s="1"/>
  <c r="S556" i="28"/>
  <c r="Z556" i="28" s="1"/>
  <c r="T556" i="28"/>
  <c r="AA556" i="28" s="1"/>
  <c r="U556" i="28"/>
  <c r="AB556" i="28" s="1"/>
  <c r="V556" i="28"/>
  <c r="AC556" i="28" s="1"/>
  <c r="Q557" i="28"/>
  <c r="X557" i="28" s="1"/>
  <c r="R557" i="28"/>
  <c r="Y557" i="28" s="1"/>
  <c r="S557" i="28"/>
  <c r="Z557" i="28" s="1"/>
  <c r="T557" i="28"/>
  <c r="AA557" i="28" s="1"/>
  <c r="U557" i="28"/>
  <c r="AB557" i="28" s="1"/>
  <c r="V557" i="28"/>
  <c r="AC557" i="28" s="1"/>
  <c r="Q558" i="28"/>
  <c r="X558" i="28" s="1"/>
  <c r="R558" i="28"/>
  <c r="Y558" i="28" s="1"/>
  <c r="S558" i="28"/>
  <c r="Z558" i="28" s="1"/>
  <c r="T558" i="28"/>
  <c r="AA558" i="28" s="1"/>
  <c r="U558" i="28"/>
  <c r="AB558" i="28" s="1"/>
  <c r="V558" i="28"/>
  <c r="AC558" i="28" s="1"/>
  <c r="Q559" i="28"/>
  <c r="X559" i="28" s="1"/>
  <c r="R559" i="28"/>
  <c r="Y559" i="28" s="1"/>
  <c r="S559" i="28"/>
  <c r="Z559" i="28" s="1"/>
  <c r="T559" i="28"/>
  <c r="AA559" i="28" s="1"/>
  <c r="U559" i="28"/>
  <c r="AB559" i="28" s="1"/>
  <c r="V559" i="28"/>
  <c r="AC559" i="28" s="1"/>
  <c r="Q560" i="28"/>
  <c r="X560" i="28" s="1"/>
  <c r="R560" i="28"/>
  <c r="Y560" i="28" s="1"/>
  <c r="S560" i="28"/>
  <c r="Z560" i="28" s="1"/>
  <c r="T560" i="28"/>
  <c r="AA560" i="28" s="1"/>
  <c r="U560" i="28"/>
  <c r="AB560" i="28" s="1"/>
  <c r="Q561" i="28"/>
  <c r="X561" i="28" s="1"/>
  <c r="R561" i="28"/>
  <c r="Y561" i="28" s="1"/>
  <c r="S561" i="28"/>
  <c r="Z561" i="28" s="1"/>
  <c r="T561" i="28"/>
  <c r="AA561" i="28" s="1"/>
  <c r="U561" i="28"/>
  <c r="AB561" i="28" s="1"/>
  <c r="V561" i="28"/>
  <c r="AC561" i="28" s="1"/>
  <c r="Q562" i="28"/>
  <c r="X562" i="28" s="1"/>
  <c r="R562" i="28"/>
  <c r="Y562" i="28" s="1"/>
  <c r="S562" i="28"/>
  <c r="Z562" i="28" s="1"/>
  <c r="T562" i="28"/>
  <c r="AA562" i="28" s="1"/>
  <c r="U562" i="28"/>
  <c r="AB562" i="28" s="1"/>
  <c r="V562" i="28"/>
  <c r="AC562" i="28" s="1"/>
  <c r="Q563" i="28"/>
  <c r="X563" i="28" s="1"/>
  <c r="R563" i="28"/>
  <c r="Y563" i="28" s="1"/>
  <c r="S563" i="28"/>
  <c r="Z563" i="28" s="1"/>
  <c r="T563" i="28"/>
  <c r="AA563" i="28" s="1"/>
  <c r="U563" i="28"/>
  <c r="AB563" i="28" s="1"/>
  <c r="V563" i="28"/>
  <c r="AC563" i="28" s="1"/>
  <c r="Q564" i="28"/>
  <c r="X564" i="28" s="1"/>
  <c r="R564" i="28"/>
  <c r="Y564" i="28" s="1"/>
  <c r="S564" i="28"/>
  <c r="Z564" i="28" s="1"/>
  <c r="T564" i="28"/>
  <c r="AA564" i="28" s="1"/>
  <c r="U564" i="28"/>
  <c r="AB564" i="28" s="1"/>
  <c r="V564" i="28"/>
  <c r="AC564" i="28" s="1"/>
  <c r="Q565" i="28"/>
  <c r="X565" i="28" s="1"/>
  <c r="R565" i="28"/>
  <c r="Y565" i="28" s="1"/>
  <c r="S565" i="28"/>
  <c r="Z565" i="28" s="1"/>
  <c r="T565" i="28"/>
  <c r="AA565" i="28" s="1"/>
  <c r="U565" i="28"/>
  <c r="AB565" i="28" s="1"/>
  <c r="V565" i="28"/>
  <c r="AC565" i="28" s="1"/>
  <c r="Q566" i="28"/>
  <c r="X566" i="28" s="1"/>
  <c r="R566" i="28"/>
  <c r="Y566" i="28" s="1"/>
  <c r="S566" i="28"/>
  <c r="Z566" i="28" s="1"/>
  <c r="T566" i="28"/>
  <c r="AA566" i="28" s="1"/>
  <c r="U566" i="28"/>
  <c r="AB566" i="28" s="1"/>
  <c r="V566" i="28"/>
  <c r="AC566" i="28" s="1"/>
  <c r="Q567" i="28"/>
  <c r="X567" i="28" s="1"/>
  <c r="R567" i="28"/>
  <c r="Y567" i="28" s="1"/>
  <c r="S567" i="28"/>
  <c r="Z567" i="28" s="1"/>
  <c r="T567" i="28"/>
  <c r="AA567" i="28" s="1"/>
  <c r="U567" i="28"/>
  <c r="AB567" i="28" s="1"/>
  <c r="V567" i="28"/>
  <c r="AC567" i="28" s="1"/>
  <c r="Q568" i="28"/>
  <c r="X568" i="28" s="1"/>
  <c r="R568" i="28"/>
  <c r="Y568" i="28" s="1"/>
  <c r="S568" i="28"/>
  <c r="Z568" i="28" s="1"/>
  <c r="T568" i="28"/>
  <c r="AA568" i="28" s="1"/>
  <c r="U568" i="28"/>
  <c r="AB568" i="28" s="1"/>
  <c r="Q569" i="28"/>
  <c r="X569" i="28" s="1"/>
  <c r="R569" i="28"/>
  <c r="Y569" i="28" s="1"/>
  <c r="S569" i="28"/>
  <c r="Z569" i="28" s="1"/>
  <c r="T569" i="28"/>
  <c r="AA569" i="28" s="1"/>
  <c r="U569" i="28"/>
  <c r="AB569" i="28" s="1"/>
  <c r="V569" i="28"/>
  <c r="AC569" i="28" s="1"/>
  <c r="Q570" i="28"/>
  <c r="X570" i="28" s="1"/>
  <c r="R570" i="28"/>
  <c r="Y570" i="28" s="1"/>
  <c r="S570" i="28"/>
  <c r="Z570" i="28" s="1"/>
  <c r="T570" i="28"/>
  <c r="AA570" i="28" s="1"/>
  <c r="U570" i="28"/>
  <c r="AB570" i="28" s="1"/>
  <c r="V570" i="28"/>
  <c r="AC570" i="28" s="1"/>
  <c r="Q571" i="28"/>
  <c r="X571" i="28" s="1"/>
  <c r="R571" i="28"/>
  <c r="Y571" i="28" s="1"/>
  <c r="S571" i="28"/>
  <c r="Z571" i="28" s="1"/>
  <c r="T571" i="28"/>
  <c r="AA571" i="28" s="1"/>
  <c r="U571" i="28"/>
  <c r="AB571" i="28" s="1"/>
  <c r="V571" i="28"/>
  <c r="AC571" i="28" s="1"/>
  <c r="Q572" i="28"/>
  <c r="X572" i="28" s="1"/>
  <c r="R572" i="28"/>
  <c r="Y572" i="28" s="1"/>
  <c r="S572" i="28"/>
  <c r="Z572" i="28" s="1"/>
  <c r="T572" i="28"/>
  <c r="AA572" i="28" s="1"/>
  <c r="U572" i="28"/>
  <c r="AB572" i="28" s="1"/>
  <c r="V572" i="28"/>
  <c r="AC572" i="28" s="1"/>
  <c r="Q573" i="28"/>
  <c r="X573" i="28" s="1"/>
  <c r="R573" i="28"/>
  <c r="Y573" i="28" s="1"/>
  <c r="S573" i="28"/>
  <c r="Z573" i="28" s="1"/>
  <c r="T573" i="28"/>
  <c r="AA573" i="28" s="1"/>
  <c r="U573" i="28"/>
  <c r="AB573" i="28" s="1"/>
  <c r="V573" i="28"/>
  <c r="AC573" i="28" s="1"/>
  <c r="Q574" i="28"/>
  <c r="X574" i="28" s="1"/>
  <c r="R574" i="28"/>
  <c r="Y574" i="28" s="1"/>
  <c r="S574" i="28"/>
  <c r="Z574" i="28" s="1"/>
  <c r="T574" i="28"/>
  <c r="AA574" i="28" s="1"/>
  <c r="U574" i="28"/>
  <c r="AB574" i="28" s="1"/>
  <c r="V574" i="28"/>
  <c r="AC574" i="28" s="1"/>
  <c r="Q575" i="28"/>
  <c r="X575" i="28" s="1"/>
  <c r="R575" i="28"/>
  <c r="Y575" i="28" s="1"/>
  <c r="S575" i="28"/>
  <c r="Z575" i="28" s="1"/>
  <c r="T575" i="28"/>
  <c r="AA575" i="28" s="1"/>
  <c r="U575" i="28"/>
  <c r="AB575" i="28" s="1"/>
  <c r="V575" i="28"/>
  <c r="AC575" i="28" s="1"/>
  <c r="Q576" i="28"/>
  <c r="X576" i="28" s="1"/>
  <c r="R576" i="28"/>
  <c r="Y576" i="28" s="1"/>
  <c r="S576" i="28"/>
  <c r="Z576" i="28" s="1"/>
  <c r="T576" i="28"/>
  <c r="AA576" i="28" s="1"/>
  <c r="U576" i="28"/>
  <c r="AB576" i="28" s="1"/>
  <c r="Q577" i="28"/>
  <c r="X577" i="28" s="1"/>
  <c r="R577" i="28"/>
  <c r="Y577" i="28" s="1"/>
  <c r="S577" i="28"/>
  <c r="Z577" i="28" s="1"/>
  <c r="T577" i="28"/>
  <c r="AA577" i="28" s="1"/>
  <c r="U577" i="28"/>
  <c r="AB577" i="28" s="1"/>
  <c r="V577" i="28"/>
  <c r="AC577" i="28" s="1"/>
  <c r="Q578" i="28"/>
  <c r="X578" i="28" s="1"/>
  <c r="R578" i="28"/>
  <c r="Y578" i="28" s="1"/>
  <c r="S578" i="28"/>
  <c r="Z578" i="28" s="1"/>
  <c r="T578" i="28"/>
  <c r="AA578" i="28" s="1"/>
  <c r="U578" i="28"/>
  <c r="AB578" i="28" s="1"/>
  <c r="V578" i="28"/>
  <c r="AC578" i="28" s="1"/>
  <c r="Q579" i="28"/>
  <c r="X579" i="28" s="1"/>
  <c r="R579" i="28"/>
  <c r="Y579" i="28" s="1"/>
  <c r="S579" i="28"/>
  <c r="Z579" i="28" s="1"/>
  <c r="T579" i="28"/>
  <c r="AA579" i="28" s="1"/>
  <c r="U579" i="28"/>
  <c r="AB579" i="28" s="1"/>
  <c r="V579" i="28"/>
  <c r="AC579" i="28" s="1"/>
  <c r="Q580" i="28"/>
  <c r="X580" i="28" s="1"/>
  <c r="R580" i="28"/>
  <c r="Y580" i="28" s="1"/>
  <c r="S580" i="28"/>
  <c r="Z580" i="28" s="1"/>
  <c r="T580" i="28"/>
  <c r="AA580" i="28" s="1"/>
  <c r="U580" i="28"/>
  <c r="AB580" i="28" s="1"/>
  <c r="V580" i="28"/>
  <c r="AC580" i="28" s="1"/>
  <c r="Q581" i="28"/>
  <c r="X581" i="28" s="1"/>
  <c r="R581" i="28"/>
  <c r="Y581" i="28" s="1"/>
  <c r="S581" i="28"/>
  <c r="Z581" i="28" s="1"/>
  <c r="T581" i="28"/>
  <c r="AA581" i="28" s="1"/>
  <c r="U581" i="28"/>
  <c r="AB581" i="28" s="1"/>
  <c r="V581" i="28"/>
  <c r="AC581" i="28" s="1"/>
  <c r="Q582" i="28"/>
  <c r="X582" i="28" s="1"/>
  <c r="R582" i="28"/>
  <c r="Y582" i="28" s="1"/>
  <c r="S582" i="28"/>
  <c r="Z582" i="28" s="1"/>
  <c r="T582" i="28"/>
  <c r="AA582" i="28" s="1"/>
  <c r="U582" i="28"/>
  <c r="AB582" i="28" s="1"/>
  <c r="V582" i="28"/>
  <c r="AC582" i="28" s="1"/>
  <c r="Q583" i="28"/>
  <c r="X583" i="28" s="1"/>
  <c r="R583" i="28"/>
  <c r="Y583" i="28" s="1"/>
  <c r="S583" i="28"/>
  <c r="Z583" i="28" s="1"/>
  <c r="T583" i="28"/>
  <c r="AA583" i="28" s="1"/>
  <c r="U583" i="28"/>
  <c r="AB583" i="28" s="1"/>
  <c r="V583" i="28"/>
  <c r="AC583" i="28" s="1"/>
  <c r="Q584" i="28"/>
  <c r="X584" i="28" s="1"/>
  <c r="R584" i="28"/>
  <c r="Y584" i="28" s="1"/>
  <c r="S584" i="28"/>
  <c r="Z584" i="28" s="1"/>
  <c r="T584" i="28"/>
  <c r="AA584" i="28" s="1"/>
  <c r="U584" i="28"/>
  <c r="AB584" i="28" s="1"/>
  <c r="Q585" i="28"/>
  <c r="X585" i="28" s="1"/>
  <c r="R585" i="28"/>
  <c r="Y585" i="28" s="1"/>
  <c r="S585" i="28"/>
  <c r="Z585" i="28" s="1"/>
  <c r="T585" i="28"/>
  <c r="AA585" i="28" s="1"/>
  <c r="U585" i="28"/>
  <c r="AB585" i="28" s="1"/>
  <c r="V585" i="28"/>
  <c r="AC585" i="28" s="1"/>
  <c r="Q586" i="28"/>
  <c r="X586" i="28" s="1"/>
  <c r="R586" i="28"/>
  <c r="Y586" i="28" s="1"/>
  <c r="S586" i="28"/>
  <c r="Z586" i="28" s="1"/>
  <c r="T586" i="28"/>
  <c r="AA586" i="28" s="1"/>
  <c r="U586" i="28"/>
  <c r="AB586" i="28" s="1"/>
  <c r="V586" i="28"/>
  <c r="AC586" i="28" s="1"/>
  <c r="Q587" i="28"/>
  <c r="X587" i="28" s="1"/>
  <c r="R587" i="28"/>
  <c r="Y587" i="28" s="1"/>
  <c r="S587" i="28"/>
  <c r="Z587" i="28" s="1"/>
  <c r="T587" i="28"/>
  <c r="AA587" i="28" s="1"/>
  <c r="U587" i="28"/>
  <c r="AB587" i="28" s="1"/>
  <c r="V587" i="28"/>
  <c r="AC587" i="28" s="1"/>
  <c r="Q588" i="28"/>
  <c r="X588" i="28" s="1"/>
  <c r="R588" i="28"/>
  <c r="Y588" i="28" s="1"/>
  <c r="S588" i="28"/>
  <c r="Z588" i="28" s="1"/>
  <c r="T588" i="28"/>
  <c r="AA588" i="28" s="1"/>
  <c r="U588" i="28"/>
  <c r="AB588" i="28" s="1"/>
  <c r="V588" i="28"/>
  <c r="AC588" i="28" s="1"/>
  <c r="Q589" i="28"/>
  <c r="X589" i="28" s="1"/>
  <c r="R589" i="28"/>
  <c r="Y589" i="28" s="1"/>
  <c r="S589" i="28"/>
  <c r="Z589" i="28" s="1"/>
  <c r="T589" i="28"/>
  <c r="AA589" i="28" s="1"/>
  <c r="U589" i="28"/>
  <c r="AB589" i="28" s="1"/>
  <c r="V589" i="28"/>
  <c r="AC589" i="28" s="1"/>
  <c r="Q590" i="28"/>
  <c r="X590" i="28" s="1"/>
  <c r="R590" i="28"/>
  <c r="Y590" i="28" s="1"/>
  <c r="S590" i="28"/>
  <c r="Z590" i="28" s="1"/>
  <c r="T590" i="28"/>
  <c r="AA590" i="28" s="1"/>
  <c r="U590" i="28"/>
  <c r="AB590" i="28" s="1"/>
  <c r="V590" i="28"/>
  <c r="AC590" i="28" s="1"/>
  <c r="Q591" i="28"/>
  <c r="X591" i="28" s="1"/>
  <c r="R591" i="28"/>
  <c r="Y591" i="28" s="1"/>
  <c r="S591" i="28"/>
  <c r="Z591" i="28" s="1"/>
  <c r="T591" i="28"/>
  <c r="AA591" i="28" s="1"/>
  <c r="U591" i="28"/>
  <c r="AB591" i="28" s="1"/>
  <c r="V591" i="28"/>
  <c r="AC591" i="28" s="1"/>
  <c r="Q592" i="28"/>
  <c r="X592" i="28" s="1"/>
  <c r="R592" i="28"/>
  <c r="Y592" i="28" s="1"/>
  <c r="S592" i="28"/>
  <c r="Z592" i="28" s="1"/>
  <c r="T592" i="28"/>
  <c r="AA592" i="28" s="1"/>
  <c r="U592" i="28"/>
  <c r="AB592" i="28" s="1"/>
  <c r="Q593" i="28"/>
  <c r="X593" i="28" s="1"/>
  <c r="R593" i="28"/>
  <c r="Y593" i="28" s="1"/>
  <c r="S593" i="28"/>
  <c r="Z593" i="28" s="1"/>
  <c r="T593" i="28"/>
  <c r="AA593" i="28" s="1"/>
  <c r="U593" i="28"/>
  <c r="AB593" i="28" s="1"/>
  <c r="V593" i="28"/>
  <c r="AC593" i="28" s="1"/>
  <c r="Q594" i="28"/>
  <c r="X594" i="28" s="1"/>
  <c r="R594" i="28"/>
  <c r="Y594" i="28" s="1"/>
  <c r="S594" i="28"/>
  <c r="Z594" i="28" s="1"/>
  <c r="T594" i="28"/>
  <c r="AA594" i="28" s="1"/>
  <c r="U594" i="28"/>
  <c r="AB594" i="28" s="1"/>
  <c r="V594" i="28"/>
  <c r="AC594" i="28" s="1"/>
  <c r="Q595" i="28"/>
  <c r="X595" i="28" s="1"/>
  <c r="R595" i="28"/>
  <c r="Y595" i="28" s="1"/>
  <c r="S595" i="28"/>
  <c r="Z595" i="28" s="1"/>
  <c r="T595" i="28"/>
  <c r="AA595" i="28" s="1"/>
  <c r="U595" i="28"/>
  <c r="AB595" i="28" s="1"/>
  <c r="V595" i="28"/>
  <c r="AC595" i="28" s="1"/>
  <c r="Q596" i="28"/>
  <c r="X596" i="28" s="1"/>
  <c r="R596" i="28"/>
  <c r="Y596" i="28" s="1"/>
  <c r="S596" i="28"/>
  <c r="Z596" i="28" s="1"/>
  <c r="T596" i="28"/>
  <c r="AA596" i="28" s="1"/>
  <c r="U596" i="28"/>
  <c r="AB596" i="28" s="1"/>
  <c r="V596" i="28"/>
  <c r="AC596" i="28" s="1"/>
  <c r="Q597" i="28"/>
  <c r="X597" i="28" s="1"/>
  <c r="R597" i="28"/>
  <c r="Y597" i="28" s="1"/>
  <c r="S597" i="28"/>
  <c r="Z597" i="28" s="1"/>
  <c r="T597" i="28"/>
  <c r="AA597" i="28" s="1"/>
  <c r="U597" i="28"/>
  <c r="AB597" i="28" s="1"/>
  <c r="V597" i="28"/>
  <c r="AC597" i="28" s="1"/>
  <c r="Q598" i="28"/>
  <c r="X598" i="28" s="1"/>
  <c r="R598" i="28"/>
  <c r="Y598" i="28" s="1"/>
  <c r="S598" i="28"/>
  <c r="Z598" i="28" s="1"/>
  <c r="T598" i="28"/>
  <c r="AA598" i="28" s="1"/>
  <c r="U598" i="28"/>
  <c r="AB598" i="28" s="1"/>
  <c r="V598" i="28"/>
  <c r="AC598" i="28" s="1"/>
  <c r="Q599" i="28"/>
  <c r="X599" i="28" s="1"/>
  <c r="R599" i="28"/>
  <c r="Y599" i="28" s="1"/>
  <c r="S599" i="28"/>
  <c r="Z599" i="28" s="1"/>
  <c r="T599" i="28"/>
  <c r="AA599" i="28" s="1"/>
  <c r="U599" i="28"/>
  <c r="AB599" i="28" s="1"/>
  <c r="V599" i="28"/>
  <c r="AC599" i="28" s="1"/>
  <c r="Q600" i="28"/>
  <c r="X600" i="28" s="1"/>
  <c r="R600" i="28"/>
  <c r="Y600" i="28" s="1"/>
  <c r="S600" i="28"/>
  <c r="Z600" i="28" s="1"/>
  <c r="T600" i="28"/>
  <c r="AA600" i="28" s="1"/>
  <c r="U600" i="28"/>
  <c r="AB600" i="28" s="1"/>
  <c r="Q601" i="28"/>
  <c r="X601" i="28" s="1"/>
  <c r="R601" i="28"/>
  <c r="Y601" i="28" s="1"/>
  <c r="S601" i="28"/>
  <c r="Z601" i="28" s="1"/>
  <c r="T601" i="28"/>
  <c r="AA601" i="28" s="1"/>
  <c r="U601" i="28"/>
  <c r="AB601" i="28" s="1"/>
  <c r="V601" i="28"/>
  <c r="AC601" i="28" s="1"/>
  <c r="Q602" i="28"/>
  <c r="X602" i="28" s="1"/>
  <c r="R602" i="28"/>
  <c r="Y602" i="28" s="1"/>
  <c r="S602" i="28"/>
  <c r="Z602" i="28" s="1"/>
  <c r="T602" i="28"/>
  <c r="AA602" i="28" s="1"/>
  <c r="U602" i="28"/>
  <c r="AB602" i="28" s="1"/>
  <c r="V602" i="28"/>
  <c r="AC602" i="28" s="1"/>
  <c r="Q603" i="28"/>
  <c r="X603" i="28" s="1"/>
  <c r="R603" i="28"/>
  <c r="Y603" i="28" s="1"/>
  <c r="S603" i="28"/>
  <c r="Z603" i="28" s="1"/>
  <c r="T603" i="28"/>
  <c r="AA603" i="28" s="1"/>
  <c r="U603" i="28"/>
  <c r="AB603" i="28" s="1"/>
  <c r="V603" i="28"/>
  <c r="AC603" i="28" s="1"/>
  <c r="Q604" i="28"/>
  <c r="X604" i="28" s="1"/>
  <c r="R604" i="28"/>
  <c r="Y604" i="28" s="1"/>
  <c r="S604" i="28"/>
  <c r="Z604" i="28" s="1"/>
  <c r="T604" i="28"/>
  <c r="AA604" i="28" s="1"/>
  <c r="U604" i="28"/>
  <c r="AB604" i="28" s="1"/>
  <c r="V604" i="28"/>
  <c r="AC604" i="28" s="1"/>
  <c r="Q605" i="28"/>
  <c r="X605" i="28" s="1"/>
  <c r="R605" i="28"/>
  <c r="Y605" i="28" s="1"/>
  <c r="S605" i="28"/>
  <c r="Z605" i="28" s="1"/>
  <c r="T605" i="28"/>
  <c r="AA605" i="28" s="1"/>
  <c r="U605" i="28"/>
  <c r="AB605" i="28" s="1"/>
  <c r="V605" i="28"/>
  <c r="AC605" i="28" s="1"/>
  <c r="Q606" i="28"/>
  <c r="X606" i="28" s="1"/>
  <c r="R606" i="28"/>
  <c r="Y606" i="28" s="1"/>
  <c r="S606" i="28"/>
  <c r="Z606" i="28" s="1"/>
  <c r="T606" i="28"/>
  <c r="AA606" i="28" s="1"/>
  <c r="U606" i="28"/>
  <c r="AB606" i="28" s="1"/>
  <c r="V606" i="28"/>
  <c r="AC606" i="28" s="1"/>
  <c r="Q607" i="28"/>
  <c r="X607" i="28" s="1"/>
  <c r="R607" i="28"/>
  <c r="Y607" i="28" s="1"/>
  <c r="S607" i="28"/>
  <c r="Z607" i="28" s="1"/>
  <c r="T607" i="28"/>
  <c r="AA607" i="28" s="1"/>
  <c r="U607" i="28"/>
  <c r="AB607" i="28" s="1"/>
  <c r="V607" i="28"/>
  <c r="AC607" i="28" s="1"/>
  <c r="Q608" i="28"/>
  <c r="X608" i="28" s="1"/>
  <c r="R608" i="28"/>
  <c r="Y608" i="28" s="1"/>
  <c r="S608" i="28"/>
  <c r="Z608" i="28" s="1"/>
  <c r="T608" i="28"/>
  <c r="AA608" i="28" s="1"/>
  <c r="U608" i="28"/>
  <c r="AB608" i="28" s="1"/>
  <c r="Q609" i="28"/>
  <c r="X609" i="28" s="1"/>
  <c r="R609" i="28"/>
  <c r="Y609" i="28" s="1"/>
  <c r="S609" i="28"/>
  <c r="Z609" i="28" s="1"/>
  <c r="T609" i="28"/>
  <c r="AA609" i="28" s="1"/>
  <c r="U609" i="28"/>
  <c r="AB609" i="28" s="1"/>
  <c r="V609" i="28"/>
  <c r="AC609" i="28" s="1"/>
  <c r="Q610" i="28"/>
  <c r="X610" i="28" s="1"/>
  <c r="R610" i="28"/>
  <c r="Y610" i="28" s="1"/>
  <c r="S610" i="28"/>
  <c r="Z610" i="28" s="1"/>
  <c r="T610" i="28"/>
  <c r="AA610" i="28" s="1"/>
  <c r="U610" i="28"/>
  <c r="AB610" i="28" s="1"/>
  <c r="V610" i="28"/>
  <c r="AC610" i="28" s="1"/>
  <c r="Q611" i="28"/>
  <c r="X611" i="28" s="1"/>
  <c r="R611" i="28"/>
  <c r="Y611" i="28" s="1"/>
  <c r="S611" i="28"/>
  <c r="Z611" i="28" s="1"/>
  <c r="T611" i="28"/>
  <c r="AA611" i="28" s="1"/>
  <c r="U611" i="28"/>
  <c r="AB611" i="28" s="1"/>
  <c r="V611" i="28"/>
  <c r="AC611" i="28" s="1"/>
  <c r="Q612" i="28"/>
  <c r="X612" i="28" s="1"/>
  <c r="R612" i="28"/>
  <c r="Y612" i="28" s="1"/>
  <c r="S612" i="28"/>
  <c r="Z612" i="28" s="1"/>
  <c r="T612" i="28"/>
  <c r="AA612" i="28" s="1"/>
  <c r="U612" i="28"/>
  <c r="AB612" i="28" s="1"/>
  <c r="V612" i="28"/>
  <c r="AC612" i="28" s="1"/>
  <c r="Q613" i="28"/>
  <c r="X613" i="28" s="1"/>
  <c r="R613" i="28"/>
  <c r="Y613" i="28" s="1"/>
  <c r="S613" i="28"/>
  <c r="Z613" i="28" s="1"/>
  <c r="T613" i="28"/>
  <c r="AA613" i="28" s="1"/>
  <c r="U613" i="28"/>
  <c r="AB613" i="28" s="1"/>
  <c r="V613" i="28"/>
  <c r="AC613" i="28" s="1"/>
  <c r="Q614" i="28"/>
  <c r="X614" i="28" s="1"/>
  <c r="R614" i="28"/>
  <c r="Y614" i="28" s="1"/>
  <c r="S614" i="28"/>
  <c r="Z614" i="28" s="1"/>
  <c r="T614" i="28"/>
  <c r="AA614" i="28" s="1"/>
  <c r="U614" i="28"/>
  <c r="AB614" i="28" s="1"/>
  <c r="V614" i="28"/>
  <c r="AC614" i="28" s="1"/>
  <c r="Q615" i="28"/>
  <c r="X615" i="28" s="1"/>
  <c r="R615" i="28"/>
  <c r="Y615" i="28" s="1"/>
  <c r="S615" i="28"/>
  <c r="Z615" i="28" s="1"/>
  <c r="T615" i="28"/>
  <c r="AA615" i="28" s="1"/>
  <c r="U615" i="28"/>
  <c r="AB615" i="28" s="1"/>
  <c r="V615" i="28"/>
  <c r="AC615" i="28" s="1"/>
  <c r="Q616" i="28"/>
  <c r="X616" i="28" s="1"/>
  <c r="R616" i="28"/>
  <c r="Y616" i="28" s="1"/>
  <c r="S616" i="28"/>
  <c r="Z616" i="28" s="1"/>
  <c r="T616" i="28"/>
  <c r="AA616" i="28" s="1"/>
  <c r="U616" i="28"/>
  <c r="AB616" i="28" s="1"/>
  <c r="Q617" i="28"/>
  <c r="X617" i="28" s="1"/>
  <c r="R617" i="28"/>
  <c r="Y617" i="28" s="1"/>
  <c r="S617" i="28"/>
  <c r="Z617" i="28" s="1"/>
  <c r="T617" i="28"/>
  <c r="AA617" i="28" s="1"/>
  <c r="U617" i="28"/>
  <c r="AB617" i="28" s="1"/>
  <c r="V617" i="28"/>
  <c r="AC617" i="28" s="1"/>
  <c r="Q618" i="28"/>
  <c r="X618" i="28" s="1"/>
  <c r="R618" i="28"/>
  <c r="Y618" i="28" s="1"/>
  <c r="S618" i="28"/>
  <c r="Z618" i="28" s="1"/>
  <c r="T618" i="28"/>
  <c r="AA618" i="28" s="1"/>
  <c r="U618" i="28"/>
  <c r="AB618" i="28" s="1"/>
  <c r="V618" i="28"/>
  <c r="AC618" i="28" s="1"/>
  <c r="Q619" i="28"/>
  <c r="X619" i="28" s="1"/>
  <c r="R619" i="28"/>
  <c r="Y619" i="28" s="1"/>
  <c r="S619" i="28"/>
  <c r="Z619" i="28" s="1"/>
  <c r="T619" i="28"/>
  <c r="AA619" i="28" s="1"/>
  <c r="U619" i="28"/>
  <c r="AB619" i="28" s="1"/>
  <c r="V619" i="28"/>
  <c r="AC619" i="28" s="1"/>
  <c r="Q620" i="28"/>
  <c r="X620" i="28" s="1"/>
  <c r="R620" i="28"/>
  <c r="Y620" i="28" s="1"/>
  <c r="S620" i="28"/>
  <c r="Z620" i="28" s="1"/>
  <c r="T620" i="28"/>
  <c r="AA620" i="28" s="1"/>
  <c r="U620" i="28"/>
  <c r="AB620" i="28" s="1"/>
  <c r="V620" i="28"/>
  <c r="AC620" i="28" s="1"/>
  <c r="Q621" i="28"/>
  <c r="X621" i="28" s="1"/>
  <c r="R621" i="28"/>
  <c r="Y621" i="28" s="1"/>
  <c r="S621" i="28"/>
  <c r="Z621" i="28" s="1"/>
  <c r="T621" i="28"/>
  <c r="AA621" i="28" s="1"/>
  <c r="U621" i="28"/>
  <c r="AB621" i="28" s="1"/>
  <c r="V621" i="28"/>
  <c r="AC621" i="28" s="1"/>
  <c r="Q622" i="28"/>
  <c r="X622" i="28" s="1"/>
  <c r="R622" i="28"/>
  <c r="Y622" i="28" s="1"/>
  <c r="S622" i="28"/>
  <c r="Z622" i="28" s="1"/>
  <c r="T622" i="28"/>
  <c r="AA622" i="28" s="1"/>
  <c r="U622" i="28"/>
  <c r="AB622" i="28" s="1"/>
  <c r="V622" i="28"/>
  <c r="AC622" i="28" s="1"/>
  <c r="Q623" i="28"/>
  <c r="X623" i="28" s="1"/>
  <c r="R623" i="28"/>
  <c r="Y623" i="28" s="1"/>
  <c r="S623" i="28"/>
  <c r="Z623" i="28" s="1"/>
  <c r="T623" i="28"/>
  <c r="AA623" i="28" s="1"/>
  <c r="U623" i="28"/>
  <c r="AB623" i="28" s="1"/>
  <c r="V623" i="28"/>
  <c r="AC623" i="28" s="1"/>
  <c r="Q624" i="28"/>
  <c r="X624" i="28" s="1"/>
  <c r="R624" i="28"/>
  <c r="Y624" i="28" s="1"/>
  <c r="S624" i="28"/>
  <c r="Z624" i="28" s="1"/>
  <c r="T624" i="28"/>
  <c r="AA624" i="28" s="1"/>
  <c r="U624" i="28"/>
  <c r="AB624" i="28" s="1"/>
  <c r="Q625" i="28"/>
  <c r="X625" i="28" s="1"/>
  <c r="R625" i="28"/>
  <c r="Y625" i="28" s="1"/>
  <c r="S625" i="28"/>
  <c r="Z625" i="28" s="1"/>
  <c r="T625" i="28"/>
  <c r="AA625" i="28" s="1"/>
  <c r="U625" i="28"/>
  <c r="AB625" i="28" s="1"/>
  <c r="V625" i="28"/>
  <c r="AC625" i="28" s="1"/>
  <c r="Q626" i="28"/>
  <c r="X626" i="28" s="1"/>
  <c r="R626" i="28"/>
  <c r="Y626" i="28" s="1"/>
  <c r="S626" i="28"/>
  <c r="Z626" i="28" s="1"/>
  <c r="T626" i="28"/>
  <c r="AA626" i="28" s="1"/>
  <c r="U626" i="28"/>
  <c r="AB626" i="28" s="1"/>
  <c r="V626" i="28"/>
  <c r="AC626" i="28" s="1"/>
  <c r="Q627" i="28"/>
  <c r="X627" i="28" s="1"/>
  <c r="R627" i="28"/>
  <c r="Y627" i="28" s="1"/>
  <c r="S627" i="28"/>
  <c r="Z627" i="28" s="1"/>
  <c r="T627" i="28"/>
  <c r="AA627" i="28" s="1"/>
  <c r="U627" i="28"/>
  <c r="AB627" i="28" s="1"/>
  <c r="V627" i="28"/>
  <c r="AC627" i="28" s="1"/>
  <c r="Q628" i="28"/>
  <c r="X628" i="28" s="1"/>
  <c r="R628" i="28"/>
  <c r="Y628" i="28" s="1"/>
  <c r="S628" i="28"/>
  <c r="Z628" i="28" s="1"/>
  <c r="T628" i="28"/>
  <c r="AA628" i="28" s="1"/>
  <c r="U628" i="28"/>
  <c r="AB628" i="28" s="1"/>
  <c r="V628" i="28"/>
  <c r="AC628" i="28" s="1"/>
  <c r="Q629" i="28"/>
  <c r="X629" i="28" s="1"/>
  <c r="R629" i="28"/>
  <c r="Y629" i="28" s="1"/>
  <c r="S629" i="28"/>
  <c r="Z629" i="28" s="1"/>
  <c r="T629" i="28"/>
  <c r="AA629" i="28" s="1"/>
  <c r="U629" i="28"/>
  <c r="AB629" i="28" s="1"/>
  <c r="V629" i="28"/>
  <c r="AC629" i="28" s="1"/>
  <c r="Q630" i="28"/>
  <c r="X630" i="28" s="1"/>
  <c r="R630" i="28"/>
  <c r="Y630" i="28" s="1"/>
  <c r="S630" i="28"/>
  <c r="Z630" i="28" s="1"/>
  <c r="T630" i="28"/>
  <c r="AA630" i="28" s="1"/>
  <c r="U630" i="28"/>
  <c r="AB630" i="28" s="1"/>
  <c r="V630" i="28"/>
  <c r="AC630" i="28" s="1"/>
  <c r="Q631" i="28"/>
  <c r="X631" i="28" s="1"/>
  <c r="R631" i="28"/>
  <c r="Y631" i="28" s="1"/>
  <c r="S631" i="28"/>
  <c r="Z631" i="28" s="1"/>
  <c r="T631" i="28"/>
  <c r="AA631" i="28" s="1"/>
  <c r="U631" i="28"/>
  <c r="AB631" i="28" s="1"/>
  <c r="V631" i="28"/>
  <c r="AC631" i="28" s="1"/>
  <c r="Q632" i="28"/>
  <c r="X632" i="28" s="1"/>
  <c r="R632" i="28"/>
  <c r="Y632" i="28" s="1"/>
  <c r="S632" i="28"/>
  <c r="Z632" i="28" s="1"/>
  <c r="T632" i="28"/>
  <c r="AA632" i="28" s="1"/>
  <c r="U632" i="28"/>
  <c r="AB632" i="28" s="1"/>
  <c r="Q633" i="28"/>
  <c r="X633" i="28" s="1"/>
  <c r="R633" i="28"/>
  <c r="Y633" i="28" s="1"/>
  <c r="S633" i="28"/>
  <c r="Z633" i="28" s="1"/>
  <c r="T633" i="28"/>
  <c r="AA633" i="28" s="1"/>
  <c r="U633" i="28"/>
  <c r="AB633" i="28" s="1"/>
  <c r="V633" i="28"/>
  <c r="AC633" i="28" s="1"/>
  <c r="Q634" i="28"/>
  <c r="X634" i="28" s="1"/>
  <c r="R634" i="28"/>
  <c r="Y634" i="28" s="1"/>
  <c r="S634" i="28"/>
  <c r="Z634" i="28" s="1"/>
  <c r="T634" i="28"/>
  <c r="AA634" i="28" s="1"/>
  <c r="U634" i="28"/>
  <c r="AB634" i="28" s="1"/>
  <c r="V634" i="28"/>
  <c r="AC634" i="28" s="1"/>
  <c r="Q635" i="28"/>
  <c r="X635" i="28" s="1"/>
  <c r="R635" i="28"/>
  <c r="Y635" i="28" s="1"/>
  <c r="S635" i="28"/>
  <c r="Z635" i="28" s="1"/>
  <c r="T635" i="28"/>
  <c r="AA635" i="28" s="1"/>
  <c r="U635" i="28"/>
  <c r="AB635" i="28" s="1"/>
  <c r="V635" i="28"/>
  <c r="AC635" i="28" s="1"/>
  <c r="Q636" i="28"/>
  <c r="X636" i="28" s="1"/>
  <c r="R636" i="28"/>
  <c r="Y636" i="28" s="1"/>
  <c r="S636" i="28"/>
  <c r="Z636" i="28" s="1"/>
  <c r="T636" i="28"/>
  <c r="AA636" i="28" s="1"/>
  <c r="U636" i="28"/>
  <c r="AB636" i="28" s="1"/>
  <c r="V636" i="28"/>
  <c r="AC636" i="28" s="1"/>
  <c r="Q637" i="28"/>
  <c r="X637" i="28" s="1"/>
  <c r="R637" i="28"/>
  <c r="Y637" i="28" s="1"/>
  <c r="S637" i="28"/>
  <c r="Z637" i="28" s="1"/>
  <c r="T637" i="28"/>
  <c r="AA637" i="28" s="1"/>
  <c r="U637" i="28"/>
  <c r="AB637" i="28" s="1"/>
  <c r="V637" i="28"/>
  <c r="AC637" i="28" s="1"/>
  <c r="Q638" i="28"/>
  <c r="X638" i="28" s="1"/>
  <c r="R638" i="28"/>
  <c r="Y638" i="28" s="1"/>
  <c r="S638" i="28"/>
  <c r="Z638" i="28" s="1"/>
  <c r="T638" i="28"/>
  <c r="AA638" i="28" s="1"/>
  <c r="U638" i="28"/>
  <c r="AB638" i="28" s="1"/>
  <c r="V638" i="28"/>
  <c r="AC638" i="28" s="1"/>
  <c r="Q639" i="28"/>
  <c r="X639" i="28" s="1"/>
  <c r="R639" i="28"/>
  <c r="Y639" i="28" s="1"/>
  <c r="S639" i="28"/>
  <c r="Z639" i="28" s="1"/>
  <c r="T639" i="28"/>
  <c r="AA639" i="28" s="1"/>
  <c r="U639" i="28"/>
  <c r="AB639" i="28" s="1"/>
  <c r="V639" i="28"/>
  <c r="AC639" i="28" s="1"/>
  <c r="Q640" i="28"/>
  <c r="X640" i="28" s="1"/>
  <c r="R640" i="28"/>
  <c r="Y640" i="28" s="1"/>
  <c r="S640" i="28"/>
  <c r="Z640" i="28" s="1"/>
  <c r="T640" i="28"/>
  <c r="AA640" i="28" s="1"/>
  <c r="U640" i="28"/>
  <c r="AB640" i="28" s="1"/>
  <c r="Q641" i="28"/>
  <c r="X641" i="28" s="1"/>
  <c r="R641" i="28"/>
  <c r="Y641" i="28" s="1"/>
  <c r="S641" i="28"/>
  <c r="Z641" i="28" s="1"/>
  <c r="T641" i="28"/>
  <c r="AA641" i="28" s="1"/>
  <c r="U641" i="28"/>
  <c r="AB641" i="28" s="1"/>
  <c r="V641" i="28"/>
  <c r="AC641" i="28" s="1"/>
  <c r="Q642" i="28"/>
  <c r="X642" i="28" s="1"/>
  <c r="R642" i="28"/>
  <c r="Y642" i="28" s="1"/>
  <c r="S642" i="28"/>
  <c r="Z642" i="28" s="1"/>
  <c r="T642" i="28"/>
  <c r="AA642" i="28" s="1"/>
  <c r="U642" i="28"/>
  <c r="AB642" i="28" s="1"/>
  <c r="V642" i="28"/>
  <c r="AC642" i="28" s="1"/>
  <c r="Q643" i="28"/>
  <c r="X643" i="28" s="1"/>
  <c r="R643" i="28"/>
  <c r="Y643" i="28" s="1"/>
  <c r="S643" i="28"/>
  <c r="Z643" i="28" s="1"/>
  <c r="T643" i="28"/>
  <c r="AA643" i="28" s="1"/>
  <c r="U643" i="28"/>
  <c r="AB643" i="28" s="1"/>
  <c r="V643" i="28"/>
  <c r="AC643" i="28" s="1"/>
  <c r="Q644" i="28"/>
  <c r="X644" i="28" s="1"/>
  <c r="R644" i="28"/>
  <c r="Y644" i="28" s="1"/>
  <c r="S644" i="28"/>
  <c r="Z644" i="28" s="1"/>
  <c r="T644" i="28"/>
  <c r="AA644" i="28" s="1"/>
  <c r="U644" i="28"/>
  <c r="AB644" i="28" s="1"/>
  <c r="V644" i="28"/>
  <c r="AC644" i="28" s="1"/>
  <c r="Q645" i="28"/>
  <c r="X645" i="28" s="1"/>
  <c r="R645" i="28"/>
  <c r="Y645" i="28" s="1"/>
  <c r="S645" i="28"/>
  <c r="Z645" i="28" s="1"/>
  <c r="T645" i="28"/>
  <c r="AA645" i="28" s="1"/>
  <c r="U645" i="28"/>
  <c r="AB645" i="28" s="1"/>
  <c r="V645" i="28"/>
  <c r="AC645" i="28" s="1"/>
  <c r="Q646" i="28"/>
  <c r="X646" i="28" s="1"/>
  <c r="R646" i="28"/>
  <c r="Y646" i="28" s="1"/>
  <c r="S646" i="28"/>
  <c r="Z646" i="28" s="1"/>
  <c r="T646" i="28"/>
  <c r="AA646" i="28" s="1"/>
  <c r="U646" i="28"/>
  <c r="AB646" i="28" s="1"/>
  <c r="V646" i="28"/>
  <c r="AC646" i="28" s="1"/>
  <c r="Q647" i="28"/>
  <c r="X647" i="28" s="1"/>
  <c r="R647" i="28"/>
  <c r="Y647" i="28" s="1"/>
  <c r="S647" i="28"/>
  <c r="Z647" i="28" s="1"/>
  <c r="T647" i="28"/>
  <c r="AA647" i="28" s="1"/>
  <c r="U647" i="28"/>
  <c r="AB647" i="28" s="1"/>
  <c r="V647" i="28"/>
  <c r="AC647" i="28" s="1"/>
  <c r="Q648" i="28"/>
  <c r="X648" i="28" s="1"/>
  <c r="R648" i="28"/>
  <c r="Y648" i="28" s="1"/>
  <c r="S648" i="28"/>
  <c r="Z648" i="28" s="1"/>
  <c r="T648" i="28"/>
  <c r="AA648" i="28" s="1"/>
  <c r="U648" i="28"/>
  <c r="AB648" i="28" s="1"/>
  <c r="Q649" i="28"/>
  <c r="X649" i="28" s="1"/>
  <c r="R649" i="28"/>
  <c r="Y649" i="28" s="1"/>
  <c r="S649" i="28"/>
  <c r="Z649" i="28" s="1"/>
  <c r="T649" i="28"/>
  <c r="AA649" i="28" s="1"/>
  <c r="U649" i="28"/>
  <c r="AB649" i="28" s="1"/>
  <c r="V649" i="28"/>
  <c r="AC649" i="28" s="1"/>
  <c r="Q650" i="28"/>
  <c r="X650" i="28" s="1"/>
  <c r="R650" i="28"/>
  <c r="Y650" i="28" s="1"/>
  <c r="S650" i="28"/>
  <c r="Z650" i="28" s="1"/>
  <c r="T650" i="28"/>
  <c r="AA650" i="28" s="1"/>
  <c r="U650" i="28"/>
  <c r="AB650" i="28" s="1"/>
  <c r="V650" i="28"/>
  <c r="AC650" i="28" s="1"/>
  <c r="Q651" i="28"/>
  <c r="X651" i="28" s="1"/>
  <c r="R651" i="28"/>
  <c r="Y651" i="28" s="1"/>
  <c r="S651" i="28"/>
  <c r="Z651" i="28" s="1"/>
  <c r="T651" i="28"/>
  <c r="AA651" i="28" s="1"/>
  <c r="U651" i="28"/>
  <c r="AB651" i="28" s="1"/>
  <c r="V651" i="28"/>
  <c r="AC651" i="28" s="1"/>
  <c r="Q652" i="28"/>
  <c r="X652" i="28" s="1"/>
  <c r="R652" i="28"/>
  <c r="Y652" i="28" s="1"/>
  <c r="S652" i="28"/>
  <c r="Z652" i="28" s="1"/>
  <c r="T652" i="28"/>
  <c r="AA652" i="28" s="1"/>
  <c r="U652" i="28"/>
  <c r="AB652" i="28" s="1"/>
  <c r="V652" i="28"/>
  <c r="AC652" i="28" s="1"/>
  <c r="Q653" i="28"/>
  <c r="X653" i="28" s="1"/>
  <c r="R653" i="28"/>
  <c r="Y653" i="28" s="1"/>
  <c r="S653" i="28"/>
  <c r="Z653" i="28" s="1"/>
  <c r="T653" i="28"/>
  <c r="AA653" i="28" s="1"/>
  <c r="U653" i="28"/>
  <c r="AB653" i="28" s="1"/>
  <c r="V653" i="28"/>
  <c r="AC653" i="28" s="1"/>
  <c r="Q654" i="28"/>
  <c r="X654" i="28" s="1"/>
  <c r="R654" i="28"/>
  <c r="Y654" i="28" s="1"/>
  <c r="S654" i="28"/>
  <c r="Z654" i="28" s="1"/>
  <c r="T654" i="28"/>
  <c r="AA654" i="28" s="1"/>
  <c r="U654" i="28"/>
  <c r="AB654" i="28" s="1"/>
  <c r="V654" i="28"/>
  <c r="AC654" i="28" s="1"/>
  <c r="Q655" i="28"/>
  <c r="X655" i="28" s="1"/>
  <c r="R655" i="28"/>
  <c r="Y655" i="28" s="1"/>
  <c r="S655" i="28"/>
  <c r="Z655" i="28" s="1"/>
  <c r="T655" i="28"/>
  <c r="AA655" i="28" s="1"/>
  <c r="U655" i="28"/>
  <c r="AB655" i="28" s="1"/>
  <c r="V655" i="28"/>
  <c r="AC655" i="28" s="1"/>
  <c r="Q656" i="28"/>
  <c r="X656" i="28" s="1"/>
  <c r="R656" i="28"/>
  <c r="Y656" i="28" s="1"/>
  <c r="S656" i="28"/>
  <c r="Z656" i="28" s="1"/>
  <c r="T656" i="28"/>
  <c r="AA656" i="28" s="1"/>
  <c r="U656" i="28"/>
  <c r="AB656" i="28" s="1"/>
  <c r="Q657" i="28"/>
  <c r="X657" i="28" s="1"/>
  <c r="R657" i="28"/>
  <c r="Y657" i="28" s="1"/>
  <c r="S657" i="28"/>
  <c r="Z657" i="28" s="1"/>
  <c r="T657" i="28"/>
  <c r="AA657" i="28" s="1"/>
  <c r="U657" i="28"/>
  <c r="AB657" i="28" s="1"/>
  <c r="V657" i="28"/>
  <c r="AC657" i="28" s="1"/>
  <c r="Q658" i="28"/>
  <c r="X658" i="28" s="1"/>
  <c r="R658" i="28"/>
  <c r="Y658" i="28" s="1"/>
  <c r="S658" i="28"/>
  <c r="Z658" i="28" s="1"/>
  <c r="T658" i="28"/>
  <c r="AA658" i="28" s="1"/>
  <c r="U658" i="28"/>
  <c r="AB658" i="28" s="1"/>
  <c r="V658" i="28"/>
  <c r="AC658" i="28" s="1"/>
  <c r="Q659" i="28"/>
  <c r="X659" i="28" s="1"/>
  <c r="R659" i="28"/>
  <c r="Y659" i="28" s="1"/>
  <c r="S659" i="28"/>
  <c r="Z659" i="28" s="1"/>
  <c r="T659" i="28"/>
  <c r="AA659" i="28" s="1"/>
  <c r="U659" i="28"/>
  <c r="AB659" i="28" s="1"/>
  <c r="V659" i="28"/>
  <c r="AC659" i="28" s="1"/>
  <c r="Q660" i="28"/>
  <c r="X660" i="28" s="1"/>
  <c r="R660" i="28"/>
  <c r="Y660" i="28" s="1"/>
  <c r="S660" i="28"/>
  <c r="Z660" i="28" s="1"/>
  <c r="T660" i="28"/>
  <c r="AA660" i="28" s="1"/>
  <c r="U660" i="28"/>
  <c r="AB660" i="28" s="1"/>
  <c r="V660" i="28"/>
  <c r="AC660" i="28" s="1"/>
  <c r="Q661" i="28"/>
  <c r="X661" i="28" s="1"/>
  <c r="R661" i="28"/>
  <c r="Y661" i="28" s="1"/>
  <c r="S661" i="28"/>
  <c r="Z661" i="28" s="1"/>
  <c r="T661" i="28"/>
  <c r="AA661" i="28" s="1"/>
  <c r="U661" i="28"/>
  <c r="AB661" i="28" s="1"/>
  <c r="V661" i="28"/>
  <c r="AC661" i="28" s="1"/>
  <c r="Q662" i="28"/>
  <c r="X662" i="28" s="1"/>
  <c r="R662" i="28"/>
  <c r="Y662" i="28" s="1"/>
  <c r="S662" i="28"/>
  <c r="Z662" i="28" s="1"/>
  <c r="T662" i="28"/>
  <c r="AA662" i="28" s="1"/>
  <c r="U662" i="28"/>
  <c r="AB662" i="28" s="1"/>
  <c r="V662" i="28"/>
  <c r="AC662" i="28" s="1"/>
  <c r="Q663" i="28"/>
  <c r="X663" i="28" s="1"/>
  <c r="R663" i="28"/>
  <c r="Y663" i="28" s="1"/>
  <c r="S663" i="28"/>
  <c r="Z663" i="28" s="1"/>
  <c r="T663" i="28"/>
  <c r="AA663" i="28" s="1"/>
  <c r="U663" i="28"/>
  <c r="AB663" i="28" s="1"/>
  <c r="V663" i="28"/>
  <c r="AC663" i="28" s="1"/>
  <c r="Q664" i="28"/>
  <c r="X664" i="28" s="1"/>
  <c r="R664" i="28"/>
  <c r="Y664" i="28" s="1"/>
  <c r="S664" i="28"/>
  <c r="Z664" i="28" s="1"/>
  <c r="T664" i="28"/>
  <c r="AA664" i="28" s="1"/>
  <c r="U664" i="28"/>
  <c r="AB664" i="28" s="1"/>
  <c r="Q665" i="28"/>
  <c r="X665" i="28" s="1"/>
  <c r="R665" i="28"/>
  <c r="Y665" i="28" s="1"/>
  <c r="S665" i="28"/>
  <c r="Z665" i="28" s="1"/>
  <c r="T665" i="28"/>
  <c r="AA665" i="28" s="1"/>
  <c r="U665" i="28"/>
  <c r="AB665" i="28" s="1"/>
  <c r="V665" i="28"/>
  <c r="AC665" i="28" s="1"/>
  <c r="Q666" i="28"/>
  <c r="X666" i="28" s="1"/>
  <c r="R666" i="28"/>
  <c r="Y666" i="28" s="1"/>
  <c r="S666" i="28"/>
  <c r="Z666" i="28" s="1"/>
  <c r="T666" i="28"/>
  <c r="AA666" i="28" s="1"/>
  <c r="U666" i="28"/>
  <c r="AB666" i="28" s="1"/>
  <c r="V666" i="28"/>
  <c r="AC666" i="28" s="1"/>
  <c r="Q667" i="28"/>
  <c r="X667" i="28" s="1"/>
  <c r="R667" i="28"/>
  <c r="Y667" i="28" s="1"/>
  <c r="S667" i="28"/>
  <c r="Z667" i="28" s="1"/>
  <c r="T667" i="28"/>
  <c r="AA667" i="28" s="1"/>
  <c r="U667" i="28"/>
  <c r="AB667" i="28" s="1"/>
  <c r="V667" i="28"/>
  <c r="AC667" i="28" s="1"/>
  <c r="Q668" i="28"/>
  <c r="X668" i="28" s="1"/>
  <c r="R668" i="28"/>
  <c r="Y668" i="28" s="1"/>
  <c r="S668" i="28"/>
  <c r="Z668" i="28" s="1"/>
  <c r="T668" i="28"/>
  <c r="AA668" i="28" s="1"/>
  <c r="U668" i="28"/>
  <c r="AB668" i="28" s="1"/>
  <c r="V668" i="28"/>
  <c r="AC668" i="28" s="1"/>
  <c r="Q669" i="28"/>
  <c r="X669" i="28" s="1"/>
  <c r="R669" i="28"/>
  <c r="Y669" i="28" s="1"/>
  <c r="S669" i="28"/>
  <c r="Z669" i="28" s="1"/>
  <c r="T669" i="28"/>
  <c r="AA669" i="28" s="1"/>
  <c r="U669" i="28"/>
  <c r="AB669" i="28" s="1"/>
  <c r="V669" i="28"/>
  <c r="AC669" i="28" s="1"/>
  <c r="Q670" i="28"/>
  <c r="X670" i="28" s="1"/>
  <c r="R670" i="28"/>
  <c r="Y670" i="28" s="1"/>
  <c r="S670" i="28"/>
  <c r="Z670" i="28" s="1"/>
  <c r="T670" i="28"/>
  <c r="AA670" i="28" s="1"/>
  <c r="U670" i="28"/>
  <c r="AB670" i="28" s="1"/>
  <c r="V670" i="28"/>
  <c r="AC670" i="28" s="1"/>
  <c r="Q671" i="28"/>
  <c r="X671" i="28" s="1"/>
  <c r="R671" i="28"/>
  <c r="Y671" i="28" s="1"/>
  <c r="S671" i="28"/>
  <c r="Z671" i="28" s="1"/>
  <c r="T671" i="28"/>
  <c r="AA671" i="28" s="1"/>
  <c r="U671" i="28"/>
  <c r="AB671" i="28" s="1"/>
  <c r="V671" i="28"/>
  <c r="AC671" i="28" s="1"/>
  <c r="Q672" i="28"/>
  <c r="X672" i="28" s="1"/>
  <c r="R672" i="28"/>
  <c r="Y672" i="28" s="1"/>
  <c r="S672" i="28"/>
  <c r="Z672" i="28" s="1"/>
  <c r="T672" i="28"/>
  <c r="AA672" i="28" s="1"/>
  <c r="U672" i="28"/>
  <c r="AB672" i="28" s="1"/>
  <c r="Q673" i="28"/>
  <c r="X673" i="28" s="1"/>
  <c r="R673" i="28"/>
  <c r="Y673" i="28" s="1"/>
  <c r="S673" i="28"/>
  <c r="Z673" i="28" s="1"/>
  <c r="T673" i="28"/>
  <c r="AA673" i="28" s="1"/>
  <c r="U673" i="28"/>
  <c r="AB673" i="28" s="1"/>
  <c r="V673" i="28"/>
  <c r="AC673" i="28" s="1"/>
  <c r="Q674" i="28"/>
  <c r="X674" i="28" s="1"/>
  <c r="R674" i="28"/>
  <c r="Y674" i="28" s="1"/>
  <c r="S674" i="28"/>
  <c r="Z674" i="28" s="1"/>
  <c r="T674" i="28"/>
  <c r="AA674" i="28" s="1"/>
  <c r="U674" i="28"/>
  <c r="AB674" i="28" s="1"/>
  <c r="V674" i="28"/>
  <c r="AC674" i="28" s="1"/>
  <c r="Q675" i="28"/>
  <c r="X675" i="28" s="1"/>
  <c r="R675" i="28"/>
  <c r="Y675" i="28" s="1"/>
  <c r="S675" i="28"/>
  <c r="Z675" i="28" s="1"/>
  <c r="T675" i="28"/>
  <c r="AA675" i="28" s="1"/>
  <c r="U675" i="28"/>
  <c r="AB675" i="28" s="1"/>
  <c r="V675" i="28"/>
  <c r="AC675" i="28" s="1"/>
  <c r="Q676" i="28"/>
  <c r="X676" i="28" s="1"/>
  <c r="R676" i="28"/>
  <c r="Y676" i="28" s="1"/>
  <c r="S676" i="28"/>
  <c r="Z676" i="28" s="1"/>
  <c r="T676" i="28"/>
  <c r="AA676" i="28" s="1"/>
  <c r="U676" i="28"/>
  <c r="AB676" i="28" s="1"/>
  <c r="V676" i="28"/>
  <c r="AC676" i="28" s="1"/>
  <c r="Q677" i="28"/>
  <c r="X677" i="28" s="1"/>
  <c r="R677" i="28"/>
  <c r="Y677" i="28" s="1"/>
  <c r="S677" i="28"/>
  <c r="Z677" i="28" s="1"/>
  <c r="T677" i="28"/>
  <c r="AA677" i="28" s="1"/>
  <c r="U677" i="28"/>
  <c r="AB677" i="28" s="1"/>
  <c r="V677" i="28"/>
  <c r="AC677" i="28" s="1"/>
  <c r="Q678" i="28"/>
  <c r="X678" i="28" s="1"/>
  <c r="R678" i="28"/>
  <c r="Y678" i="28" s="1"/>
  <c r="S678" i="28"/>
  <c r="Z678" i="28" s="1"/>
  <c r="T678" i="28"/>
  <c r="AA678" i="28" s="1"/>
  <c r="U678" i="28"/>
  <c r="AB678" i="28" s="1"/>
  <c r="V678" i="28"/>
  <c r="AC678" i="28" s="1"/>
  <c r="Q679" i="28"/>
  <c r="X679" i="28" s="1"/>
  <c r="R679" i="28"/>
  <c r="Y679" i="28" s="1"/>
  <c r="S679" i="28"/>
  <c r="Z679" i="28" s="1"/>
  <c r="T679" i="28"/>
  <c r="AA679" i="28" s="1"/>
  <c r="U679" i="28"/>
  <c r="AB679" i="28" s="1"/>
  <c r="V679" i="28"/>
  <c r="AC679" i="28" s="1"/>
  <c r="Q680" i="28"/>
  <c r="X680" i="28" s="1"/>
  <c r="R680" i="28"/>
  <c r="Y680" i="28" s="1"/>
  <c r="S680" i="28"/>
  <c r="Z680" i="28" s="1"/>
  <c r="T680" i="28"/>
  <c r="AA680" i="28" s="1"/>
  <c r="U680" i="28"/>
  <c r="AB680" i="28" s="1"/>
  <c r="Q681" i="28"/>
  <c r="X681" i="28" s="1"/>
  <c r="R681" i="28"/>
  <c r="Y681" i="28" s="1"/>
  <c r="S681" i="28"/>
  <c r="Z681" i="28" s="1"/>
  <c r="T681" i="28"/>
  <c r="AA681" i="28" s="1"/>
  <c r="U681" i="28"/>
  <c r="AB681" i="28" s="1"/>
  <c r="V681" i="28"/>
  <c r="AC681" i="28" s="1"/>
  <c r="Q682" i="28"/>
  <c r="X682" i="28" s="1"/>
  <c r="R682" i="28"/>
  <c r="Y682" i="28" s="1"/>
  <c r="S682" i="28"/>
  <c r="Z682" i="28" s="1"/>
  <c r="T682" i="28"/>
  <c r="AA682" i="28" s="1"/>
  <c r="U682" i="28"/>
  <c r="AB682" i="28" s="1"/>
  <c r="V682" i="28"/>
  <c r="AC682" i="28" s="1"/>
  <c r="Q683" i="28"/>
  <c r="X683" i="28" s="1"/>
  <c r="R683" i="28"/>
  <c r="Y683" i="28" s="1"/>
  <c r="S683" i="28"/>
  <c r="Z683" i="28" s="1"/>
  <c r="T683" i="28"/>
  <c r="AA683" i="28" s="1"/>
  <c r="U683" i="28"/>
  <c r="AB683" i="28" s="1"/>
  <c r="V683" i="28"/>
  <c r="AC683" i="28" s="1"/>
  <c r="Q684" i="28"/>
  <c r="X684" i="28" s="1"/>
  <c r="R684" i="28"/>
  <c r="Y684" i="28" s="1"/>
  <c r="S684" i="28"/>
  <c r="Z684" i="28" s="1"/>
  <c r="T684" i="28"/>
  <c r="AA684" i="28" s="1"/>
  <c r="U684" i="28"/>
  <c r="AB684" i="28" s="1"/>
  <c r="V684" i="28"/>
  <c r="AC684" i="28" s="1"/>
  <c r="Q685" i="28"/>
  <c r="X685" i="28" s="1"/>
  <c r="R685" i="28"/>
  <c r="Y685" i="28" s="1"/>
  <c r="S685" i="28"/>
  <c r="Z685" i="28" s="1"/>
  <c r="T685" i="28"/>
  <c r="AA685" i="28" s="1"/>
  <c r="U685" i="28"/>
  <c r="AB685" i="28" s="1"/>
  <c r="V685" i="28"/>
  <c r="AC685" i="28" s="1"/>
  <c r="Q686" i="28"/>
  <c r="X686" i="28" s="1"/>
  <c r="R686" i="28"/>
  <c r="Y686" i="28" s="1"/>
  <c r="S686" i="28"/>
  <c r="Z686" i="28" s="1"/>
  <c r="T686" i="28"/>
  <c r="AA686" i="28" s="1"/>
  <c r="U686" i="28"/>
  <c r="AB686" i="28" s="1"/>
  <c r="V686" i="28"/>
  <c r="AC686" i="28" s="1"/>
  <c r="Q687" i="28"/>
  <c r="X687" i="28" s="1"/>
  <c r="R687" i="28"/>
  <c r="Y687" i="28" s="1"/>
  <c r="S687" i="28"/>
  <c r="Z687" i="28" s="1"/>
  <c r="T687" i="28"/>
  <c r="AA687" i="28" s="1"/>
  <c r="U687" i="28"/>
  <c r="AB687" i="28" s="1"/>
  <c r="V687" i="28"/>
  <c r="AC687" i="28" s="1"/>
  <c r="Q688" i="28"/>
  <c r="X688" i="28" s="1"/>
  <c r="R688" i="28"/>
  <c r="Y688" i="28" s="1"/>
  <c r="S688" i="28"/>
  <c r="Z688" i="28" s="1"/>
  <c r="T688" i="28"/>
  <c r="AA688" i="28" s="1"/>
  <c r="U688" i="28"/>
  <c r="AB688" i="28" s="1"/>
  <c r="Q689" i="28"/>
  <c r="X689" i="28" s="1"/>
  <c r="R689" i="28"/>
  <c r="Y689" i="28" s="1"/>
  <c r="S689" i="28"/>
  <c r="Z689" i="28" s="1"/>
  <c r="T689" i="28"/>
  <c r="AA689" i="28" s="1"/>
  <c r="U689" i="28"/>
  <c r="AB689" i="28" s="1"/>
  <c r="V689" i="28"/>
  <c r="AC689" i="28" s="1"/>
  <c r="Q690" i="28"/>
  <c r="X690" i="28" s="1"/>
  <c r="R690" i="28"/>
  <c r="Y690" i="28" s="1"/>
  <c r="S690" i="28"/>
  <c r="Z690" i="28" s="1"/>
  <c r="T690" i="28"/>
  <c r="AA690" i="28" s="1"/>
  <c r="U690" i="28"/>
  <c r="AB690" i="28" s="1"/>
  <c r="V690" i="28"/>
  <c r="AC690" i="28" s="1"/>
  <c r="Q691" i="28"/>
  <c r="X691" i="28" s="1"/>
  <c r="R691" i="28"/>
  <c r="Y691" i="28" s="1"/>
  <c r="S691" i="28"/>
  <c r="Z691" i="28" s="1"/>
  <c r="T691" i="28"/>
  <c r="AA691" i="28" s="1"/>
  <c r="U691" i="28"/>
  <c r="AB691" i="28" s="1"/>
  <c r="V691" i="28"/>
  <c r="AC691" i="28" s="1"/>
  <c r="Q692" i="28"/>
  <c r="X692" i="28" s="1"/>
  <c r="R692" i="28"/>
  <c r="Y692" i="28" s="1"/>
  <c r="S692" i="28"/>
  <c r="Z692" i="28" s="1"/>
  <c r="T692" i="28"/>
  <c r="AA692" i="28" s="1"/>
  <c r="U692" i="28"/>
  <c r="AB692" i="28" s="1"/>
  <c r="V692" i="28"/>
  <c r="AC692" i="28" s="1"/>
  <c r="Q693" i="28"/>
  <c r="X693" i="28" s="1"/>
  <c r="R693" i="28"/>
  <c r="Y693" i="28" s="1"/>
  <c r="S693" i="28"/>
  <c r="Z693" i="28" s="1"/>
  <c r="T693" i="28"/>
  <c r="AA693" i="28" s="1"/>
  <c r="U693" i="28"/>
  <c r="AB693" i="28" s="1"/>
  <c r="V693" i="28"/>
  <c r="AC693" i="28" s="1"/>
  <c r="Q694" i="28"/>
  <c r="X694" i="28" s="1"/>
  <c r="R694" i="28"/>
  <c r="Y694" i="28" s="1"/>
  <c r="S694" i="28"/>
  <c r="Z694" i="28" s="1"/>
  <c r="T694" i="28"/>
  <c r="AA694" i="28" s="1"/>
  <c r="U694" i="28"/>
  <c r="AB694" i="28" s="1"/>
  <c r="V694" i="28"/>
  <c r="AC694" i="28" s="1"/>
  <c r="Q695" i="28"/>
  <c r="X695" i="28" s="1"/>
  <c r="R695" i="28"/>
  <c r="Y695" i="28" s="1"/>
  <c r="S695" i="28"/>
  <c r="Z695" i="28" s="1"/>
  <c r="T695" i="28"/>
  <c r="AA695" i="28" s="1"/>
  <c r="U695" i="28"/>
  <c r="AB695" i="28" s="1"/>
  <c r="V695" i="28"/>
  <c r="AC695" i="28" s="1"/>
  <c r="Q696" i="28"/>
  <c r="X696" i="28" s="1"/>
  <c r="R696" i="28"/>
  <c r="Y696" i="28" s="1"/>
  <c r="S696" i="28"/>
  <c r="Z696" i="28" s="1"/>
  <c r="T696" i="28"/>
  <c r="AA696" i="28" s="1"/>
  <c r="U696" i="28"/>
  <c r="AB696" i="28" s="1"/>
  <c r="Q697" i="28"/>
  <c r="X697" i="28" s="1"/>
  <c r="R697" i="28"/>
  <c r="Y697" i="28" s="1"/>
  <c r="S697" i="28"/>
  <c r="Z697" i="28" s="1"/>
  <c r="T697" i="28"/>
  <c r="AA697" i="28" s="1"/>
  <c r="U697" i="28"/>
  <c r="AB697" i="28" s="1"/>
  <c r="V697" i="28"/>
  <c r="AC697" i="28" s="1"/>
  <c r="Q698" i="28"/>
  <c r="X698" i="28" s="1"/>
  <c r="R698" i="28"/>
  <c r="Y698" i="28" s="1"/>
  <c r="S698" i="28"/>
  <c r="Z698" i="28" s="1"/>
  <c r="T698" i="28"/>
  <c r="AA698" i="28" s="1"/>
  <c r="U698" i="28"/>
  <c r="AB698" i="28" s="1"/>
  <c r="V698" i="28"/>
  <c r="AC698" i="28" s="1"/>
  <c r="Q699" i="28"/>
  <c r="X699" i="28" s="1"/>
  <c r="R699" i="28"/>
  <c r="Y699" i="28" s="1"/>
  <c r="S699" i="28"/>
  <c r="Z699" i="28" s="1"/>
  <c r="T699" i="28"/>
  <c r="AA699" i="28" s="1"/>
  <c r="U699" i="28"/>
  <c r="AB699" i="28" s="1"/>
  <c r="V699" i="28"/>
  <c r="AC699" i="28" s="1"/>
  <c r="Q700" i="28"/>
  <c r="X700" i="28" s="1"/>
  <c r="R700" i="28"/>
  <c r="Y700" i="28" s="1"/>
  <c r="S700" i="28"/>
  <c r="Z700" i="28" s="1"/>
  <c r="T700" i="28"/>
  <c r="AA700" i="28" s="1"/>
  <c r="U700" i="28"/>
  <c r="AB700" i="28" s="1"/>
  <c r="V700" i="28"/>
  <c r="AC700" i="28" s="1"/>
  <c r="Q701" i="28"/>
  <c r="X701" i="28" s="1"/>
  <c r="R701" i="28"/>
  <c r="Y701" i="28" s="1"/>
  <c r="S701" i="28"/>
  <c r="Z701" i="28" s="1"/>
  <c r="T701" i="28"/>
  <c r="AA701" i="28" s="1"/>
  <c r="U701" i="28"/>
  <c r="AB701" i="28" s="1"/>
  <c r="V701" i="28"/>
  <c r="AC701" i="28" s="1"/>
  <c r="Q702" i="28"/>
  <c r="X702" i="28" s="1"/>
  <c r="R702" i="28"/>
  <c r="Y702" i="28" s="1"/>
  <c r="S702" i="28"/>
  <c r="Z702" i="28" s="1"/>
  <c r="T702" i="28"/>
  <c r="AA702" i="28" s="1"/>
  <c r="U702" i="28"/>
  <c r="AB702" i="28" s="1"/>
  <c r="V702" i="28"/>
  <c r="AC702" i="28" s="1"/>
  <c r="Q703" i="28"/>
  <c r="X703" i="28" s="1"/>
  <c r="R703" i="28"/>
  <c r="Y703" i="28" s="1"/>
  <c r="S703" i="28"/>
  <c r="Z703" i="28" s="1"/>
  <c r="T703" i="28"/>
  <c r="AA703" i="28" s="1"/>
  <c r="U703" i="28"/>
  <c r="AB703" i="28" s="1"/>
  <c r="V703" i="28"/>
  <c r="AC703" i="28" s="1"/>
  <c r="Q704" i="28"/>
  <c r="X704" i="28" s="1"/>
  <c r="R704" i="28"/>
  <c r="Y704" i="28" s="1"/>
  <c r="S704" i="28"/>
  <c r="Z704" i="28" s="1"/>
  <c r="T704" i="28"/>
  <c r="AA704" i="28" s="1"/>
  <c r="U704" i="28"/>
  <c r="AB704" i="28" s="1"/>
  <c r="Q705" i="28"/>
  <c r="X705" i="28" s="1"/>
  <c r="R705" i="28"/>
  <c r="Y705" i="28" s="1"/>
  <c r="S705" i="28"/>
  <c r="Z705" i="28" s="1"/>
  <c r="T705" i="28"/>
  <c r="AA705" i="28" s="1"/>
  <c r="U705" i="28"/>
  <c r="AB705" i="28" s="1"/>
  <c r="V705" i="28"/>
  <c r="AC705" i="28" s="1"/>
  <c r="Q706" i="28"/>
  <c r="X706" i="28" s="1"/>
  <c r="R706" i="28"/>
  <c r="Y706" i="28" s="1"/>
  <c r="S706" i="28"/>
  <c r="Z706" i="28" s="1"/>
  <c r="T706" i="28"/>
  <c r="AA706" i="28" s="1"/>
  <c r="U706" i="28"/>
  <c r="AB706" i="28" s="1"/>
  <c r="V706" i="28"/>
  <c r="AC706" i="28" s="1"/>
  <c r="Q707" i="28"/>
  <c r="X707" i="28" s="1"/>
  <c r="R707" i="28"/>
  <c r="Y707" i="28" s="1"/>
  <c r="S707" i="28"/>
  <c r="Z707" i="28" s="1"/>
  <c r="T707" i="28"/>
  <c r="AA707" i="28" s="1"/>
  <c r="U707" i="28"/>
  <c r="AB707" i="28" s="1"/>
  <c r="V707" i="28"/>
  <c r="AC707" i="28" s="1"/>
  <c r="Q708" i="28"/>
  <c r="X708" i="28" s="1"/>
  <c r="R708" i="28"/>
  <c r="Y708" i="28" s="1"/>
  <c r="S708" i="28"/>
  <c r="Z708" i="28" s="1"/>
  <c r="T708" i="28"/>
  <c r="AA708" i="28" s="1"/>
  <c r="U708" i="28"/>
  <c r="AB708" i="28" s="1"/>
  <c r="V708" i="28"/>
  <c r="AC708" i="28" s="1"/>
  <c r="Q709" i="28"/>
  <c r="X709" i="28" s="1"/>
  <c r="R709" i="28"/>
  <c r="Y709" i="28" s="1"/>
  <c r="S709" i="28"/>
  <c r="Z709" i="28" s="1"/>
  <c r="T709" i="28"/>
  <c r="AA709" i="28" s="1"/>
  <c r="U709" i="28"/>
  <c r="AB709" i="28" s="1"/>
  <c r="V709" i="28"/>
  <c r="AC709" i="28" s="1"/>
  <c r="Q710" i="28"/>
  <c r="X710" i="28" s="1"/>
  <c r="R710" i="28"/>
  <c r="Y710" i="28" s="1"/>
  <c r="S710" i="28"/>
  <c r="Z710" i="28" s="1"/>
  <c r="T710" i="28"/>
  <c r="AA710" i="28" s="1"/>
  <c r="U710" i="28"/>
  <c r="AB710" i="28" s="1"/>
  <c r="V710" i="28"/>
  <c r="AC710" i="28" s="1"/>
  <c r="Q711" i="28"/>
  <c r="X711" i="28" s="1"/>
  <c r="R711" i="28"/>
  <c r="Y711" i="28" s="1"/>
  <c r="S711" i="28"/>
  <c r="Z711" i="28" s="1"/>
  <c r="T711" i="28"/>
  <c r="AA711" i="28" s="1"/>
  <c r="U711" i="28"/>
  <c r="AB711" i="28" s="1"/>
  <c r="V711" i="28"/>
  <c r="AC711" i="28" s="1"/>
  <c r="Q712" i="28"/>
  <c r="X712" i="28" s="1"/>
  <c r="R712" i="28"/>
  <c r="Y712" i="28" s="1"/>
  <c r="S712" i="28"/>
  <c r="Z712" i="28" s="1"/>
  <c r="T712" i="28"/>
  <c r="AA712" i="28" s="1"/>
  <c r="U712" i="28"/>
  <c r="AB712" i="28" s="1"/>
  <c r="Q713" i="28"/>
  <c r="X713" i="28" s="1"/>
  <c r="R713" i="28"/>
  <c r="Y713" i="28" s="1"/>
  <c r="S713" i="28"/>
  <c r="Z713" i="28" s="1"/>
  <c r="T713" i="28"/>
  <c r="AA713" i="28" s="1"/>
  <c r="U713" i="28"/>
  <c r="AB713" i="28" s="1"/>
  <c r="V713" i="28"/>
  <c r="AC713" i="28" s="1"/>
  <c r="Q714" i="28"/>
  <c r="X714" i="28" s="1"/>
  <c r="R714" i="28"/>
  <c r="Y714" i="28" s="1"/>
  <c r="S714" i="28"/>
  <c r="Z714" i="28" s="1"/>
  <c r="T714" i="28"/>
  <c r="AA714" i="28" s="1"/>
  <c r="U714" i="28"/>
  <c r="AB714" i="28" s="1"/>
  <c r="V714" i="28"/>
  <c r="AC714" i="28" s="1"/>
  <c r="Q715" i="28"/>
  <c r="X715" i="28" s="1"/>
  <c r="R715" i="28"/>
  <c r="Y715" i="28" s="1"/>
  <c r="S715" i="28"/>
  <c r="Z715" i="28" s="1"/>
  <c r="T715" i="28"/>
  <c r="AA715" i="28" s="1"/>
  <c r="U715" i="28"/>
  <c r="AB715" i="28" s="1"/>
  <c r="V715" i="28"/>
  <c r="AC715" i="28" s="1"/>
  <c r="Q716" i="28"/>
  <c r="X716" i="28" s="1"/>
  <c r="R716" i="28"/>
  <c r="Y716" i="28" s="1"/>
  <c r="S716" i="28"/>
  <c r="Z716" i="28" s="1"/>
  <c r="T716" i="28"/>
  <c r="AA716" i="28" s="1"/>
  <c r="U716" i="28"/>
  <c r="AB716" i="28" s="1"/>
  <c r="V716" i="28"/>
  <c r="AC716" i="28" s="1"/>
  <c r="Q717" i="28"/>
  <c r="X717" i="28" s="1"/>
  <c r="R717" i="28"/>
  <c r="Y717" i="28" s="1"/>
  <c r="S717" i="28"/>
  <c r="Z717" i="28" s="1"/>
  <c r="T717" i="28"/>
  <c r="AA717" i="28" s="1"/>
  <c r="U717" i="28"/>
  <c r="AB717" i="28" s="1"/>
  <c r="V717" i="28"/>
  <c r="AC717" i="28" s="1"/>
  <c r="Q718" i="28"/>
  <c r="X718" i="28" s="1"/>
  <c r="R718" i="28"/>
  <c r="Y718" i="28" s="1"/>
  <c r="S718" i="28"/>
  <c r="Z718" i="28" s="1"/>
  <c r="T718" i="28"/>
  <c r="AA718" i="28" s="1"/>
  <c r="U718" i="28"/>
  <c r="AB718" i="28" s="1"/>
  <c r="V718" i="28"/>
  <c r="AC718" i="28" s="1"/>
  <c r="Q719" i="28"/>
  <c r="X719" i="28" s="1"/>
  <c r="R719" i="28"/>
  <c r="Y719" i="28" s="1"/>
  <c r="S719" i="28"/>
  <c r="Z719" i="28" s="1"/>
  <c r="T719" i="28"/>
  <c r="AA719" i="28" s="1"/>
  <c r="U719" i="28"/>
  <c r="AB719" i="28" s="1"/>
  <c r="V719" i="28"/>
  <c r="AC719" i="28" s="1"/>
  <c r="Q720" i="28"/>
  <c r="X720" i="28" s="1"/>
  <c r="R720" i="28"/>
  <c r="Y720" i="28" s="1"/>
  <c r="S720" i="28"/>
  <c r="Z720" i="28" s="1"/>
  <c r="T720" i="28"/>
  <c r="AA720" i="28" s="1"/>
  <c r="U720" i="28"/>
  <c r="AB720" i="28" s="1"/>
  <c r="Q721" i="28"/>
  <c r="X721" i="28" s="1"/>
  <c r="R721" i="28"/>
  <c r="Y721" i="28" s="1"/>
  <c r="S721" i="28"/>
  <c r="Z721" i="28" s="1"/>
  <c r="T721" i="28"/>
  <c r="AA721" i="28" s="1"/>
  <c r="U721" i="28"/>
  <c r="AB721" i="28" s="1"/>
  <c r="V721" i="28"/>
  <c r="AC721" i="28" s="1"/>
  <c r="Q722" i="28"/>
  <c r="X722" i="28" s="1"/>
  <c r="R722" i="28"/>
  <c r="Y722" i="28" s="1"/>
  <c r="S722" i="28"/>
  <c r="Z722" i="28" s="1"/>
  <c r="T722" i="28"/>
  <c r="AA722" i="28" s="1"/>
  <c r="U722" i="28"/>
  <c r="AB722" i="28" s="1"/>
  <c r="V722" i="28"/>
  <c r="AC722" i="28" s="1"/>
  <c r="Q723" i="28"/>
  <c r="X723" i="28" s="1"/>
  <c r="R723" i="28"/>
  <c r="Y723" i="28" s="1"/>
  <c r="S723" i="28"/>
  <c r="Z723" i="28" s="1"/>
  <c r="T723" i="28"/>
  <c r="AA723" i="28" s="1"/>
  <c r="U723" i="28"/>
  <c r="AB723" i="28" s="1"/>
  <c r="V723" i="28"/>
  <c r="AC723" i="28" s="1"/>
  <c r="Q724" i="28"/>
  <c r="X724" i="28" s="1"/>
  <c r="R724" i="28"/>
  <c r="Y724" i="28" s="1"/>
  <c r="S724" i="28"/>
  <c r="Z724" i="28" s="1"/>
  <c r="T724" i="28"/>
  <c r="AA724" i="28" s="1"/>
  <c r="U724" i="28"/>
  <c r="AB724" i="28" s="1"/>
  <c r="V724" i="28"/>
  <c r="AC724" i="28" s="1"/>
  <c r="Q725" i="28"/>
  <c r="X725" i="28" s="1"/>
  <c r="R725" i="28"/>
  <c r="Y725" i="28" s="1"/>
  <c r="S725" i="28"/>
  <c r="Z725" i="28" s="1"/>
  <c r="T725" i="28"/>
  <c r="AA725" i="28" s="1"/>
  <c r="U725" i="28"/>
  <c r="AB725" i="28" s="1"/>
  <c r="V725" i="28"/>
  <c r="AC725" i="28" s="1"/>
  <c r="Q726" i="28"/>
  <c r="X726" i="28" s="1"/>
  <c r="R726" i="28"/>
  <c r="Y726" i="28" s="1"/>
  <c r="S726" i="28"/>
  <c r="Z726" i="28" s="1"/>
  <c r="T726" i="28"/>
  <c r="AA726" i="28" s="1"/>
  <c r="U726" i="28"/>
  <c r="AB726" i="28" s="1"/>
  <c r="V726" i="28"/>
  <c r="AC726" i="28" s="1"/>
  <c r="Q727" i="28"/>
  <c r="X727" i="28" s="1"/>
  <c r="R727" i="28"/>
  <c r="Y727" i="28" s="1"/>
  <c r="S727" i="28"/>
  <c r="Z727" i="28" s="1"/>
  <c r="T727" i="28"/>
  <c r="AA727" i="28" s="1"/>
  <c r="U727" i="28"/>
  <c r="AB727" i="28" s="1"/>
  <c r="V727" i="28"/>
  <c r="AC727" i="28" s="1"/>
  <c r="Q728" i="28"/>
  <c r="X728" i="28" s="1"/>
  <c r="R728" i="28"/>
  <c r="Y728" i="28" s="1"/>
  <c r="S728" i="28"/>
  <c r="Z728" i="28" s="1"/>
  <c r="T728" i="28"/>
  <c r="AA728" i="28" s="1"/>
  <c r="U728" i="28"/>
  <c r="AB728" i="28" s="1"/>
  <c r="Q729" i="28"/>
  <c r="X729" i="28" s="1"/>
  <c r="R729" i="28"/>
  <c r="Y729" i="28" s="1"/>
  <c r="S729" i="28"/>
  <c r="Z729" i="28" s="1"/>
  <c r="T729" i="28"/>
  <c r="AA729" i="28" s="1"/>
  <c r="U729" i="28"/>
  <c r="AB729" i="28" s="1"/>
  <c r="V729" i="28"/>
  <c r="AC729" i="28" s="1"/>
  <c r="Q730" i="28"/>
  <c r="X730" i="28" s="1"/>
  <c r="R730" i="28"/>
  <c r="Y730" i="28" s="1"/>
  <c r="S730" i="28"/>
  <c r="Z730" i="28" s="1"/>
  <c r="T730" i="28"/>
  <c r="AA730" i="28" s="1"/>
  <c r="U730" i="28"/>
  <c r="AB730" i="28" s="1"/>
  <c r="V730" i="28"/>
  <c r="AC730" i="28" s="1"/>
  <c r="Q731" i="28"/>
  <c r="X731" i="28" s="1"/>
  <c r="R731" i="28"/>
  <c r="Y731" i="28" s="1"/>
  <c r="S731" i="28"/>
  <c r="Z731" i="28" s="1"/>
  <c r="T731" i="28"/>
  <c r="AA731" i="28" s="1"/>
  <c r="U731" i="28"/>
  <c r="AB731" i="28" s="1"/>
  <c r="V731" i="28"/>
  <c r="AC731" i="28" s="1"/>
  <c r="Q732" i="28"/>
  <c r="X732" i="28" s="1"/>
  <c r="R732" i="28"/>
  <c r="Y732" i="28" s="1"/>
  <c r="S732" i="28"/>
  <c r="Z732" i="28" s="1"/>
  <c r="T732" i="28"/>
  <c r="AA732" i="28" s="1"/>
  <c r="U732" i="28"/>
  <c r="AB732" i="28" s="1"/>
  <c r="V732" i="28"/>
  <c r="AC732" i="28" s="1"/>
  <c r="Q733" i="28"/>
  <c r="X733" i="28" s="1"/>
  <c r="R733" i="28"/>
  <c r="Y733" i="28" s="1"/>
  <c r="S733" i="28"/>
  <c r="Z733" i="28" s="1"/>
  <c r="T733" i="28"/>
  <c r="AA733" i="28" s="1"/>
  <c r="U733" i="28"/>
  <c r="AB733" i="28" s="1"/>
  <c r="V733" i="28"/>
  <c r="AC733" i="28" s="1"/>
  <c r="Q734" i="28"/>
  <c r="X734" i="28" s="1"/>
  <c r="R734" i="28"/>
  <c r="Y734" i="28" s="1"/>
  <c r="S734" i="28"/>
  <c r="Z734" i="28" s="1"/>
  <c r="T734" i="28"/>
  <c r="AA734" i="28" s="1"/>
  <c r="U734" i="28"/>
  <c r="AB734" i="28" s="1"/>
  <c r="V734" i="28"/>
  <c r="AC734" i="28" s="1"/>
  <c r="Q735" i="28"/>
  <c r="X735" i="28" s="1"/>
  <c r="R735" i="28"/>
  <c r="Y735" i="28" s="1"/>
  <c r="S735" i="28"/>
  <c r="Z735" i="28" s="1"/>
  <c r="T735" i="28"/>
  <c r="AA735" i="28" s="1"/>
  <c r="U735" i="28"/>
  <c r="AB735" i="28" s="1"/>
  <c r="V735" i="28"/>
  <c r="AC735" i="28" s="1"/>
  <c r="Q736" i="28"/>
  <c r="X736" i="28" s="1"/>
  <c r="R736" i="28"/>
  <c r="Y736" i="28" s="1"/>
  <c r="S736" i="28"/>
  <c r="Z736" i="28" s="1"/>
  <c r="T736" i="28"/>
  <c r="AA736" i="28" s="1"/>
  <c r="U736" i="28"/>
  <c r="AB736" i="28" s="1"/>
  <c r="Q737" i="28"/>
  <c r="X737" i="28" s="1"/>
  <c r="R737" i="28"/>
  <c r="Y737" i="28" s="1"/>
  <c r="S737" i="28"/>
  <c r="Z737" i="28" s="1"/>
  <c r="T737" i="28"/>
  <c r="AA737" i="28" s="1"/>
  <c r="U737" i="28"/>
  <c r="AB737" i="28" s="1"/>
  <c r="V737" i="28"/>
  <c r="AC737" i="28" s="1"/>
  <c r="Q738" i="28"/>
  <c r="X738" i="28" s="1"/>
  <c r="R738" i="28"/>
  <c r="Y738" i="28" s="1"/>
  <c r="S738" i="28"/>
  <c r="Z738" i="28" s="1"/>
  <c r="T738" i="28"/>
  <c r="AA738" i="28" s="1"/>
  <c r="U738" i="28"/>
  <c r="AB738" i="28" s="1"/>
  <c r="V738" i="28"/>
  <c r="AC738" i="28" s="1"/>
  <c r="Q739" i="28"/>
  <c r="X739" i="28" s="1"/>
  <c r="R739" i="28"/>
  <c r="Y739" i="28" s="1"/>
  <c r="S739" i="28"/>
  <c r="Z739" i="28" s="1"/>
  <c r="T739" i="28"/>
  <c r="AA739" i="28" s="1"/>
  <c r="U739" i="28"/>
  <c r="AB739" i="28" s="1"/>
  <c r="V739" i="28"/>
  <c r="AC739" i="28" s="1"/>
  <c r="Q740" i="28"/>
  <c r="X740" i="28" s="1"/>
  <c r="R740" i="28"/>
  <c r="Y740" i="28" s="1"/>
  <c r="S740" i="28"/>
  <c r="Z740" i="28" s="1"/>
  <c r="T740" i="28"/>
  <c r="AA740" i="28" s="1"/>
  <c r="U740" i="28"/>
  <c r="AB740" i="28" s="1"/>
  <c r="V740" i="28"/>
  <c r="AC740" i="28" s="1"/>
  <c r="Q741" i="28"/>
  <c r="X741" i="28" s="1"/>
  <c r="R741" i="28"/>
  <c r="Y741" i="28" s="1"/>
  <c r="S741" i="28"/>
  <c r="Z741" i="28" s="1"/>
  <c r="T741" i="28"/>
  <c r="AA741" i="28" s="1"/>
  <c r="U741" i="28"/>
  <c r="AB741" i="28" s="1"/>
  <c r="V741" i="28"/>
  <c r="AC741" i="28" s="1"/>
  <c r="Q742" i="28"/>
  <c r="X742" i="28" s="1"/>
  <c r="R742" i="28"/>
  <c r="Y742" i="28" s="1"/>
  <c r="S742" i="28"/>
  <c r="Z742" i="28" s="1"/>
  <c r="T742" i="28"/>
  <c r="AA742" i="28" s="1"/>
  <c r="U742" i="28"/>
  <c r="AB742" i="28" s="1"/>
  <c r="V742" i="28"/>
  <c r="AC742" i="28" s="1"/>
  <c r="Q743" i="28"/>
  <c r="X743" i="28" s="1"/>
  <c r="R743" i="28"/>
  <c r="Y743" i="28" s="1"/>
  <c r="S743" i="28"/>
  <c r="Z743" i="28" s="1"/>
  <c r="T743" i="28"/>
  <c r="AA743" i="28" s="1"/>
  <c r="U743" i="28"/>
  <c r="AB743" i="28" s="1"/>
  <c r="V743" i="28"/>
  <c r="AC743" i="28" s="1"/>
  <c r="Q744" i="28"/>
  <c r="X744" i="28" s="1"/>
  <c r="R744" i="28"/>
  <c r="Y744" i="28" s="1"/>
  <c r="S744" i="28"/>
  <c r="Z744" i="28" s="1"/>
  <c r="T744" i="28"/>
  <c r="AA744" i="28" s="1"/>
  <c r="U744" i="28"/>
  <c r="AB744" i="28" s="1"/>
  <c r="Q745" i="28"/>
  <c r="X745" i="28" s="1"/>
  <c r="R745" i="28"/>
  <c r="Y745" i="28" s="1"/>
  <c r="S745" i="28"/>
  <c r="Z745" i="28" s="1"/>
  <c r="T745" i="28"/>
  <c r="AA745" i="28" s="1"/>
  <c r="U745" i="28"/>
  <c r="AB745" i="28" s="1"/>
  <c r="V745" i="28"/>
  <c r="AC745" i="28" s="1"/>
  <c r="Q746" i="28"/>
  <c r="X746" i="28" s="1"/>
  <c r="R746" i="28"/>
  <c r="Y746" i="28" s="1"/>
  <c r="S746" i="28"/>
  <c r="Z746" i="28" s="1"/>
  <c r="T746" i="28"/>
  <c r="AA746" i="28" s="1"/>
  <c r="U746" i="28"/>
  <c r="AB746" i="28" s="1"/>
  <c r="V746" i="28"/>
  <c r="AC746" i="28" s="1"/>
  <c r="Q747" i="28"/>
  <c r="X747" i="28" s="1"/>
  <c r="R747" i="28"/>
  <c r="Y747" i="28" s="1"/>
  <c r="S747" i="28"/>
  <c r="Z747" i="28" s="1"/>
  <c r="T747" i="28"/>
  <c r="AA747" i="28" s="1"/>
  <c r="U747" i="28"/>
  <c r="AB747" i="28" s="1"/>
  <c r="V747" i="28"/>
  <c r="AC747" i="28" s="1"/>
  <c r="Q748" i="28"/>
  <c r="X748" i="28" s="1"/>
  <c r="R748" i="28"/>
  <c r="Y748" i="28" s="1"/>
  <c r="S748" i="28"/>
  <c r="Z748" i="28" s="1"/>
  <c r="T748" i="28"/>
  <c r="AA748" i="28" s="1"/>
  <c r="U748" i="28"/>
  <c r="AB748" i="28" s="1"/>
  <c r="V748" i="28"/>
  <c r="AC748" i="28" s="1"/>
  <c r="Q749" i="28"/>
  <c r="X749" i="28" s="1"/>
  <c r="R749" i="28"/>
  <c r="Y749" i="28" s="1"/>
  <c r="S749" i="28"/>
  <c r="Z749" i="28" s="1"/>
  <c r="T749" i="28"/>
  <c r="AA749" i="28" s="1"/>
  <c r="U749" i="28"/>
  <c r="AB749" i="28" s="1"/>
  <c r="V749" i="28"/>
  <c r="AC749" i="28" s="1"/>
  <c r="Q750" i="28"/>
  <c r="X750" i="28" s="1"/>
  <c r="R750" i="28"/>
  <c r="Y750" i="28" s="1"/>
  <c r="S750" i="28"/>
  <c r="Z750" i="28" s="1"/>
  <c r="T750" i="28"/>
  <c r="AA750" i="28" s="1"/>
  <c r="U750" i="28"/>
  <c r="AB750" i="28" s="1"/>
  <c r="V750" i="28"/>
  <c r="AC750" i="28" s="1"/>
  <c r="Q751" i="28"/>
  <c r="X751" i="28" s="1"/>
  <c r="R751" i="28"/>
  <c r="Y751" i="28" s="1"/>
  <c r="S751" i="28"/>
  <c r="Z751" i="28" s="1"/>
  <c r="T751" i="28"/>
  <c r="AA751" i="28" s="1"/>
  <c r="U751" i="28"/>
  <c r="AB751" i="28" s="1"/>
  <c r="V751" i="28"/>
  <c r="AC751" i="28" s="1"/>
  <c r="Q752" i="28"/>
  <c r="X752" i="28" s="1"/>
  <c r="R752" i="28"/>
  <c r="Y752" i="28" s="1"/>
  <c r="S752" i="28"/>
  <c r="Z752" i="28" s="1"/>
  <c r="T752" i="28"/>
  <c r="AA752" i="28" s="1"/>
  <c r="U752" i="28"/>
  <c r="AB752" i="28" s="1"/>
  <c r="Q753" i="28"/>
  <c r="X753" i="28" s="1"/>
  <c r="R753" i="28"/>
  <c r="Y753" i="28" s="1"/>
  <c r="S753" i="28"/>
  <c r="Z753" i="28" s="1"/>
  <c r="T753" i="28"/>
  <c r="AA753" i="28" s="1"/>
  <c r="U753" i="28"/>
  <c r="AB753" i="28" s="1"/>
  <c r="V753" i="28"/>
  <c r="AC753" i="28" s="1"/>
  <c r="Q754" i="28"/>
  <c r="X754" i="28" s="1"/>
  <c r="R754" i="28"/>
  <c r="Y754" i="28" s="1"/>
  <c r="S754" i="28"/>
  <c r="Z754" i="28" s="1"/>
  <c r="T754" i="28"/>
  <c r="AA754" i="28" s="1"/>
  <c r="U754" i="28"/>
  <c r="AB754" i="28" s="1"/>
  <c r="V754" i="28"/>
  <c r="AC754" i="28" s="1"/>
  <c r="Q755" i="28"/>
  <c r="X755" i="28" s="1"/>
  <c r="R755" i="28"/>
  <c r="Y755" i="28" s="1"/>
  <c r="S755" i="28"/>
  <c r="Z755" i="28" s="1"/>
  <c r="T755" i="28"/>
  <c r="AA755" i="28" s="1"/>
  <c r="U755" i="28"/>
  <c r="AB755" i="28" s="1"/>
  <c r="V755" i="28"/>
  <c r="AC755" i="28" s="1"/>
  <c r="Q756" i="28"/>
  <c r="X756" i="28" s="1"/>
  <c r="R756" i="28"/>
  <c r="Y756" i="28" s="1"/>
  <c r="S756" i="28"/>
  <c r="Z756" i="28" s="1"/>
  <c r="T756" i="28"/>
  <c r="AA756" i="28" s="1"/>
  <c r="U756" i="28"/>
  <c r="AB756" i="28" s="1"/>
  <c r="V756" i="28"/>
  <c r="AC756" i="28" s="1"/>
  <c r="Q757" i="28"/>
  <c r="X757" i="28" s="1"/>
  <c r="R757" i="28"/>
  <c r="Y757" i="28" s="1"/>
  <c r="S757" i="28"/>
  <c r="Z757" i="28" s="1"/>
  <c r="T757" i="28"/>
  <c r="AA757" i="28" s="1"/>
  <c r="U757" i="28"/>
  <c r="AB757" i="28" s="1"/>
  <c r="V757" i="28"/>
  <c r="AC757" i="28" s="1"/>
  <c r="Q758" i="28"/>
  <c r="X758" i="28" s="1"/>
  <c r="R758" i="28"/>
  <c r="Y758" i="28" s="1"/>
  <c r="S758" i="28"/>
  <c r="Z758" i="28" s="1"/>
  <c r="T758" i="28"/>
  <c r="AA758" i="28" s="1"/>
  <c r="U758" i="28"/>
  <c r="AB758" i="28" s="1"/>
  <c r="V758" i="28"/>
  <c r="AC758" i="28" s="1"/>
  <c r="Q759" i="28"/>
  <c r="X759" i="28" s="1"/>
  <c r="R759" i="28"/>
  <c r="Y759" i="28" s="1"/>
  <c r="S759" i="28"/>
  <c r="Z759" i="28" s="1"/>
  <c r="T759" i="28"/>
  <c r="AA759" i="28" s="1"/>
  <c r="U759" i="28"/>
  <c r="AB759" i="28" s="1"/>
  <c r="V759" i="28"/>
  <c r="AC759" i="28" s="1"/>
  <c r="Q760" i="28"/>
  <c r="X760" i="28" s="1"/>
  <c r="R760" i="28"/>
  <c r="Y760" i="28" s="1"/>
  <c r="S760" i="28"/>
  <c r="Z760" i="28" s="1"/>
  <c r="T760" i="28"/>
  <c r="AA760" i="28" s="1"/>
  <c r="U760" i="28"/>
  <c r="AB760" i="28" s="1"/>
  <c r="Q761" i="28"/>
  <c r="X761" i="28" s="1"/>
  <c r="R761" i="28"/>
  <c r="Y761" i="28" s="1"/>
  <c r="S761" i="28"/>
  <c r="Z761" i="28" s="1"/>
  <c r="T761" i="28"/>
  <c r="AA761" i="28" s="1"/>
  <c r="U761" i="28"/>
  <c r="AB761" i="28" s="1"/>
  <c r="V761" i="28"/>
  <c r="AC761" i="28" s="1"/>
  <c r="Q762" i="28"/>
  <c r="X762" i="28" s="1"/>
  <c r="R762" i="28"/>
  <c r="Y762" i="28" s="1"/>
  <c r="S762" i="28"/>
  <c r="Z762" i="28" s="1"/>
  <c r="T762" i="28"/>
  <c r="AA762" i="28" s="1"/>
  <c r="U762" i="28"/>
  <c r="AB762" i="28" s="1"/>
  <c r="V762" i="28"/>
  <c r="AC762" i="28" s="1"/>
  <c r="Q763" i="28"/>
  <c r="X763" i="28" s="1"/>
  <c r="R763" i="28"/>
  <c r="Y763" i="28" s="1"/>
  <c r="S763" i="28"/>
  <c r="Z763" i="28" s="1"/>
  <c r="T763" i="28"/>
  <c r="AA763" i="28" s="1"/>
  <c r="U763" i="28"/>
  <c r="AB763" i="28" s="1"/>
  <c r="V763" i="28"/>
  <c r="AC763" i="28" s="1"/>
  <c r="Q764" i="28"/>
  <c r="X764" i="28" s="1"/>
  <c r="R764" i="28"/>
  <c r="Y764" i="28" s="1"/>
  <c r="S764" i="28"/>
  <c r="Z764" i="28" s="1"/>
  <c r="T764" i="28"/>
  <c r="AA764" i="28" s="1"/>
  <c r="U764" i="28"/>
  <c r="AB764" i="28" s="1"/>
  <c r="V764" i="28"/>
  <c r="AC764" i="28" s="1"/>
  <c r="Q765" i="28"/>
  <c r="X765" i="28" s="1"/>
  <c r="R765" i="28"/>
  <c r="Y765" i="28" s="1"/>
  <c r="S765" i="28"/>
  <c r="Z765" i="28" s="1"/>
  <c r="T765" i="28"/>
  <c r="AA765" i="28" s="1"/>
  <c r="U765" i="28"/>
  <c r="AB765" i="28" s="1"/>
  <c r="V765" i="28"/>
  <c r="AC765" i="28" s="1"/>
  <c r="Q766" i="28"/>
  <c r="X766" i="28" s="1"/>
  <c r="R766" i="28"/>
  <c r="Y766" i="28" s="1"/>
  <c r="S766" i="28"/>
  <c r="Z766" i="28" s="1"/>
  <c r="T766" i="28"/>
  <c r="AA766" i="28" s="1"/>
  <c r="U766" i="28"/>
  <c r="AB766" i="28" s="1"/>
  <c r="V766" i="28"/>
  <c r="AC766" i="28" s="1"/>
  <c r="Q767" i="28"/>
  <c r="X767" i="28" s="1"/>
  <c r="R767" i="28"/>
  <c r="Y767" i="28" s="1"/>
  <c r="S767" i="28"/>
  <c r="Z767" i="28" s="1"/>
  <c r="T767" i="28"/>
  <c r="AA767" i="28" s="1"/>
  <c r="U767" i="28"/>
  <c r="AB767" i="28" s="1"/>
  <c r="V767" i="28"/>
  <c r="AC767" i="28" s="1"/>
  <c r="Q768" i="28"/>
  <c r="X768" i="28" s="1"/>
  <c r="R768" i="28"/>
  <c r="Y768" i="28" s="1"/>
  <c r="S768" i="28"/>
  <c r="Z768" i="28" s="1"/>
  <c r="T768" i="28"/>
  <c r="AA768" i="28" s="1"/>
  <c r="U768" i="28"/>
  <c r="AB768" i="28" s="1"/>
  <c r="Q769" i="28"/>
  <c r="X769" i="28" s="1"/>
  <c r="R769" i="28"/>
  <c r="Y769" i="28" s="1"/>
  <c r="S769" i="28"/>
  <c r="Z769" i="28" s="1"/>
  <c r="T769" i="28"/>
  <c r="AA769" i="28" s="1"/>
  <c r="U769" i="28"/>
  <c r="AB769" i="28" s="1"/>
  <c r="V769" i="28"/>
  <c r="AC769" i="28" s="1"/>
  <c r="Q770" i="28"/>
  <c r="X770" i="28" s="1"/>
  <c r="R770" i="28"/>
  <c r="Y770" i="28" s="1"/>
  <c r="S770" i="28"/>
  <c r="Z770" i="28" s="1"/>
  <c r="T770" i="28"/>
  <c r="AA770" i="28" s="1"/>
  <c r="U770" i="28"/>
  <c r="AB770" i="28" s="1"/>
  <c r="V770" i="28"/>
  <c r="AC770" i="28" s="1"/>
  <c r="Q771" i="28"/>
  <c r="X771" i="28" s="1"/>
  <c r="R771" i="28"/>
  <c r="Y771" i="28" s="1"/>
  <c r="S771" i="28"/>
  <c r="Z771" i="28" s="1"/>
  <c r="T771" i="28"/>
  <c r="AA771" i="28" s="1"/>
  <c r="U771" i="28"/>
  <c r="AB771" i="28" s="1"/>
  <c r="V771" i="28"/>
  <c r="AC771" i="28" s="1"/>
  <c r="Q772" i="28"/>
  <c r="X772" i="28" s="1"/>
  <c r="R772" i="28"/>
  <c r="Y772" i="28" s="1"/>
  <c r="S772" i="28"/>
  <c r="Z772" i="28" s="1"/>
  <c r="T772" i="28"/>
  <c r="AA772" i="28" s="1"/>
  <c r="U772" i="28"/>
  <c r="AB772" i="28" s="1"/>
  <c r="V772" i="28"/>
  <c r="AC772" i="28" s="1"/>
  <c r="Q773" i="28"/>
  <c r="X773" i="28" s="1"/>
  <c r="R773" i="28"/>
  <c r="Y773" i="28" s="1"/>
  <c r="S773" i="28"/>
  <c r="Z773" i="28" s="1"/>
  <c r="T773" i="28"/>
  <c r="AA773" i="28" s="1"/>
  <c r="U773" i="28"/>
  <c r="AB773" i="28" s="1"/>
  <c r="V773" i="28"/>
  <c r="AC773" i="28" s="1"/>
  <c r="Q774" i="28"/>
  <c r="X774" i="28" s="1"/>
  <c r="R774" i="28"/>
  <c r="Y774" i="28" s="1"/>
  <c r="S774" i="28"/>
  <c r="Z774" i="28" s="1"/>
  <c r="T774" i="28"/>
  <c r="AA774" i="28" s="1"/>
  <c r="U774" i="28"/>
  <c r="AB774" i="28" s="1"/>
  <c r="V774" i="28"/>
  <c r="AC774" i="28" s="1"/>
  <c r="Q775" i="28"/>
  <c r="X775" i="28" s="1"/>
  <c r="R775" i="28"/>
  <c r="Y775" i="28" s="1"/>
  <c r="S775" i="28"/>
  <c r="Z775" i="28" s="1"/>
  <c r="T775" i="28"/>
  <c r="AA775" i="28" s="1"/>
  <c r="U775" i="28"/>
  <c r="AB775" i="28" s="1"/>
  <c r="V775" i="28"/>
  <c r="AC775" i="28" s="1"/>
  <c r="Q776" i="28"/>
  <c r="X776" i="28" s="1"/>
  <c r="R776" i="28"/>
  <c r="Y776" i="28" s="1"/>
  <c r="S776" i="28"/>
  <c r="Z776" i="28" s="1"/>
  <c r="T776" i="28"/>
  <c r="AA776" i="28" s="1"/>
  <c r="U776" i="28"/>
  <c r="AB776" i="28" s="1"/>
  <c r="Q777" i="28"/>
  <c r="X777" i="28" s="1"/>
  <c r="R777" i="28"/>
  <c r="Y777" i="28" s="1"/>
  <c r="S777" i="28"/>
  <c r="Z777" i="28" s="1"/>
  <c r="T777" i="28"/>
  <c r="AA777" i="28" s="1"/>
  <c r="U777" i="28"/>
  <c r="AB777" i="28" s="1"/>
  <c r="V777" i="28"/>
  <c r="AC777" i="28" s="1"/>
  <c r="Q778" i="28"/>
  <c r="X778" i="28" s="1"/>
  <c r="R778" i="28"/>
  <c r="Y778" i="28" s="1"/>
  <c r="S778" i="28"/>
  <c r="Z778" i="28" s="1"/>
  <c r="T778" i="28"/>
  <c r="AA778" i="28" s="1"/>
  <c r="U778" i="28"/>
  <c r="AB778" i="28" s="1"/>
  <c r="V778" i="28"/>
  <c r="AC778" i="28" s="1"/>
  <c r="Q779" i="28"/>
  <c r="X779" i="28" s="1"/>
  <c r="R779" i="28"/>
  <c r="Y779" i="28" s="1"/>
  <c r="S779" i="28"/>
  <c r="Z779" i="28" s="1"/>
  <c r="T779" i="28"/>
  <c r="AA779" i="28" s="1"/>
  <c r="U779" i="28"/>
  <c r="AB779" i="28" s="1"/>
  <c r="V779" i="28"/>
  <c r="AC779" i="28" s="1"/>
  <c r="Q780" i="28"/>
  <c r="X780" i="28" s="1"/>
  <c r="R780" i="28"/>
  <c r="Y780" i="28" s="1"/>
  <c r="S780" i="28"/>
  <c r="Z780" i="28" s="1"/>
  <c r="T780" i="28"/>
  <c r="AA780" i="28" s="1"/>
  <c r="U780" i="28"/>
  <c r="AB780" i="28" s="1"/>
  <c r="V780" i="28"/>
  <c r="AC780" i="28" s="1"/>
  <c r="Q781" i="28"/>
  <c r="X781" i="28" s="1"/>
  <c r="R781" i="28"/>
  <c r="Y781" i="28" s="1"/>
  <c r="S781" i="28"/>
  <c r="Z781" i="28" s="1"/>
  <c r="T781" i="28"/>
  <c r="AA781" i="28" s="1"/>
  <c r="U781" i="28"/>
  <c r="AB781" i="28" s="1"/>
  <c r="V781" i="28"/>
  <c r="AC781" i="28" s="1"/>
  <c r="Q782" i="28"/>
  <c r="X782" i="28" s="1"/>
  <c r="R782" i="28"/>
  <c r="Y782" i="28" s="1"/>
  <c r="S782" i="28"/>
  <c r="Z782" i="28" s="1"/>
  <c r="T782" i="28"/>
  <c r="AA782" i="28" s="1"/>
  <c r="U782" i="28"/>
  <c r="AB782" i="28" s="1"/>
  <c r="V782" i="28"/>
  <c r="AC782" i="28" s="1"/>
  <c r="Q783" i="28"/>
  <c r="X783" i="28" s="1"/>
  <c r="R783" i="28"/>
  <c r="Y783" i="28" s="1"/>
  <c r="S783" i="28"/>
  <c r="Z783" i="28" s="1"/>
  <c r="T783" i="28"/>
  <c r="AA783" i="28" s="1"/>
  <c r="U783" i="28"/>
  <c r="AB783" i="28" s="1"/>
  <c r="V783" i="28"/>
  <c r="AC783" i="28" s="1"/>
  <c r="Q784" i="28"/>
  <c r="X784" i="28" s="1"/>
  <c r="R784" i="28"/>
  <c r="Y784" i="28" s="1"/>
  <c r="S784" i="28"/>
  <c r="Z784" i="28" s="1"/>
  <c r="T784" i="28"/>
  <c r="AA784" i="28" s="1"/>
  <c r="U784" i="28"/>
  <c r="AB784" i="28" s="1"/>
  <c r="Q785" i="28"/>
  <c r="X785" i="28" s="1"/>
  <c r="R785" i="28"/>
  <c r="Y785" i="28" s="1"/>
  <c r="S785" i="28"/>
  <c r="Z785" i="28" s="1"/>
  <c r="T785" i="28"/>
  <c r="AA785" i="28" s="1"/>
  <c r="U785" i="28"/>
  <c r="AB785" i="28" s="1"/>
  <c r="V785" i="28"/>
  <c r="AC785" i="28" s="1"/>
  <c r="Q786" i="28"/>
  <c r="X786" i="28" s="1"/>
  <c r="R786" i="28"/>
  <c r="Y786" i="28" s="1"/>
  <c r="S786" i="28"/>
  <c r="Z786" i="28" s="1"/>
  <c r="T786" i="28"/>
  <c r="AA786" i="28" s="1"/>
  <c r="U786" i="28"/>
  <c r="AB786" i="28" s="1"/>
  <c r="V786" i="28"/>
  <c r="AC786" i="28" s="1"/>
  <c r="Q787" i="28"/>
  <c r="X787" i="28" s="1"/>
  <c r="R787" i="28"/>
  <c r="Y787" i="28" s="1"/>
  <c r="S787" i="28"/>
  <c r="Z787" i="28" s="1"/>
  <c r="T787" i="28"/>
  <c r="AA787" i="28" s="1"/>
  <c r="U787" i="28"/>
  <c r="AB787" i="28" s="1"/>
  <c r="V787" i="28"/>
  <c r="AC787" i="28" s="1"/>
  <c r="Q788" i="28"/>
  <c r="X788" i="28" s="1"/>
  <c r="R788" i="28"/>
  <c r="Y788" i="28" s="1"/>
  <c r="S788" i="28"/>
  <c r="Z788" i="28" s="1"/>
  <c r="T788" i="28"/>
  <c r="AA788" i="28" s="1"/>
  <c r="U788" i="28"/>
  <c r="AB788" i="28" s="1"/>
  <c r="V788" i="28"/>
  <c r="AC788" i="28" s="1"/>
  <c r="Q789" i="28"/>
  <c r="X789" i="28" s="1"/>
  <c r="R789" i="28"/>
  <c r="Y789" i="28" s="1"/>
  <c r="S789" i="28"/>
  <c r="Z789" i="28" s="1"/>
  <c r="T789" i="28"/>
  <c r="AA789" i="28" s="1"/>
  <c r="U789" i="28"/>
  <c r="AB789" i="28" s="1"/>
  <c r="V789" i="28"/>
  <c r="AC789" i="28" s="1"/>
  <c r="Q790" i="28"/>
  <c r="X790" i="28" s="1"/>
  <c r="R790" i="28"/>
  <c r="Y790" i="28" s="1"/>
  <c r="S790" i="28"/>
  <c r="Z790" i="28" s="1"/>
  <c r="T790" i="28"/>
  <c r="AA790" i="28" s="1"/>
  <c r="U790" i="28"/>
  <c r="AB790" i="28" s="1"/>
  <c r="V790" i="28"/>
  <c r="AC790" i="28" s="1"/>
  <c r="Q791" i="28"/>
  <c r="X791" i="28" s="1"/>
  <c r="R791" i="28"/>
  <c r="Y791" i="28" s="1"/>
  <c r="S791" i="28"/>
  <c r="Z791" i="28" s="1"/>
  <c r="T791" i="28"/>
  <c r="AA791" i="28" s="1"/>
  <c r="U791" i="28"/>
  <c r="AB791" i="28" s="1"/>
  <c r="V791" i="28"/>
  <c r="AC791" i="28" s="1"/>
  <c r="Q792" i="28"/>
  <c r="X792" i="28" s="1"/>
  <c r="R792" i="28"/>
  <c r="Y792" i="28" s="1"/>
  <c r="S792" i="28"/>
  <c r="Z792" i="28" s="1"/>
  <c r="T792" i="28"/>
  <c r="AA792" i="28" s="1"/>
  <c r="U792" i="28"/>
  <c r="AB792" i="28" s="1"/>
  <c r="Q793" i="28"/>
  <c r="X793" i="28" s="1"/>
  <c r="R793" i="28"/>
  <c r="Y793" i="28" s="1"/>
  <c r="S793" i="28"/>
  <c r="Z793" i="28" s="1"/>
  <c r="T793" i="28"/>
  <c r="AA793" i="28" s="1"/>
  <c r="U793" i="28"/>
  <c r="AB793" i="28" s="1"/>
  <c r="V793" i="28"/>
  <c r="AC793" i="28" s="1"/>
  <c r="Q794" i="28"/>
  <c r="X794" i="28" s="1"/>
  <c r="R794" i="28"/>
  <c r="Y794" i="28" s="1"/>
  <c r="S794" i="28"/>
  <c r="Z794" i="28" s="1"/>
  <c r="T794" i="28"/>
  <c r="AA794" i="28" s="1"/>
  <c r="U794" i="28"/>
  <c r="AB794" i="28" s="1"/>
  <c r="V794" i="28"/>
  <c r="AC794" i="28" s="1"/>
  <c r="Q795" i="28"/>
  <c r="X795" i="28" s="1"/>
  <c r="R795" i="28"/>
  <c r="Y795" i="28" s="1"/>
  <c r="S795" i="28"/>
  <c r="Z795" i="28" s="1"/>
  <c r="T795" i="28"/>
  <c r="AA795" i="28" s="1"/>
  <c r="U795" i="28"/>
  <c r="AB795" i="28" s="1"/>
  <c r="V795" i="28"/>
  <c r="AC795" i="28" s="1"/>
  <c r="Q796" i="28"/>
  <c r="X796" i="28" s="1"/>
  <c r="R796" i="28"/>
  <c r="Y796" i="28" s="1"/>
  <c r="S796" i="28"/>
  <c r="Z796" i="28" s="1"/>
  <c r="T796" i="28"/>
  <c r="AA796" i="28" s="1"/>
  <c r="U796" i="28"/>
  <c r="AB796" i="28" s="1"/>
  <c r="V796" i="28"/>
  <c r="AC796" i="28" s="1"/>
  <c r="Q797" i="28"/>
  <c r="X797" i="28" s="1"/>
  <c r="R797" i="28"/>
  <c r="Y797" i="28" s="1"/>
  <c r="S797" i="28"/>
  <c r="Z797" i="28" s="1"/>
  <c r="T797" i="28"/>
  <c r="AA797" i="28" s="1"/>
  <c r="U797" i="28"/>
  <c r="AB797" i="28" s="1"/>
  <c r="V797" i="28"/>
  <c r="AC797" i="28" s="1"/>
  <c r="Q798" i="28"/>
  <c r="X798" i="28" s="1"/>
  <c r="R798" i="28"/>
  <c r="Y798" i="28" s="1"/>
  <c r="S798" i="28"/>
  <c r="Z798" i="28" s="1"/>
  <c r="T798" i="28"/>
  <c r="AA798" i="28" s="1"/>
  <c r="U798" i="28"/>
  <c r="AB798" i="28" s="1"/>
  <c r="V798" i="28"/>
  <c r="AC798" i="28" s="1"/>
  <c r="Q799" i="28"/>
  <c r="X799" i="28" s="1"/>
  <c r="R799" i="28"/>
  <c r="Y799" i="28" s="1"/>
  <c r="S799" i="28"/>
  <c r="Z799" i="28" s="1"/>
  <c r="T799" i="28"/>
  <c r="AA799" i="28" s="1"/>
  <c r="U799" i="28"/>
  <c r="AB799" i="28" s="1"/>
  <c r="V799" i="28"/>
  <c r="AC799" i="28" s="1"/>
  <c r="Q800" i="28"/>
  <c r="X800" i="28" s="1"/>
  <c r="R800" i="28"/>
  <c r="Y800" i="28" s="1"/>
  <c r="S800" i="28"/>
  <c r="Z800" i="28" s="1"/>
  <c r="T800" i="28"/>
  <c r="AA800" i="28" s="1"/>
  <c r="U800" i="28"/>
  <c r="AB800" i="28" s="1"/>
  <c r="Q801" i="28"/>
  <c r="X801" i="28" s="1"/>
  <c r="R801" i="28"/>
  <c r="Y801" i="28" s="1"/>
  <c r="S801" i="28"/>
  <c r="Z801" i="28" s="1"/>
  <c r="T801" i="28"/>
  <c r="AA801" i="28" s="1"/>
  <c r="U801" i="28"/>
  <c r="AB801" i="28" s="1"/>
  <c r="V801" i="28"/>
  <c r="AC801" i="28" s="1"/>
  <c r="Q802" i="28"/>
  <c r="X802" i="28" s="1"/>
  <c r="R802" i="28"/>
  <c r="Y802" i="28" s="1"/>
  <c r="S802" i="28"/>
  <c r="Z802" i="28" s="1"/>
  <c r="T802" i="28"/>
  <c r="AA802" i="28" s="1"/>
  <c r="U802" i="28"/>
  <c r="AB802" i="28" s="1"/>
  <c r="V802" i="28"/>
  <c r="AC802" i="28" s="1"/>
  <c r="Q803" i="28"/>
  <c r="X803" i="28" s="1"/>
  <c r="R803" i="28"/>
  <c r="Y803" i="28" s="1"/>
  <c r="S803" i="28"/>
  <c r="Z803" i="28" s="1"/>
  <c r="T803" i="28"/>
  <c r="AA803" i="28" s="1"/>
  <c r="U803" i="28"/>
  <c r="AB803" i="28" s="1"/>
  <c r="V803" i="28"/>
  <c r="AC803" i="28" s="1"/>
  <c r="Q804" i="28"/>
  <c r="X804" i="28" s="1"/>
  <c r="R804" i="28"/>
  <c r="Y804" i="28" s="1"/>
  <c r="S804" i="28"/>
  <c r="Z804" i="28" s="1"/>
  <c r="T804" i="28"/>
  <c r="AA804" i="28" s="1"/>
  <c r="U804" i="28"/>
  <c r="AB804" i="28" s="1"/>
  <c r="V804" i="28"/>
  <c r="AC804" i="28" s="1"/>
  <c r="Q805" i="28"/>
  <c r="X805" i="28" s="1"/>
  <c r="R805" i="28"/>
  <c r="Y805" i="28" s="1"/>
  <c r="S805" i="28"/>
  <c r="Z805" i="28" s="1"/>
  <c r="T805" i="28"/>
  <c r="AA805" i="28" s="1"/>
  <c r="U805" i="28"/>
  <c r="AB805" i="28" s="1"/>
  <c r="V805" i="28"/>
  <c r="AC805" i="28" s="1"/>
  <c r="Q806" i="28"/>
  <c r="X806" i="28" s="1"/>
  <c r="R806" i="28"/>
  <c r="Y806" i="28" s="1"/>
  <c r="S806" i="28"/>
  <c r="Z806" i="28" s="1"/>
  <c r="T806" i="28"/>
  <c r="AA806" i="28" s="1"/>
  <c r="U806" i="28"/>
  <c r="AB806" i="28" s="1"/>
  <c r="V806" i="28"/>
  <c r="AC806" i="28" s="1"/>
  <c r="Q807" i="28"/>
  <c r="X807" i="28" s="1"/>
  <c r="R807" i="28"/>
  <c r="Y807" i="28" s="1"/>
  <c r="S807" i="28"/>
  <c r="Z807" i="28" s="1"/>
  <c r="T807" i="28"/>
  <c r="AA807" i="28" s="1"/>
  <c r="U807" i="28"/>
  <c r="AB807" i="28" s="1"/>
  <c r="V807" i="28"/>
  <c r="AC807" i="28" s="1"/>
  <c r="Q808" i="28"/>
  <c r="X808" i="28" s="1"/>
  <c r="R808" i="28"/>
  <c r="Y808" i="28" s="1"/>
  <c r="S808" i="28"/>
  <c r="Z808" i="28" s="1"/>
  <c r="T808" i="28"/>
  <c r="AA808" i="28" s="1"/>
  <c r="U808" i="28"/>
  <c r="AB808" i="28" s="1"/>
  <c r="Q809" i="28"/>
  <c r="X809" i="28" s="1"/>
  <c r="R809" i="28"/>
  <c r="Y809" i="28" s="1"/>
  <c r="S809" i="28"/>
  <c r="Z809" i="28" s="1"/>
  <c r="T809" i="28"/>
  <c r="AA809" i="28" s="1"/>
  <c r="U809" i="28"/>
  <c r="AB809" i="28" s="1"/>
  <c r="V809" i="28"/>
  <c r="AC809" i="28" s="1"/>
  <c r="Q810" i="28"/>
  <c r="X810" i="28" s="1"/>
  <c r="R810" i="28"/>
  <c r="Y810" i="28" s="1"/>
  <c r="S810" i="28"/>
  <c r="Z810" i="28" s="1"/>
  <c r="T810" i="28"/>
  <c r="AA810" i="28" s="1"/>
  <c r="U810" i="28"/>
  <c r="AB810" i="28" s="1"/>
  <c r="V810" i="28"/>
  <c r="AC810" i="28" s="1"/>
  <c r="Q811" i="28"/>
  <c r="X811" i="28" s="1"/>
  <c r="R811" i="28"/>
  <c r="Y811" i="28" s="1"/>
  <c r="S811" i="28"/>
  <c r="Z811" i="28" s="1"/>
  <c r="T811" i="28"/>
  <c r="AA811" i="28" s="1"/>
  <c r="U811" i="28"/>
  <c r="AB811" i="28" s="1"/>
  <c r="V811" i="28"/>
  <c r="AC811" i="28" s="1"/>
  <c r="Q812" i="28"/>
  <c r="X812" i="28" s="1"/>
  <c r="R812" i="28"/>
  <c r="Y812" i="28" s="1"/>
  <c r="S812" i="28"/>
  <c r="Z812" i="28" s="1"/>
  <c r="T812" i="28"/>
  <c r="AA812" i="28" s="1"/>
  <c r="U812" i="28"/>
  <c r="AB812" i="28" s="1"/>
  <c r="V812" i="28"/>
  <c r="AC812" i="28" s="1"/>
  <c r="Q813" i="28"/>
  <c r="X813" i="28" s="1"/>
  <c r="R813" i="28"/>
  <c r="Y813" i="28" s="1"/>
  <c r="S813" i="28"/>
  <c r="Z813" i="28" s="1"/>
  <c r="T813" i="28"/>
  <c r="AA813" i="28" s="1"/>
  <c r="U813" i="28"/>
  <c r="AB813" i="28" s="1"/>
  <c r="V813" i="28"/>
  <c r="AC813" i="28" s="1"/>
  <c r="Q814" i="28"/>
  <c r="X814" i="28" s="1"/>
  <c r="R814" i="28"/>
  <c r="Y814" i="28" s="1"/>
  <c r="S814" i="28"/>
  <c r="Z814" i="28" s="1"/>
  <c r="T814" i="28"/>
  <c r="AA814" i="28" s="1"/>
  <c r="U814" i="28"/>
  <c r="AB814" i="28" s="1"/>
  <c r="V814" i="28"/>
  <c r="AC814" i="28" s="1"/>
  <c r="Q815" i="28"/>
  <c r="X815" i="28" s="1"/>
  <c r="R815" i="28"/>
  <c r="Y815" i="28" s="1"/>
  <c r="S815" i="28"/>
  <c r="Z815" i="28" s="1"/>
  <c r="T815" i="28"/>
  <c r="AA815" i="28" s="1"/>
  <c r="U815" i="28"/>
  <c r="AB815" i="28" s="1"/>
  <c r="V815" i="28"/>
  <c r="AC815" i="28" s="1"/>
  <c r="Q816" i="28"/>
  <c r="X816" i="28" s="1"/>
  <c r="R816" i="28"/>
  <c r="Y816" i="28" s="1"/>
  <c r="S816" i="28"/>
  <c r="Z816" i="28" s="1"/>
  <c r="T816" i="28"/>
  <c r="AA816" i="28" s="1"/>
  <c r="U816" i="28"/>
  <c r="AB816" i="28" s="1"/>
  <c r="Q817" i="28"/>
  <c r="X817" i="28" s="1"/>
  <c r="R817" i="28"/>
  <c r="Y817" i="28" s="1"/>
  <c r="S817" i="28"/>
  <c r="Z817" i="28" s="1"/>
  <c r="T817" i="28"/>
  <c r="AA817" i="28" s="1"/>
  <c r="U817" i="28"/>
  <c r="AB817" i="28" s="1"/>
  <c r="V817" i="28"/>
  <c r="AC817" i="28" s="1"/>
  <c r="Q818" i="28"/>
  <c r="X818" i="28" s="1"/>
  <c r="R818" i="28"/>
  <c r="Y818" i="28" s="1"/>
  <c r="S818" i="28"/>
  <c r="Z818" i="28" s="1"/>
  <c r="T818" i="28"/>
  <c r="AA818" i="28" s="1"/>
  <c r="U818" i="28"/>
  <c r="AB818" i="28" s="1"/>
  <c r="V818" i="28"/>
  <c r="AC818" i="28" s="1"/>
  <c r="Q819" i="28"/>
  <c r="X819" i="28" s="1"/>
  <c r="R819" i="28"/>
  <c r="Y819" i="28" s="1"/>
  <c r="S819" i="28"/>
  <c r="Z819" i="28" s="1"/>
  <c r="T819" i="28"/>
  <c r="AA819" i="28" s="1"/>
  <c r="U819" i="28"/>
  <c r="AB819" i="28" s="1"/>
  <c r="V819" i="28"/>
  <c r="AC819" i="28" s="1"/>
  <c r="Q820" i="28"/>
  <c r="X820" i="28" s="1"/>
  <c r="R820" i="28"/>
  <c r="Y820" i="28" s="1"/>
  <c r="S820" i="28"/>
  <c r="Z820" i="28" s="1"/>
  <c r="T820" i="28"/>
  <c r="AA820" i="28" s="1"/>
  <c r="U820" i="28"/>
  <c r="AB820" i="28" s="1"/>
  <c r="V820" i="28"/>
  <c r="AC820" i="28" s="1"/>
  <c r="Q821" i="28"/>
  <c r="X821" i="28" s="1"/>
  <c r="R821" i="28"/>
  <c r="Y821" i="28" s="1"/>
  <c r="S821" i="28"/>
  <c r="Z821" i="28" s="1"/>
  <c r="T821" i="28"/>
  <c r="AA821" i="28" s="1"/>
  <c r="U821" i="28"/>
  <c r="AB821" i="28" s="1"/>
  <c r="V821" i="28"/>
  <c r="AC821" i="28" s="1"/>
  <c r="Q822" i="28"/>
  <c r="X822" i="28" s="1"/>
  <c r="R822" i="28"/>
  <c r="Y822" i="28" s="1"/>
  <c r="S822" i="28"/>
  <c r="Z822" i="28" s="1"/>
  <c r="T822" i="28"/>
  <c r="AA822" i="28" s="1"/>
  <c r="U822" i="28"/>
  <c r="AB822" i="28" s="1"/>
  <c r="V822" i="28"/>
  <c r="AC822" i="28" s="1"/>
  <c r="Q823" i="28"/>
  <c r="X823" i="28" s="1"/>
  <c r="R823" i="28"/>
  <c r="Y823" i="28" s="1"/>
  <c r="S823" i="28"/>
  <c r="Z823" i="28" s="1"/>
  <c r="T823" i="28"/>
  <c r="AA823" i="28" s="1"/>
  <c r="U823" i="28"/>
  <c r="AB823" i="28" s="1"/>
  <c r="V823" i="28"/>
  <c r="AC823" i="28" s="1"/>
  <c r="Q824" i="28"/>
  <c r="X824" i="28" s="1"/>
  <c r="R824" i="28"/>
  <c r="Y824" i="28" s="1"/>
  <c r="S824" i="28"/>
  <c r="Z824" i="28" s="1"/>
  <c r="T824" i="28"/>
  <c r="AA824" i="28" s="1"/>
  <c r="U824" i="28"/>
  <c r="AB824" i="28" s="1"/>
  <c r="Q825" i="28"/>
  <c r="X825" i="28" s="1"/>
  <c r="R825" i="28"/>
  <c r="Y825" i="28" s="1"/>
  <c r="S825" i="28"/>
  <c r="Z825" i="28" s="1"/>
  <c r="T825" i="28"/>
  <c r="AA825" i="28" s="1"/>
  <c r="U825" i="28"/>
  <c r="AB825" i="28" s="1"/>
  <c r="V825" i="28"/>
  <c r="AC825" i="28" s="1"/>
  <c r="Q826" i="28"/>
  <c r="X826" i="28" s="1"/>
  <c r="R826" i="28"/>
  <c r="Y826" i="28" s="1"/>
  <c r="S826" i="28"/>
  <c r="Z826" i="28" s="1"/>
  <c r="T826" i="28"/>
  <c r="AA826" i="28" s="1"/>
  <c r="U826" i="28"/>
  <c r="AB826" i="28" s="1"/>
  <c r="V826" i="28"/>
  <c r="AC826" i="28" s="1"/>
  <c r="Q827" i="28"/>
  <c r="X827" i="28" s="1"/>
  <c r="R827" i="28"/>
  <c r="Y827" i="28" s="1"/>
  <c r="S827" i="28"/>
  <c r="Z827" i="28" s="1"/>
  <c r="T827" i="28"/>
  <c r="AA827" i="28" s="1"/>
  <c r="U827" i="28"/>
  <c r="AB827" i="28" s="1"/>
  <c r="V827" i="28"/>
  <c r="AC827" i="28" s="1"/>
  <c r="Q828" i="28"/>
  <c r="X828" i="28" s="1"/>
  <c r="R828" i="28"/>
  <c r="Y828" i="28" s="1"/>
  <c r="S828" i="28"/>
  <c r="Z828" i="28" s="1"/>
  <c r="T828" i="28"/>
  <c r="AA828" i="28" s="1"/>
  <c r="U828" i="28"/>
  <c r="AB828" i="28" s="1"/>
  <c r="V828" i="28"/>
  <c r="AC828" i="28" s="1"/>
  <c r="Q829" i="28"/>
  <c r="X829" i="28" s="1"/>
  <c r="R829" i="28"/>
  <c r="Y829" i="28" s="1"/>
  <c r="S829" i="28"/>
  <c r="Z829" i="28" s="1"/>
  <c r="T829" i="28"/>
  <c r="AA829" i="28" s="1"/>
  <c r="U829" i="28"/>
  <c r="AB829" i="28" s="1"/>
  <c r="V829" i="28"/>
  <c r="AC829" i="28" s="1"/>
  <c r="Q830" i="28"/>
  <c r="X830" i="28" s="1"/>
  <c r="R830" i="28"/>
  <c r="Y830" i="28" s="1"/>
  <c r="S830" i="28"/>
  <c r="Z830" i="28" s="1"/>
  <c r="T830" i="28"/>
  <c r="AA830" i="28" s="1"/>
  <c r="U830" i="28"/>
  <c r="AB830" i="28" s="1"/>
  <c r="V830" i="28"/>
  <c r="AC830" i="28" s="1"/>
  <c r="Q831" i="28"/>
  <c r="X831" i="28" s="1"/>
  <c r="R831" i="28"/>
  <c r="Y831" i="28" s="1"/>
  <c r="S831" i="28"/>
  <c r="Z831" i="28" s="1"/>
  <c r="T831" i="28"/>
  <c r="AA831" i="28" s="1"/>
  <c r="U831" i="28"/>
  <c r="AB831" i="28" s="1"/>
  <c r="V831" i="28"/>
  <c r="AC831" i="28" s="1"/>
  <c r="Q832" i="28"/>
  <c r="X832" i="28" s="1"/>
  <c r="R832" i="28"/>
  <c r="Y832" i="28" s="1"/>
  <c r="S832" i="28"/>
  <c r="Z832" i="28" s="1"/>
  <c r="T832" i="28"/>
  <c r="AA832" i="28" s="1"/>
  <c r="U832" i="28"/>
  <c r="AB832" i="28" s="1"/>
  <c r="Q833" i="28"/>
  <c r="X833" i="28" s="1"/>
  <c r="R833" i="28"/>
  <c r="Y833" i="28" s="1"/>
  <c r="S833" i="28"/>
  <c r="Z833" i="28" s="1"/>
  <c r="T833" i="28"/>
  <c r="AA833" i="28" s="1"/>
  <c r="U833" i="28"/>
  <c r="AB833" i="28" s="1"/>
  <c r="V833" i="28"/>
  <c r="AC833" i="28" s="1"/>
  <c r="Q834" i="28"/>
  <c r="X834" i="28" s="1"/>
  <c r="R834" i="28"/>
  <c r="Y834" i="28" s="1"/>
  <c r="S834" i="28"/>
  <c r="Z834" i="28" s="1"/>
  <c r="T834" i="28"/>
  <c r="AA834" i="28" s="1"/>
  <c r="U834" i="28"/>
  <c r="AB834" i="28" s="1"/>
  <c r="V834" i="28"/>
  <c r="AC834" i="28" s="1"/>
  <c r="Q835" i="28"/>
  <c r="X835" i="28" s="1"/>
  <c r="R835" i="28"/>
  <c r="Y835" i="28" s="1"/>
  <c r="S835" i="28"/>
  <c r="Z835" i="28" s="1"/>
  <c r="T835" i="28"/>
  <c r="AA835" i="28" s="1"/>
  <c r="U835" i="28"/>
  <c r="AB835" i="28" s="1"/>
  <c r="V835" i="28"/>
  <c r="AC835" i="28" s="1"/>
  <c r="Q836" i="28"/>
  <c r="X836" i="28" s="1"/>
  <c r="R836" i="28"/>
  <c r="Y836" i="28" s="1"/>
  <c r="S836" i="28"/>
  <c r="Z836" i="28" s="1"/>
  <c r="T836" i="28"/>
  <c r="AA836" i="28" s="1"/>
  <c r="U836" i="28"/>
  <c r="AB836" i="28" s="1"/>
  <c r="V836" i="28"/>
  <c r="AC836" i="28" s="1"/>
  <c r="Q837" i="28"/>
  <c r="X837" i="28" s="1"/>
  <c r="R837" i="28"/>
  <c r="Y837" i="28" s="1"/>
  <c r="S837" i="28"/>
  <c r="Z837" i="28" s="1"/>
  <c r="T837" i="28"/>
  <c r="AA837" i="28" s="1"/>
  <c r="U837" i="28"/>
  <c r="AB837" i="28" s="1"/>
  <c r="V837" i="28"/>
  <c r="AC837" i="28" s="1"/>
  <c r="Q838" i="28"/>
  <c r="X838" i="28" s="1"/>
  <c r="R838" i="28"/>
  <c r="Y838" i="28" s="1"/>
  <c r="S838" i="28"/>
  <c r="Z838" i="28" s="1"/>
  <c r="T838" i="28"/>
  <c r="AA838" i="28" s="1"/>
  <c r="U838" i="28"/>
  <c r="AB838" i="28" s="1"/>
  <c r="V838" i="28"/>
  <c r="AC838" i="28" s="1"/>
  <c r="Q839" i="28"/>
  <c r="X839" i="28" s="1"/>
  <c r="R839" i="28"/>
  <c r="Y839" i="28" s="1"/>
  <c r="S839" i="28"/>
  <c r="Z839" i="28" s="1"/>
  <c r="T839" i="28"/>
  <c r="AA839" i="28" s="1"/>
  <c r="U839" i="28"/>
  <c r="AB839" i="28" s="1"/>
  <c r="V839" i="28"/>
  <c r="AC839" i="28" s="1"/>
  <c r="Q840" i="28"/>
  <c r="X840" i="28" s="1"/>
  <c r="R840" i="28"/>
  <c r="Y840" i="28" s="1"/>
  <c r="S840" i="28"/>
  <c r="Z840" i="28" s="1"/>
  <c r="T840" i="28"/>
  <c r="AA840" i="28" s="1"/>
  <c r="U840" i="28"/>
  <c r="AB840" i="28" s="1"/>
  <c r="Q841" i="28"/>
  <c r="X841" i="28" s="1"/>
  <c r="R841" i="28"/>
  <c r="Y841" i="28" s="1"/>
  <c r="S841" i="28"/>
  <c r="Z841" i="28" s="1"/>
  <c r="T841" i="28"/>
  <c r="AA841" i="28" s="1"/>
  <c r="U841" i="28"/>
  <c r="AB841" i="28" s="1"/>
  <c r="V841" i="28"/>
  <c r="AC841" i="28" s="1"/>
  <c r="Q842" i="28"/>
  <c r="X842" i="28" s="1"/>
  <c r="R842" i="28"/>
  <c r="Y842" i="28" s="1"/>
  <c r="S842" i="28"/>
  <c r="Z842" i="28" s="1"/>
  <c r="T842" i="28"/>
  <c r="AA842" i="28" s="1"/>
  <c r="U842" i="28"/>
  <c r="AB842" i="28" s="1"/>
  <c r="V842" i="28"/>
  <c r="AC842" i="28" s="1"/>
  <c r="Q843" i="28"/>
  <c r="X843" i="28" s="1"/>
  <c r="R843" i="28"/>
  <c r="Y843" i="28" s="1"/>
  <c r="S843" i="28"/>
  <c r="Z843" i="28" s="1"/>
  <c r="T843" i="28"/>
  <c r="AA843" i="28" s="1"/>
  <c r="U843" i="28"/>
  <c r="AB843" i="28" s="1"/>
  <c r="V843" i="28"/>
  <c r="AC843" i="28" s="1"/>
  <c r="Q844" i="28"/>
  <c r="X844" i="28" s="1"/>
  <c r="R844" i="28"/>
  <c r="Y844" i="28" s="1"/>
  <c r="S844" i="28"/>
  <c r="Z844" i="28" s="1"/>
  <c r="T844" i="28"/>
  <c r="AA844" i="28" s="1"/>
  <c r="U844" i="28"/>
  <c r="AB844" i="28" s="1"/>
  <c r="V844" i="28"/>
  <c r="AC844" i="28" s="1"/>
  <c r="Q845" i="28"/>
  <c r="X845" i="28" s="1"/>
  <c r="R845" i="28"/>
  <c r="Y845" i="28" s="1"/>
  <c r="S845" i="28"/>
  <c r="Z845" i="28" s="1"/>
  <c r="T845" i="28"/>
  <c r="AA845" i="28" s="1"/>
  <c r="U845" i="28"/>
  <c r="AB845" i="28" s="1"/>
  <c r="V845" i="28"/>
  <c r="AC845" i="28" s="1"/>
  <c r="Q846" i="28"/>
  <c r="X846" i="28" s="1"/>
  <c r="R846" i="28"/>
  <c r="Y846" i="28" s="1"/>
  <c r="S846" i="28"/>
  <c r="Z846" i="28" s="1"/>
  <c r="T846" i="28"/>
  <c r="AA846" i="28" s="1"/>
  <c r="U846" i="28"/>
  <c r="AB846" i="28" s="1"/>
  <c r="V846" i="28"/>
  <c r="AC846" i="28" s="1"/>
  <c r="Q847" i="28"/>
  <c r="X847" i="28" s="1"/>
  <c r="R847" i="28"/>
  <c r="Y847" i="28" s="1"/>
  <c r="S847" i="28"/>
  <c r="Z847" i="28" s="1"/>
  <c r="T847" i="28"/>
  <c r="AA847" i="28" s="1"/>
  <c r="U847" i="28"/>
  <c r="AB847" i="28" s="1"/>
  <c r="V847" i="28"/>
  <c r="AC847" i="28" s="1"/>
  <c r="Q848" i="28"/>
  <c r="X848" i="28" s="1"/>
  <c r="R848" i="28"/>
  <c r="Y848" i="28" s="1"/>
  <c r="S848" i="28"/>
  <c r="Z848" i="28" s="1"/>
  <c r="T848" i="28"/>
  <c r="AA848" i="28" s="1"/>
  <c r="U848" i="28"/>
  <c r="AB848" i="28" s="1"/>
  <c r="Q849" i="28"/>
  <c r="X849" i="28" s="1"/>
  <c r="R849" i="28"/>
  <c r="Y849" i="28" s="1"/>
  <c r="S849" i="28"/>
  <c r="Z849" i="28" s="1"/>
  <c r="T849" i="28"/>
  <c r="AA849" i="28" s="1"/>
  <c r="U849" i="28"/>
  <c r="AB849" i="28" s="1"/>
  <c r="V849" i="28"/>
  <c r="AC849" i="28" s="1"/>
  <c r="Q850" i="28"/>
  <c r="X850" i="28" s="1"/>
  <c r="R850" i="28"/>
  <c r="Y850" i="28" s="1"/>
  <c r="S850" i="28"/>
  <c r="Z850" i="28" s="1"/>
  <c r="T850" i="28"/>
  <c r="AA850" i="28" s="1"/>
  <c r="U850" i="28"/>
  <c r="AB850" i="28" s="1"/>
  <c r="V850" i="28"/>
  <c r="AC850" i="28" s="1"/>
  <c r="Q851" i="28"/>
  <c r="X851" i="28" s="1"/>
  <c r="R851" i="28"/>
  <c r="Y851" i="28" s="1"/>
  <c r="S851" i="28"/>
  <c r="Z851" i="28" s="1"/>
  <c r="T851" i="28"/>
  <c r="AA851" i="28" s="1"/>
  <c r="U851" i="28"/>
  <c r="AB851" i="28" s="1"/>
  <c r="V851" i="28"/>
  <c r="AC851" i="28" s="1"/>
  <c r="Q852" i="28"/>
  <c r="X852" i="28" s="1"/>
  <c r="R852" i="28"/>
  <c r="Y852" i="28" s="1"/>
  <c r="S852" i="28"/>
  <c r="Z852" i="28" s="1"/>
  <c r="T852" i="28"/>
  <c r="AA852" i="28" s="1"/>
  <c r="U852" i="28"/>
  <c r="AB852" i="28" s="1"/>
  <c r="V852" i="28"/>
  <c r="AC852" i="28" s="1"/>
  <c r="Q853" i="28"/>
  <c r="X853" i="28" s="1"/>
  <c r="R853" i="28"/>
  <c r="Y853" i="28" s="1"/>
  <c r="S853" i="28"/>
  <c r="Z853" i="28" s="1"/>
  <c r="T853" i="28"/>
  <c r="AA853" i="28" s="1"/>
  <c r="U853" i="28"/>
  <c r="AB853" i="28" s="1"/>
  <c r="V853" i="28"/>
  <c r="AC853" i="28" s="1"/>
  <c r="Q854" i="28"/>
  <c r="X854" i="28" s="1"/>
  <c r="R854" i="28"/>
  <c r="Y854" i="28" s="1"/>
  <c r="S854" i="28"/>
  <c r="Z854" i="28" s="1"/>
  <c r="T854" i="28"/>
  <c r="AA854" i="28" s="1"/>
  <c r="U854" i="28"/>
  <c r="AB854" i="28" s="1"/>
  <c r="V854" i="28"/>
  <c r="AC854" i="28" s="1"/>
  <c r="Q855" i="28"/>
  <c r="X855" i="28" s="1"/>
  <c r="R855" i="28"/>
  <c r="Y855" i="28" s="1"/>
  <c r="S855" i="28"/>
  <c r="Z855" i="28" s="1"/>
  <c r="T855" i="28"/>
  <c r="AA855" i="28" s="1"/>
  <c r="U855" i="28"/>
  <c r="AB855" i="28" s="1"/>
  <c r="V855" i="28"/>
  <c r="AC855" i="28" s="1"/>
  <c r="Q856" i="28"/>
  <c r="X856" i="28" s="1"/>
  <c r="R856" i="28"/>
  <c r="Y856" i="28" s="1"/>
  <c r="S856" i="28"/>
  <c r="Z856" i="28" s="1"/>
  <c r="T856" i="28"/>
  <c r="AA856" i="28" s="1"/>
  <c r="U856" i="28"/>
  <c r="AB856" i="28" s="1"/>
  <c r="Q857" i="28"/>
  <c r="X857" i="28" s="1"/>
  <c r="R857" i="28"/>
  <c r="Y857" i="28" s="1"/>
  <c r="S857" i="28"/>
  <c r="Z857" i="28" s="1"/>
  <c r="T857" i="28"/>
  <c r="AA857" i="28" s="1"/>
  <c r="U857" i="28"/>
  <c r="AB857" i="28" s="1"/>
  <c r="V857" i="28"/>
  <c r="AC857" i="28" s="1"/>
  <c r="Q858" i="28"/>
  <c r="X858" i="28" s="1"/>
  <c r="R858" i="28"/>
  <c r="Y858" i="28" s="1"/>
  <c r="S858" i="28"/>
  <c r="Z858" i="28" s="1"/>
  <c r="T858" i="28"/>
  <c r="AA858" i="28" s="1"/>
  <c r="U858" i="28"/>
  <c r="AB858" i="28" s="1"/>
  <c r="V858" i="28"/>
  <c r="AC858" i="28" s="1"/>
  <c r="Q859" i="28"/>
  <c r="X859" i="28" s="1"/>
  <c r="R859" i="28"/>
  <c r="Y859" i="28" s="1"/>
  <c r="S859" i="28"/>
  <c r="Z859" i="28" s="1"/>
  <c r="T859" i="28"/>
  <c r="AA859" i="28" s="1"/>
  <c r="U859" i="28"/>
  <c r="AB859" i="28" s="1"/>
  <c r="V859" i="28"/>
  <c r="AC859" i="28" s="1"/>
  <c r="Q860" i="28"/>
  <c r="X860" i="28" s="1"/>
  <c r="R860" i="28"/>
  <c r="Y860" i="28" s="1"/>
  <c r="S860" i="28"/>
  <c r="Z860" i="28" s="1"/>
  <c r="T860" i="28"/>
  <c r="AA860" i="28" s="1"/>
  <c r="U860" i="28"/>
  <c r="AB860" i="28" s="1"/>
  <c r="V860" i="28"/>
  <c r="AC860" i="28" s="1"/>
  <c r="Q861" i="28"/>
  <c r="X861" i="28" s="1"/>
  <c r="R861" i="28"/>
  <c r="Y861" i="28" s="1"/>
  <c r="S861" i="28"/>
  <c r="Z861" i="28" s="1"/>
  <c r="T861" i="28"/>
  <c r="AA861" i="28" s="1"/>
  <c r="U861" i="28"/>
  <c r="AB861" i="28" s="1"/>
  <c r="V861" i="28"/>
  <c r="AC861" i="28" s="1"/>
  <c r="Q862" i="28"/>
  <c r="X862" i="28" s="1"/>
  <c r="R862" i="28"/>
  <c r="Y862" i="28" s="1"/>
  <c r="S862" i="28"/>
  <c r="Z862" i="28" s="1"/>
  <c r="T862" i="28"/>
  <c r="AA862" i="28" s="1"/>
  <c r="U862" i="28"/>
  <c r="AB862" i="28" s="1"/>
  <c r="V862" i="28"/>
  <c r="AC862" i="28" s="1"/>
  <c r="Q863" i="28"/>
  <c r="X863" i="28" s="1"/>
  <c r="R863" i="28"/>
  <c r="Y863" i="28" s="1"/>
  <c r="S863" i="28"/>
  <c r="Z863" i="28" s="1"/>
  <c r="T863" i="28"/>
  <c r="AA863" i="28" s="1"/>
  <c r="U863" i="28"/>
  <c r="AB863" i="28" s="1"/>
  <c r="V863" i="28"/>
  <c r="AC863" i="28" s="1"/>
  <c r="Q864" i="28"/>
  <c r="X864" i="28" s="1"/>
  <c r="R864" i="28"/>
  <c r="Y864" i="28" s="1"/>
  <c r="S864" i="28"/>
  <c r="Z864" i="28" s="1"/>
  <c r="T864" i="28"/>
  <c r="AA864" i="28" s="1"/>
  <c r="U864" i="28"/>
  <c r="AB864" i="28" s="1"/>
  <c r="Q865" i="28"/>
  <c r="X865" i="28" s="1"/>
  <c r="R865" i="28"/>
  <c r="Y865" i="28" s="1"/>
  <c r="S865" i="28"/>
  <c r="Z865" i="28" s="1"/>
  <c r="T865" i="28"/>
  <c r="AA865" i="28" s="1"/>
  <c r="U865" i="28"/>
  <c r="AB865" i="28" s="1"/>
  <c r="V865" i="28"/>
  <c r="AC865" i="28" s="1"/>
  <c r="Q866" i="28"/>
  <c r="X866" i="28" s="1"/>
  <c r="R866" i="28"/>
  <c r="Y866" i="28" s="1"/>
  <c r="S866" i="28"/>
  <c r="Z866" i="28" s="1"/>
  <c r="T866" i="28"/>
  <c r="AA866" i="28" s="1"/>
  <c r="U866" i="28"/>
  <c r="AB866" i="28" s="1"/>
  <c r="V866" i="28"/>
  <c r="AC866" i="28" s="1"/>
  <c r="Q867" i="28"/>
  <c r="X867" i="28" s="1"/>
  <c r="R867" i="28"/>
  <c r="Y867" i="28" s="1"/>
  <c r="S867" i="28"/>
  <c r="Z867" i="28" s="1"/>
  <c r="T867" i="28"/>
  <c r="AA867" i="28" s="1"/>
  <c r="U867" i="28"/>
  <c r="AB867" i="28" s="1"/>
  <c r="V867" i="28"/>
  <c r="AC867" i="28" s="1"/>
  <c r="Q868" i="28"/>
  <c r="X868" i="28" s="1"/>
  <c r="R868" i="28"/>
  <c r="Y868" i="28" s="1"/>
  <c r="S868" i="28"/>
  <c r="Z868" i="28" s="1"/>
  <c r="T868" i="28"/>
  <c r="AA868" i="28" s="1"/>
  <c r="U868" i="28"/>
  <c r="AB868" i="28" s="1"/>
  <c r="V868" i="28"/>
  <c r="AC868" i="28" s="1"/>
  <c r="Q869" i="28"/>
  <c r="X869" i="28" s="1"/>
  <c r="R869" i="28"/>
  <c r="Y869" i="28" s="1"/>
  <c r="S869" i="28"/>
  <c r="Z869" i="28" s="1"/>
  <c r="T869" i="28"/>
  <c r="AA869" i="28" s="1"/>
  <c r="U869" i="28"/>
  <c r="AB869" i="28" s="1"/>
  <c r="V869" i="28"/>
  <c r="AC869" i="28" s="1"/>
  <c r="Q870" i="28"/>
  <c r="X870" i="28" s="1"/>
  <c r="R870" i="28"/>
  <c r="Y870" i="28" s="1"/>
  <c r="S870" i="28"/>
  <c r="Z870" i="28" s="1"/>
  <c r="T870" i="28"/>
  <c r="AA870" i="28" s="1"/>
  <c r="U870" i="28"/>
  <c r="AB870" i="28" s="1"/>
  <c r="V870" i="28"/>
  <c r="AC870" i="28" s="1"/>
  <c r="Q871" i="28"/>
  <c r="X871" i="28" s="1"/>
  <c r="R871" i="28"/>
  <c r="Y871" i="28" s="1"/>
  <c r="S871" i="28"/>
  <c r="Z871" i="28" s="1"/>
  <c r="T871" i="28"/>
  <c r="AA871" i="28" s="1"/>
  <c r="U871" i="28"/>
  <c r="AB871" i="28" s="1"/>
  <c r="V871" i="28"/>
  <c r="AC871" i="28" s="1"/>
  <c r="Q872" i="28"/>
  <c r="X872" i="28" s="1"/>
  <c r="R872" i="28"/>
  <c r="Y872" i="28" s="1"/>
  <c r="S872" i="28"/>
  <c r="Z872" i="28" s="1"/>
  <c r="T872" i="28"/>
  <c r="AA872" i="28" s="1"/>
  <c r="U872" i="28"/>
  <c r="AB872" i="28" s="1"/>
  <c r="Q873" i="28"/>
  <c r="X873" i="28" s="1"/>
  <c r="R873" i="28"/>
  <c r="Y873" i="28" s="1"/>
  <c r="S873" i="28"/>
  <c r="Z873" i="28" s="1"/>
  <c r="T873" i="28"/>
  <c r="AA873" i="28" s="1"/>
  <c r="U873" i="28"/>
  <c r="AB873" i="28" s="1"/>
  <c r="V873" i="28"/>
  <c r="AC873" i="28" s="1"/>
  <c r="Q874" i="28"/>
  <c r="X874" i="28" s="1"/>
  <c r="R874" i="28"/>
  <c r="Y874" i="28" s="1"/>
  <c r="S874" i="28"/>
  <c r="Z874" i="28" s="1"/>
  <c r="T874" i="28"/>
  <c r="AA874" i="28" s="1"/>
  <c r="U874" i="28"/>
  <c r="AB874" i="28" s="1"/>
  <c r="V874" i="28"/>
  <c r="AC874" i="28" s="1"/>
  <c r="Q875" i="28"/>
  <c r="X875" i="28" s="1"/>
  <c r="R875" i="28"/>
  <c r="Y875" i="28" s="1"/>
  <c r="S875" i="28"/>
  <c r="Z875" i="28" s="1"/>
  <c r="T875" i="28"/>
  <c r="AA875" i="28" s="1"/>
  <c r="U875" i="28"/>
  <c r="AB875" i="28" s="1"/>
  <c r="V875" i="28"/>
  <c r="AC875" i="28" s="1"/>
  <c r="Q876" i="28"/>
  <c r="X876" i="28" s="1"/>
  <c r="R876" i="28"/>
  <c r="Y876" i="28" s="1"/>
  <c r="S876" i="28"/>
  <c r="Z876" i="28" s="1"/>
  <c r="T876" i="28"/>
  <c r="AA876" i="28" s="1"/>
  <c r="U876" i="28"/>
  <c r="AB876" i="28" s="1"/>
  <c r="V876" i="28"/>
  <c r="AC876" i="28" s="1"/>
  <c r="Q877" i="28"/>
  <c r="X877" i="28" s="1"/>
  <c r="R877" i="28"/>
  <c r="Y877" i="28" s="1"/>
  <c r="S877" i="28"/>
  <c r="Z877" i="28" s="1"/>
  <c r="T877" i="28"/>
  <c r="AA877" i="28" s="1"/>
  <c r="U877" i="28"/>
  <c r="AB877" i="28" s="1"/>
  <c r="V877" i="28"/>
  <c r="AC877" i="28" s="1"/>
  <c r="Q878" i="28"/>
  <c r="X878" i="28" s="1"/>
  <c r="R878" i="28"/>
  <c r="Y878" i="28" s="1"/>
  <c r="S878" i="28"/>
  <c r="Z878" i="28" s="1"/>
  <c r="T878" i="28"/>
  <c r="AA878" i="28" s="1"/>
  <c r="U878" i="28"/>
  <c r="AB878" i="28" s="1"/>
  <c r="V878" i="28"/>
  <c r="AC878" i="28" s="1"/>
  <c r="Q879" i="28"/>
  <c r="X879" i="28" s="1"/>
  <c r="R879" i="28"/>
  <c r="Y879" i="28" s="1"/>
  <c r="S879" i="28"/>
  <c r="Z879" i="28" s="1"/>
  <c r="T879" i="28"/>
  <c r="AA879" i="28" s="1"/>
  <c r="U879" i="28"/>
  <c r="AB879" i="28" s="1"/>
  <c r="V879" i="28"/>
  <c r="AC879" i="28" s="1"/>
  <c r="Q880" i="28"/>
  <c r="X880" i="28" s="1"/>
  <c r="R880" i="28"/>
  <c r="Y880" i="28" s="1"/>
  <c r="S880" i="28"/>
  <c r="Z880" i="28" s="1"/>
  <c r="T880" i="28"/>
  <c r="AA880" i="28" s="1"/>
  <c r="U880" i="28"/>
  <c r="AB880" i="28" s="1"/>
  <c r="Q881" i="28"/>
  <c r="X881" i="28" s="1"/>
  <c r="R881" i="28"/>
  <c r="Y881" i="28" s="1"/>
  <c r="S881" i="28"/>
  <c r="Z881" i="28" s="1"/>
  <c r="T881" i="28"/>
  <c r="AA881" i="28" s="1"/>
  <c r="U881" i="28"/>
  <c r="AB881" i="28" s="1"/>
  <c r="V881" i="28"/>
  <c r="AC881" i="28" s="1"/>
  <c r="Q882" i="28"/>
  <c r="X882" i="28" s="1"/>
  <c r="R882" i="28"/>
  <c r="Y882" i="28" s="1"/>
  <c r="S882" i="28"/>
  <c r="Z882" i="28" s="1"/>
  <c r="T882" i="28"/>
  <c r="AA882" i="28" s="1"/>
  <c r="U882" i="28"/>
  <c r="AB882" i="28" s="1"/>
  <c r="V882" i="28"/>
  <c r="AC882" i="28" s="1"/>
  <c r="Q883" i="28"/>
  <c r="X883" i="28" s="1"/>
  <c r="R883" i="28"/>
  <c r="Y883" i="28" s="1"/>
  <c r="S883" i="28"/>
  <c r="Z883" i="28" s="1"/>
  <c r="T883" i="28"/>
  <c r="AA883" i="28" s="1"/>
  <c r="U883" i="28"/>
  <c r="AB883" i="28" s="1"/>
  <c r="V883" i="28"/>
  <c r="AC883" i="28" s="1"/>
  <c r="Q884" i="28"/>
  <c r="X884" i="28" s="1"/>
  <c r="R884" i="28"/>
  <c r="Y884" i="28" s="1"/>
  <c r="S884" i="28"/>
  <c r="Z884" i="28" s="1"/>
  <c r="T884" i="28"/>
  <c r="AA884" i="28" s="1"/>
  <c r="U884" i="28"/>
  <c r="AB884" i="28" s="1"/>
  <c r="V884" i="28"/>
  <c r="AC884" i="28" s="1"/>
  <c r="Q885" i="28"/>
  <c r="X885" i="28" s="1"/>
  <c r="R885" i="28"/>
  <c r="Y885" i="28" s="1"/>
  <c r="S885" i="28"/>
  <c r="Z885" i="28" s="1"/>
  <c r="T885" i="28"/>
  <c r="AA885" i="28" s="1"/>
  <c r="U885" i="28"/>
  <c r="AB885" i="28" s="1"/>
  <c r="V885" i="28"/>
  <c r="AC885" i="28" s="1"/>
  <c r="Q886" i="28"/>
  <c r="X886" i="28" s="1"/>
  <c r="R886" i="28"/>
  <c r="Y886" i="28" s="1"/>
  <c r="S886" i="28"/>
  <c r="Z886" i="28" s="1"/>
  <c r="T886" i="28"/>
  <c r="AA886" i="28" s="1"/>
  <c r="U886" i="28"/>
  <c r="AB886" i="28" s="1"/>
  <c r="V886" i="28"/>
  <c r="AC886" i="28" s="1"/>
  <c r="Q887" i="28"/>
  <c r="X887" i="28" s="1"/>
  <c r="R887" i="28"/>
  <c r="Y887" i="28" s="1"/>
  <c r="S887" i="28"/>
  <c r="Z887" i="28" s="1"/>
  <c r="T887" i="28"/>
  <c r="AA887" i="28" s="1"/>
  <c r="U887" i="28"/>
  <c r="AB887" i="28" s="1"/>
  <c r="V887" i="28"/>
  <c r="AC887" i="28" s="1"/>
  <c r="Q888" i="28"/>
  <c r="X888" i="28" s="1"/>
  <c r="R888" i="28"/>
  <c r="Y888" i="28" s="1"/>
  <c r="S888" i="28"/>
  <c r="Z888" i="28" s="1"/>
  <c r="T888" i="28"/>
  <c r="AA888" i="28" s="1"/>
  <c r="U888" i="28"/>
  <c r="AB888" i="28" s="1"/>
  <c r="Q889" i="28"/>
  <c r="X889" i="28" s="1"/>
  <c r="R889" i="28"/>
  <c r="Y889" i="28" s="1"/>
  <c r="S889" i="28"/>
  <c r="Z889" i="28" s="1"/>
  <c r="T889" i="28"/>
  <c r="AA889" i="28" s="1"/>
  <c r="U889" i="28"/>
  <c r="AB889" i="28" s="1"/>
  <c r="V889" i="28"/>
  <c r="AC889" i="28" s="1"/>
  <c r="Q890" i="28"/>
  <c r="X890" i="28" s="1"/>
  <c r="R890" i="28"/>
  <c r="Y890" i="28" s="1"/>
  <c r="S890" i="28"/>
  <c r="Z890" i="28" s="1"/>
  <c r="T890" i="28"/>
  <c r="AA890" i="28" s="1"/>
  <c r="U890" i="28"/>
  <c r="AB890" i="28" s="1"/>
  <c r="V890" i="28"/>
  <c r="AC890" i="28" s="1"/>
  <c r="Q891" i="28"/>
  <c r="X891" i="28" s="1"/>
  <c r="R891" i="28"/>
  <c r="Y891" i="28" s="1"/>
  <c r="S891" i="28"/>
  <c r="Z891" i="28" s="1"/>
  <c r="T891" i="28"/>
  <c r="AA891" i="28" s="1"/>
  <c r="U891" i="28"/>
  <c r="AB891" i="28" s="1"/>
  <c r="V891" i="28"/>
  <c r="AC891" i="28" s="1"/>
  <c r="Q892" i="28"/>
  <c r="X892" i="28" s="1"/>
  <c r="R892" i="28"/>
  <c r="Y892" i="28" s="1"/>
  <c r="S892" i="28"/>
  <c r="Z892" i="28" s="1"/>
  <c r="T892" i="28"/>
  <c r="AA892" i="28" s="1"/>
  <c r="U892" i="28"/>
  <c r="AB892" i="28" s="1"/>
  <c r="V892" i="28"/>
  <c r="AC892" i="28" s="1"/>
  <c r="Q893" i="28"/>
  <c r="X893" i="28" s="1"/>
  <c r="R893" i="28"/>
  <c r="Y893" i="28" s="1"/>
  <c r="S893" i="28"/>
  <c r="Z893" i="28" s="1"/>
  <c r="T893" i="28"/>
  <c r="AA893" i="28" s="1"/>
  <c r="U893" i="28"/>
  <c r="AB893" i="28" s="1"/>
  <c r="V893" i="28"/>
  <c r="AC893" i="28" s="1"/>
  <c r="Q894" i="28"/>
  <c r="X894" i="28" s="1"/>
  <c r="R894" i="28"/>
  <c r="Y894" i="28" s="1"/>
  <c r="S894" i="28"/>
  <c r="Z894" i="28" s="1"/>
  <c r="T894" i="28"/>
  <c r="AA894" i="28" s="1"/>
  <c r="U894" i="28"/>
  <c r="AB894" i="28" s="1"/>
  <c r="V894" i="28"/>
  <c r="AC894" i="28" s="1"/>
  <c r="Q895" i="28"/>
  <c r="X895" i="28" s="1"/>
  <c r="R895" i="28"/>
  <c r="Y895" i="28" s="1"/>
  <c r="S895" i="28"/>
  <c r="Z895" i="28" s="1"/>
  <c r="T895" i="28"/>
  <c r="AA895" i="28" s="1"/>
  <c r="U895" i="28"/>
  <c r="AB895" i="28" s="1"/>
  <c r="V895" i="28"/>
  <c r="AC895" i="28" s="1"/>
  <c r="Q896" i="28"/>
  <c r="X896" i="28" s="1"/>
  <c r="R896" i="28"/>
  <c r="Y896" i="28" s="1"/>
  <c r="S896" i="28"/>
  <c r="Z896" i="28" s="1"/>
  <c r="T896" i="28"/>
  <c r="AA896" i="28" s="1"/>
  <c r="U896" i="28"/>
  <c r="AB896" i="28" s="1"/>
  <c r="Q897" i="28"/>
  <c r="X897" i="28" s="1"/>
  <c r="R897" i="28"/>
  <c r="Y897" i="28" s="1"/>
  <c r="S897" i="28"/>
  <c r="Z897" i="28" s="1"/>
  <c r="T897" i="28"/>
  <c r="AA897" i="28" s="1"/>
  <c r="U897" i="28"/>
  <c r="AB897" i="28" s="1"/>
  <c r="V897" i="28"/>
  <c r="AC897" i="28" s="1"/>
  <c r="Q898" i="28"/>
  <c r="X898" i="28" s="1"/>
  <c r="R898" i="28"/>
  <c r="Y898" i="28" s="1"/>
  <c r="S898" i="28"/>
  <c r="Z898" i="28" s="1"/>
  <c r="T898" i="28"/>
  <c r="AA898" i="28" s="1"/>
  <c r="U898" i="28"/>
  <c r="AB898" i="28" s="1"/>
  <c r="V898" i="28"/>
  <c r="AC898" i="28" s="1"/>
  <c r="Q899" i="28"/>
  <c r="X899" i="28" s="1"/>
  <c r="R899" i="28"/>
  <c r="Y899" i="28" s="1"/>
  <c r="S899" i="28"/>
  <c r="Z899" i="28" s="1"/>
  <c r="T899" i="28"/>
  <c r="AA899" i="28" s="1"/>
  <c r="U899" i="28"/>
  <c r="AB899" i="28" s="1"/>
  <c r="V899" i="28"/>
  <c r="AC899" i="28" s="1"/>
  <c r="Q900" i="28"/>
  <c r="X900" i="28" s="1"/>
  <c r="R900" i="28"/>
  <c r="Y900" i="28" s="1"/>
  <c r="S900" i="28"/>
  <c r="Z900" i="28" s="1"/>
  <c r="T900" i="28"/>
  <c r="AA900" i="28" s="1"/>
  <c r="U900" i="28"/>
  <c r="AB900" i="28" s="1"/>
  <c r="V900" i="28"/>
  <c r="AC900" i="28" s="1"/>
  <c r="Q901" i="28"/>
  <c r="X901" i="28" s="1"/>
  <c r="R901" i="28"/>
  <c r="Y901" i="28" s="1"/>
  <c r="S901" i="28"/>
  <c r="Z901" i="28" s="1"/>
  <c r="T901" i="28"/>
  <c r="AA901" i="28" s="1"/>
  <c r="U901" i="28"/>
  <c r="AB901" i="28" s="1"/>
  <c r="V901" i="28"/>
  <c r="AC901" i="28" s="1"/>
  <c r="Q902" i="28"/>
  <c r="X902" i="28" s="1"/>
  <c r="R902" i="28"/>
  <c r="Y902" i="28" s="1"/>
  <c r="S902" i="28"/>
  <c r="Z902" i="28" s="1"/>
  <c r="T902" i="28"/>
  <c r="AA902" i="28" s="1"/>
  <c r="U902" i="28"/>
  <c r="AB902" i="28" s="1"/>
  <c r="V902" i="28"/>
  <c r="AC902" i="28" s="1"/>
  <c r="Q903" i="28"/>
  <c r="X903" i="28" s="1"/>
  <c r="R903" i="28"/>
  <c r="Y903" i="28" s="1"/>
  <c r="S903" i="28"/>
  <c r="Z903" i="28" s="1"/>
  <c r="T903" i="28"/>
  <c r="AA903" i="28" s="1"/>
  <c r="U903" i="28"/>
  <c r="AB903" i="28" s="1"/>
  <c r="V903" i="28"/>
  <c r="AC903" i="28" s="1"/>
  <c r="Q904" i="28"/>
  <c r="X904" i="28" s="1"/>
  <c r="R904" i="28"/>
  <c r="Y904" i="28" s="1"/>
  <c r="S904" i="28"/>
  <c r="Z904" i="28" s="1"/>
  <c r="T904" i="28"/>
  <c r="AA904" i="28" s="1"/>
  <c r="U904" i="28"/>
  <c r="AB904" i="28" s="1"/>
  <c r="Q905" i="28"/>
  <c r="X905" i="28" s="1"/>
  <c r="R905" i="28"/>
  <c r="Y905" i="28" s="1"/>
  <c r="S905" i="28"/>
  <c r="Z905" i="28" s="1"/>
  <c r="T905" i="28"/>
  <c r="AA905" i="28" s="1"/>
  <c r="U905" i="28"/>
  <c r="AB905" i="28" s="1"/>
  <c r="V905" i="28"/>
  <c r="AC905" i="28" s="1"/>
  <c r="Q906" i="28"/>
  <c r="X906" i="28" s="1"/>
  <c r="R906" i="28"/>
  <c r="Y906" i="28" s="1"/>
  <c r="S906" i="28"/>
  <c r="Z906" i="28" s="1"/>
  <c r="T906" i="28"/>
  <c r="AA906" i="28" s="1"/>
  <c r="U906" i="28"/>
  <c r="AB906" i="28" s="1"/>
  <c r="V906" i="28"/>
  <c r="AC906" i="28" s="1"/>
  <c r="Q907" i="28"/>
  <c r="X907" i="28" s="1"/>
  <c r="R907" i="28"/>
  <c r="Y907" i="28" s="1"/>
  <c r="S907" i="28"/>
  <c r="Z907" i="28" s="1"/>
  <c r="T907" i="28"/>
  <c r="AA907" i="28" s="1"/>
  <c r="U907" i="28"/>
  <c r="AB907" i="28" s="1"/>
  <c r="V907" i="28"/>
  <c r="AC907" i="28" s="1"/>
  <c r="Q908" i="28"/>
  <c r="X908" i="28" s="1"/>
  <c r="R908" i="28"/>
  <c r="Y908" i="28" s="1"/>
  <c r="S908" i="28"/>
  <c r="Z908" i="28" s="1"/>
  <c r="T908" i="28"/>
  <c r="AA908" i="28" s="1"/>
  <c r="U908" i="28"/>
  <c r="AB908" i="28" s="1"/>
  <c r="V908" i="28"/>
  <c r="AC908" i="28" s="1"/>
  <c r="Q909" i="28"/>
  <c r="X909" i="28" s="1"/>
  <c r="R909" i="28"/>
  <c r="Y909" i="28" s="1"/>
  <c r="S909" i="28"/>
  <c r="Z909" i="28" s="1"/>
  <c r="T909" i="28"/>
  <c r="AA909" i="28" s="1"/>
  <c r="U909" i="28"/>
  <c r="AB909" i="28" s="1"/>
  <c r="V909" i="28"/>
  <c r="AC909" i="28" s="1"/>
  <c r="Q910" i="28"/>
  <c r="X910" i="28" s="1"/>
  <c r="R910" i="28"/>
  <c r="Y910" i="28" s="1"/>
  <c r="S910" i="28"/>
  <c r="Z910" i="28" s="1"/>
  <c r="T910" i="28"/>
  <c r="AA910" i="28" s="1"/>
  <c r="U910" i="28"/>
  <c r="AB910" i="28" s="1"/>
  <c r="V910" i="28"/>
  <c r="AC910" i="28" s="1"/>
  <c r="Q911" i="28"/>
  <c r="X911" i="28" s="1"/>
  <c r="R911" i="28"/>
  <c r="Y911" i="28" s="1"/>
  <c r="S911" i="28"/>
  <c r="Z911" i="28" s="1"/>
  <c r="T911" i="28"/>
  <c r="AA911" i="28" s="1"/>
  <c r="U911" i="28"/>
  <c r="AB911" i="28" s="1"/>
  <c r="V911" i="28"/>
  <c r="AC911" i="28" s="1"/>
  <c r="Q912" i="28"/>
  <c r="X912" i="28" s="1"/>
  <c r="R912" i="28"/>
  <c r="Y912" i="28" s="1"/>
  <c r="S912" i="28"/>
  <c r="Z912" i="28" s="1"/>
  <c r="T912" i="28"/>
  <c r="AA912" i="28" s="1"/>
  <c r="U912" i="28"/>
  <c r="AB912" i="28" s="1"/>
  <c r="Q913" i="28"/>
  <c r="X913" i="28" s="1"/>
  <c r="R913" i="28"/>
  <c r="Y913" i="28" s="1"/>
  <c r="S913" i="28"/>
  <c r="Z913" i="28" s="1"/>
  <c r="T913" i="28"/>
  <c r="AA913" i="28" s="1"/>
  <c r="U913" i="28"/>
  <c r="AB913" i="28" s="1"/>
  <c r="V913" i="28"/>
  <c r="AC913" i="28" s="1"/>
  <c r="Q914" i="28"/>
  <c r="X914" i="28" s="1"/>
  <c r="R914" i="28"/>
  <c r="Y914" i="28" s="1"/>
  <c r="S914" i="28"/>
  <c r="Z914" i="28" s="1"/>
  <c r="T914" i="28"/>
  <c r="AA914" i="28" s="1"/>
  <c r="U914" i="28"/>
  <c r="AB914" i="28" s="1"/>
  <c r="V914" i="28"/>
  <c r="AC914" i="28" s="1"/>
  <c r="Q915" i="28"/>
  <c r="X915" i="28" s="1"/>
  <c r="R915" i="28"/>
  <c r="Y915" i="28" s="1"/>
  <c r="S915" i="28"/>
  <c r="Z915" i="28" s="1"/>
  <c r="T915" i="28"/>
  <c r="AA915" i="28" s="1"/>
  <c r="U915" i="28"/>
  <c r="AB915" i="28" s="1"/>
  <c r="V915" i="28"/>
  <c r="AC915" i="28" s="1"/>
  <c r="Q916" i="28"/>
  <c r="X916" i="28" s="1"/>
  <c r="R916" i="28"/>
  <c r="Y916" i="28" s="1"/>
  <c r="S916" i="28"/>
  <c r="Z916" i="28" s="1"/>
  <c r="T916" i="28"/>
  <c r="AA916" i="28" s="1"/>
  <c r="U916" i="28"/>
  <c r="AB916" i="28" s="1"/>
  <c r="V916" i="28"/>
  <c r="AC916" i="28" s="1"/>
  <c r="Q917" i="28"/>
  <c r="X917" i="28" s="1"/>
  <c r="R917" i="28"/>
  <c r="Y917" i="28" s="1"/>
  <c r="S917" i="28"/>
  <c r="Z917" i="28" s="1"/>
  <c r="T917" i="28"/>
  <c r="AA917" i="28" s="1"/>
  <c r="U917" i="28"/>
  <c r="AB917" i="28" s="1"/>
  <c r="V917" i="28"/>
  <c r="AC917" i="28" s="1"/>
  <c r="Q918" i="28"/>
  <c r="X918" i="28" s="1"/>
  <c r="R918" i="28"/>
  <c r="Y918" i="28" s="1"/>
  <c r="S918" i="28"/>
  <c r="Z918" i="28" s="1"/>
  <c r="T918" i="28"/>
  <c r="AA918" i="28" s="1"/>
  <c r="U918" i="28"/>
  <c r="AB918" i="28" s="1"/>
  <c r="V918" i="28"/>
  <c r="AC918" i="28" s="1"/>
  <c r="Q919" i="28"/>
  <c r="X919" i="28" s="1"/>
  <c r="R919" i="28"/>
  <c r="Y919" i="28" s="1"/>
  <c r="S919" i="28"/>
  <c r="Z919" i="28" s="1"/>
  <c r="T919" i="28"/>
  <c r="AA919" i="28" s="1"/>
  <c r="U919" i="28"/>
  <c r="AB919" i="28" s="1"/>
  <c r="V919" i="28"/>
  <c r="AC919" i="28" s="1"/>
  <c r="Q920" i="28"/>
  <c r="X920" i="28" s="1"/>
  <c r="R920" i="28"/>
  <c r="Y920" i="28" s="1"/>
  <c r="S920" i="28"/>
  <c r="Z920" i="28" s="1"/>
  <c r="T920" i="28"/>
  <c r="AA920" i="28" s="1"/>
  <c r="U920" i="28"/>
  <c r="AB920" i="28" s="1"/>
  <c r="Q921" i="28"/>
  <c r="X921" i="28" s="1"/>
  <c r="R921" i="28"/>
  <c r="Y921" i="28" s="1"/>
  <c r="S921" i="28"/>
  <c r="Z921" i="28" s="1"/>
  <c r="T921" i="28"/>
  <c r="AA921" i="28" s="1"/>
  <c r="U921" i="28"/>
  <c r="AB921" i="28" s="1"/>
  <c r="V921" i="28"/>
  <c r="AC921" i="28" s="1"/>
  <c r="Q922" i="28"/>
  <c r="X922" i="28" s="1"/>
  <c r="R922" i="28"/>
  <c r="Y922" i="28" s="1"/>
  <c r="S922" i="28"/>
  <c r="Z922" i="28" s="1"/>
  <c r="T922" i="28"/>
  <c r="AA922" i="28" s="1"/>
  <c r="U922" i="28"/>
  <c r="AB922" i="28" s="1"/>
  <c r="V922" i="28"/>
  <c r="AC922" i="28" s="1"/>
  <c r="Q923" i="28"/>
  <c r="X923" i="28" s="1"/>
  <c r="R923" i="28"/>
  <c r="Y923" i="28" s="1"/>
  <c r="S923" i="28"/>
  <c r="Z923" i="28" s="1"/>
  <c r="T923" i="28"/>
  <c r="AA923" i="28" s="1"/>
  <c r="U923" i="28"/>
  <c r="AB923" i="28" s="1"/>
  <c r="V923" i="28"/>
  <c r="AC923" i="28" s="1"/>
  <c r="Q924" i="28"/>
  <c r="X924" i="28" s="1"/>
  <c r="R924" i="28"/>
  <c r="Y924" i="28" s="1"/>
  <c r="S924" i="28"/>
  <c r="Z924" i="28" s="1"/>
  <c r="T924" i="28"/>
  <c r="AA924" i="28" s="1"/>
  <c r="U924" i="28"/>
  <c r="AB924" i="28" s="1"/>
  <c r="V924" i="28"/>
  <c r="AC924" i="28" s="1"/>
  <c r="Q925" i="28"/>
  <c r="X925" i="28" s="1"/>
  <c r="R925" i="28"/>
  <c r="Y925" i="28" s="1"/>
  <c r="S925" i="28"/>
  <c r="Z925" i="28" s="1"/>
  <c r="T925" i="28"/>
  <c r="AA925" i="28" s="1"/>
  <c r="U925" i="28"/>
  <c r="AB925" i="28" s="1"/>
  <c r="V925" i="28"/>
  <c r="AC925" i="28" s="1"/>
  <c r="Q926" i="28"/>
  <c r="X926" i="28" s="1"/>
  <c r="R926" i="28"/>
  <c r="Y926" i="28" s="1"/>
  <c r="S926" i="28"/>
  <c r="Z926" i="28" s="1"/>
  <c r="T926" i="28"/>
  <c r="AA926" i="28" s="1"/>
  <c r="U926" i="28"/>
  <c r="AB926" i="28" s="1"/>
  <c r="V926" i="28"/>
  <c r="AC926" i="28" s="1"/>
  <c r="Q927" i="28"/>
  <c r="X927" i="28" s="1"/>
  <c r="R927" i="28"/>
  <c r="Y927" i="28" s="1"/>
  <c r="S927" i="28"/>
  <c r="Z927" i="28" s="1"/>
  <c r="T927" i="28"/>
  <c r="AA927" i="28" s="1"/>
  <c r="U927" i="28"/>
  <c r="AB927" i="28" s="1"/>
  <c r="V927" i="28"/>
  <c r="AC927" i="28" s="1"/>
  <c r="Q928" i="28"/>
  <c r="X928" i="28" s="1"/>
  <c r="R928" i="28"/>
  <c r="Y928" i="28" s="1"/>
  <c r="S928" i="28"/>
  <c r="Z928" i="28" s="1"/>
  <c r="T928" i="28"/>
  <c r="AA928" i="28" s="1"/>
  <c r="U928" i="28"/>
  <c r="AB928" i="28" s="1"/>
  <c r="Q929" i="28"/>
  <c r="X929" i="28" s="1"/>
  <c r="R929" i="28"/>
  <c r="Y929" i="28" s="1"/>
  <c r="S929" i="28"/>
  <c r="Z929" i="28" s="1"/>
  <c r="T929" i="28"/>
  <c r="AA929" i="28" s="1"/>
  <c r="U929" i="28"/>
  <c r="AB929" i="28" s="1"/>
  <c r="V929" i="28"/>
  <c r="AC929" i="28" s="1"/>
  <c r="Q930" i="28"/>
  <c r="X930" i="28" s="1"/>
  <c r="R930" i="28"/>
  <c r="Y930" i="28" s="1"/>
  <c r="S930" i="28"/>
  <c r="Z930" i="28" s="1"/>
  <c r="T930" i="28"/>
  <c r="AA930" i="28" s="1"/>
  <c r="U930" i="28"/>
  <c r="AB930" i="28" s="1"/>
  <c r="V930" i="28"/>
  <c r="AC930" i="28" s="1"/>
  <c r="Q931" i="28"/>
  <c r="X931" i="28" s="1"/>
  <c r="R931" i="28"/>
  <c r="Y931" i="28" s="1"/>
  <c r="S931" i="28"/>
  <c r="Z931" i="28" s="1"/>
  <c r="T931" i="28"/>
  <c r="AA931" i="28" s="1"/>
  <c r="U931" i="28"/>
  <c r="AB931" i="28" s="1"/>
  <c r="V931" i="28"/>
  <c r="AC931" i="28" s="1"/>
  <c r="Q932" i="28"/>
  <c r="X932" i="28" s="1"/>
  <c r="R932" i="28"/>
  <c r="Y932" i="28" s="1"/>
  <c r="S932" i="28"/>
  <c r="Z932" i="28" s="1"/>
  <c r="T932" i="28"/>
  <c r="AA932" i="28" s="1"/>
  <c r="U932" i="28"/>
  <c r="AB932" i="28" s="1"/>
  <c r="V932" i="28"/>
  <c r="AC932" i="28" s="1"/>
  <c r="Q933" i="28"/>
  <c r="X933" i="28" s="1"/>
  <c r="R933" i="28"/>
  <c r="Y933" i="28" s="1"/>
  <c r="S933" i="28"/>
  <c r="Z933" i="28" s="1"/>
  <c r="T933" i="28"/>
  <c r="AA933" i="28" s="1"/>
  <c r="U933" i="28"/>
  <c r="AB933" i="28" s="1"/>
  <c r="V933" i="28"/>
  <c r="AC933" i="28" s="1"/>
  <c r="Q934" i="28"/>
  <c r="X934" i="28" s="1"/>
  <c r="R934" i="28"/>
  <c r="Y934" i="28" s="1"/>
  <c r="S934" i="28"/>
  <c r="Z934" i="28" s="1"/>
  <c r="T934" i="28"/>
  <c r="AA934" i="28" s="1"/>
  <c r="U934" i="28"/>
  <c r="AB934" i="28" s="1"/>
  <c r="V934" i="28"/>
  <c r="AC934" i="28" s="1"/>
  <c r="Q935" i="28"/>
  <c r="X935" i="28" s="1"/>
  <c r="R935" i="28"/>
  <c r="Y935" i="28" s="1"/>
  <c r="S935" i="28"/>
  <c r="Z935" i="28" s="1"/>
  <c r="T935" i="28"/>
  <c r="AA935" i="28" s="1"/>
  <c r="U935" i="28"/>
  <c r="AB935" i="28" s="1"/>
  <c r="V935" i="28"/>
  <c r="AC935" i="28" s="1"/>
  <c r="Q936" i="28"/>
  <c r="X936" i="28" s="1"/>
  <c r="R936" i="28"/>
  <c r="Y936" i="28" s="1"/>
  <c r="S936" i="28"/>
  <c r="Z936" i="28" s="1"/>
  <c r="T936" i="28"/>
  <c r="AA936" i="28" s="1"/>
  <c r="U936" i="28"/>
  <c r="AB936" i="28" s="1"/>
  <c r="Q937" i="28"/>
  <c r="X937" i="28" s="1"/>
  <c r="R937" i="28"/>
  <c r="Y937" i="28" s="1"/>
  <c r="S937" i="28"/>
  <c r="Z937" i="28" s="1"/>
  <c r="T937" i="28"/>
  <c r="AA937" i="28" s="1"/>
  <c r="U937" i="28"/>
  <c r="AB937" i="28" s="1"/>
  <c r="V937" i="28"/>
  <c r="AC937" i="28" s="1"/>
  <c r="Q938" i="28"/>
  <c r="X938" i="28" s="1"/>
  <c r="R938" i="28"/>
  <c r="Y938" i="28" s="1"/>
  <c r="S938" i="28"/>
  <c r="Z938" i="28" s="1"/>
  <c r="T938" i="28"/>
  <c r="AA938" i="28" s="1"/>
  <c r="U938" i="28"/>
  <c r="AB938" i="28" s="1"/>
  <c r="V938" i="28"/>
  <c r="AC938" i="28" s="1"/>
  <c r="Q939" i="28"/>
  <c r="X939" i="28" s="1"/>
  <c r="R939" i="28"/>
  <c r="Y939" i="28" s="1"/>
  <c r="S939" i="28"/>
  <c r="Z939" i="28" s="1"/>
  <c r="T939" i="28"/>
  <c r="AA939" i="28" s="1"/>
  <c r="U939" i="28"/>
  <c r="AB939" i="28" s="1"/>
  <c r="V939" i="28"/>
  <c r="AC939" i="28" s="1"/>
  <c r="Q940" i="28"/>
  <c r="X940" i="28" s="1"/>
  <c r="R940" i="28"/>
  <c r="Y940" i="28" s="1"/>
  <c r="S940" i="28"/>
  <c r="Z940" i="28" s="1"/>
  <c r="T940" i="28"/>
  <c r="AA940" i="28" s="1"/>
  <c r="U940" i="28"/>
  <c r="AB940" i="28" s="1"/>
  <c r="V940" i="28"/>
  <c r="AC940" i="28" s="1"/>
  <c r="Q941" i="28"/>
  <c r="X941" i="28" s="1"/>
  <c r="R941" i="28"/>
  <c r="Y941" i="28" s="1"/>
  <c r="S941" i="28"/>
  <c r="Z941" i="28" s="1"/>
  <c r="T941" i="28"/>
  <c r="AA941" i="28" s="1"/>
  <c r="U941" i="28"/>
  <c r="AB941" i="28" s="1"/>
  <c r="V941" i="28"/>
  <c r="AC941" i="28" s="1"/>
  <c r="Q942" i="28"/>
  <c r="X942" i="28" s="1"/>
  <c r="R942" i="28"/>
  <c r="Y942" i="28" s="1"/>
  <c r="S942" i="28"/>
  <c r="Z942" i="28" s="1"/>
  <c r="T942" i="28"/>
  <c r="AA942" i="28" s="1"/>
  <c r="U942" i="28"/>
  <c r="AB942" i="28" s="1"/>
  <c r="V942" i="28"/>
  <c r="AC942" i="28" s="1"/>
  <c r="Q943" i="28"/>
  <c r="X943" i="28" s="1"/>
  <c r="R943" i="28"/>
  <c r="Y943" i="28" s="1"/>
  <c r="S943" i="28"/>
  <c r="Z943" i="28" s="1"/>
  <c r="T943" i="28"/>
  <c r="AA943" i="28" s="1"/>
  <c r="U943" i="28"/>
  <c r="AB943" i="28" s="1"/>
  <c r="V943" i="28"/>
  <c r="AC943" i="28" s="1"/>
  <c r="Q944" i="28"/>
  <c r="X944" i="28" s="1"/>
  <c r="R944" i="28"/>
  <c r="Y944" i="28" s="1"/>
  <c r="S944" i="28"/>
  <c r="Z944" i="28" s="1"/>
  <c r="T944" i="28"/>
  <c r="AA944" i="28" s="1"/>
  <c r="U944" i="28"/>
  <c r="AB944" i="28" s="1"/>
  <c r="Q945" i="28"/>
  <c r="X945" i="28" s="1"/>
  <c r="R945" i="28"/>
  <c r="Y945" i="28" s="1"/>
  <c r="S945" i="28"/>
  <c r="Z945" i="28" s="1"/>
  <c r="T945" i="28"/>
  <c r="AA945" i="28" s="1"/>
  <c r="U945" i="28"/>
  <c r="AB945" i="28" s="1"/>
  <c r="V945" i="28"/>
  <c r="AC945" i="28" s="1"/>
  <c r="Q946" i="28"/>
  <c r="X946" i="28" s="1"/>
  <c r="R946" i="28"/>
  <c r="Y946" i="28" s="1"/>
  <c r="S946" i="28"/>
  <c r="Z946" i="28" s="1"/>
  <c r="T946" i="28"/>
  <c r="AA946" i="28" s="1"/>
  <c r="U946" i="28"/>
  <c r="AB946" i="28" s="1"/>
  <c r="V946" i="28"/>
  <c r="AC946" i="28" s="1"/>
  <c r="Q947" i="28"/>
  <c r="X947" i="28" s="1"/>
  <c r="R947" i="28"/>
  <c r="Y947" i="28" s="1"/>
  <c r="S947" i="28"/>
  <c r="Z947" i="28" s="1"/>
  <c r="T947" i="28"/>
  <c r="AA947" i="28" s="1"/>
  <c r="U947" i="28"/>
  <c r="AB947" i="28" s="1"/>
  <c r="V947" i="28"/>
  <c r="AC947" i="28" s="1"/>
  <c r="Q948" i="28"/>
  <c r="X948" i="28" s="1"/>
  <c r="R948" i="28"/>
  <c r="Y948" i="28" s="1"/>
  <c r="S948" i="28"/>
  <c r="Z948" i="28" s="1"/>
  <c r="T948" i="28"/>
  <c r="AA948" i="28" s="1"/>
  <c r="U948" i="28"/>
  <c r="AB948" i="28" s="1"/>
  <c r="V948" i="28"/>
  <c r="AC948" i="28" s="1"/>
  <c r="Q949" i="28"/>
  <c r="X949" i="28" s="1"/>
  <c r="R949" i="28"/>
  <c r="Y949" i="28" s="1"/>
  <c r="S949" i="28"/>
  <c r="Z949" i="28" s="1"/>
  <c r="T949" i="28"/>
  <c r="AA949" i="28" s="1"/>
  <c r="U949" i="28"/>
  <c r="AB949" i="28" s="1"/>
  <c r="V949" i="28"/>
  <c r="AC949" i="28" s="1"/>
  <c r="Q950" i="28"/>
  <c r="X950" i="28" s="1"/>
  <c r="R950" i="28"/>
  <c r="Y950" i="28" s="1"/>
  <c r="S950" i="28"/>
  <c r="Z950" i="28" s="1"/>
  <c r="T950" i="28"/>
  <c r="AA950" i="28" s="1"/>
  <c r="U950" i="28"/>
  <c r="AB950" i="28" s="1"/>
  <c r="V950" i="28"/>
  <c r="AC950" i="28" s="1"/>
  <c r="Q951" i="28"/>
  <c r="X951" i="28" s="1"/>
  <c r="R951" i="28"/>
  <c r="Y951" i="28" s="1"/>
  <c r="S951" i="28"/>
  <c r="Z951" i="28" s="1"/>
  <c r="T951" i="28"/>
  <c r="AA951" i="28" s="1"/>
  <c r="U951" i="28"/>
  <c r="AB951" i="28" s="1"/>
  <c r="V951" i="28"/>
  <c r="AC951" i="28" s="1"/>
  <c r="Q952" i="28"/>
  <c r="X952" i="28" s="1"/>
  <c r="R952" i="28"/>
  <c r="Y952" i="28" s="1"/>
  <c r="S952" i="28"/>
  <c r="Z952" i="28" s="1"/>
  <c r="T952" i="28"/>
  <c r="AA952" i="28" s="1"/>
  <c r="U952" i="28"/>
  <c r="AB952" i="28" s="1"/>
  <c r="Q953" i="28"/>
  <c r="X953" i="28" s="1"/>
  <c r="R953" i="28"/>
  <c r="Y953" i="28" s="1"/>
  <c r="S953" i="28"/>
  <c r="Z953" i="28" s="1"/>
  <c r="T953" i="28"/>
  <c r="AA953" i="28" s="1"/>
  <c r="U953" i="28"/>
  <c r="AB953" i="28" s="1"/>
  <c r="V953" i="28"/>
  <c r="AC953" i="28" s="1"/>
  <c r="Q954" i="28"/>
  <c r="X954" i="28" s="1"/>
  <c r="R954" i="28"/>
  <c r="Y954" i="28" s="1"/>
  <c r="S954" i="28"/>
  <c r="Z954" i="28" s="1"/>
  <c r="T954" i="28"/>
  <c r="AA954" i="28" s="1"/>
  <c r="U954" i="28"/>
  <c r="AB954" i="28" s="1"/>
  <c r="V954" i="28"/>
  <c r="AC954" i="28" s="1"/>
  <c r="Q955" i="28"/>
  <c r="X955" i="28" s="1"/>
  <c r="R955" i="28"/>
  <c r="Y955" i="28" s="1"/>
  <c r="S955" i="28"/>
  <c r="Z955" i="28" s="1"/>
  <c r="T955" i="28"/>
  <c r="AA955" i="28" s="1"/>
  <c r="U955" i="28"/>
  <c r="AB955" i="28" s="1"/>
  <c r="V955" i="28"/>
  <c r="AC955" i="28" s="1"/>
  <c r="Q956" i="28"/>
  <c r="X956" i="28" s="1"/>
  <c r="R956" i="28"/>
  <c r="Y956" i="28" s="1"/>
  <c r="S956" i="28"/>
  <c r="Z956" i="28" s="1"/>
  <c r="T956" i="28"/>
  <c r="AA956" i="28" s="1"/>
  <c r="U956" i="28"/>
  <c r="AB956" i="28" s="1"/>
  <c r="V956" i="28"/>
  <c r="AC956" i="28" s="1"/>
  <c r="Q957" i="28"/>
  <c r="X957" i="28" s="1"/>
  <c r="R957" i="28"/>
  <c r="Y957" i="28" s="1"/>
  <c r="S957" i="28"/>
  <c r="Z957" i="28" s="1"/>
  <c r="T957" i="28"/>
  <c r="AA957" i="28" s="1"/>
  <c r="U957" i="28"/>
  <c r="AB957" i="28" s="1"/>
  <c r="V957" i="28"/>
  <c r="AC957" i="28" s="1"/>
  <c r="Q958" i="28"/>
  <c r="X958" i="28" s="1"/>
  <c r="R958" i="28"/>
  <c r="Y958" i="28" s="1"/>
  <c r="S958" i="28"/>
  <c r="Z958" i="28" s="1"/>
  <c r="T958" i="28"/>
  <c r="AA958" i="28" s="1"/>
  <c r="U958" i="28"/>
  <c r="AB958" i="28" s="1"/>
  <c r="V958" i="28"/>
  <c r="AC958" i="28" s="1"/>
  <c r="Q959" i="28"/>
  <c r="X959" i="28" s="1"/>
  <c r="R959" i="28"/>
  <c r="Y959" i="28" s="1"/>
  <c r="S959" i="28"/>
  <c r="Z959" i="28" s="1"/>
  <c r="T959" i="28"/>
  <c r="AA959" i="28" s="1"/>
  <c r="U959" i="28"/>
  <c r="AB959" i="28" s="1"/>
  <c r="V959" i="28"/>
  <c r="AC959" i="28" s="1"/>
  <c r="Q960" i="28"/>
  <c r="X960" i="28" s="1"/>
  <c r="R960" i="28"/>
  <c r="Y960" i="28" s="1"/>
  <c r="S960" i="28"/>
  <c r="Z960" i="28" s="1"/>
  <c r="T960" i="28"/>
  <c r="AA960" i="28" s="1"/>
  <c r="U960" i="28"/>
  <c r="AB960" i="28" s="1"/>
  <c r="Q961" i="28"/>
  <c r="X961" i="28" s="1"/>
  <c r="R961" i="28"/>
  <c r="Y961" i="28" s="1"/>
  <c r="S961" i="28"/>
  <c r="Z961" i="28" s="1"/>
  <c r="T961" i="28"/>
  <c r="AA961" i="28" s="1"/>
  <c r="U961" i="28"/>
  <c r="AB961" i="28" s="1"/>
  <c r="V961" i="28"/>
  <c r="AC961" i="28" s="1"/>
  <c r="Q962" i="28"/>
  <c r="X962" i="28" s="1"/>
  <c r="R962" i="28"/>
  <c r="Y962" i="28" s="1"/>
  <c r="S962" i="28"/>
  <c r="Z962" i="28" s="1"/>
  <c r="T962" i="28"/>
  <c r="AA962" i="28" s="1"/>
  <c r="U962" i="28"/>
  <c r="AB962" i="28" s="1"/>
  <c r="V962" i="28"/>
  <c r="AC962" i="28" s="1"/>
  <c r="Q963" i="28"/>
  <c r="X963" i="28" s="1"/>
  <c r="R963" i="28"/>
  <c r="Y963" i="28" s="1"/>
  <c r="S963" i="28"/>
  <c r="Z963" i="28" s="1"/>
  <c r="T963" i="28"/>
  <c r="AA963" i="28" s="1"/>
  <c r="U963" i="28"/>
  <c r="AB963" i="28" s="1"/>
  <c r="V963" i="28"/>
  <c r="AC963" i="28" s="1"/>
  <c r="Q964" i="28"/>
  <c r="X964" i="28" s="1"/>
  <c r="R964" i="28"/>
  <c r="Y964" i="28" s="1"/>
  <c r="S964" i="28"/>
  <c r="Z964" i="28" s="1"/>
  <c r="T964" i="28"/>
  <c r="AA964" i="28" s="1"/>
  <c r="U964" i="28"/>
  <c r="AB964" i="28" s="1"/>
  <c r="V964" i="28"/>
  <c r="AC964" i="28" s="1"/>
  <c r="Q965" i="28"/>
  <c r="X965" i="28" s="1"/>
  <c r="R965" i="28"/>
  <c r="Y965" i="28" s="1"/>
  <c r="S965" i="28"/>
  <c r="Z965" i="28" s="1"/>
  <c r="T965" i="28"/>
  <c r="AA965" i="28" s="1"/>
  <c r="U965" i="28"/>
  <c r="AB965" i="28" s="1"/>
  <c r="V965" i="28"/>
  <c r="AC965" i="28" s="1"/>
  <c r="Q966" i="28"/>
  <c r="X966" i="28" s="1"/>
  <c r="R966" i="28"/>
  <c r="Y966" i="28" s="1"/>
  <c r="S966" i="28"/>
  <c r="Z966" i="28" s="1"/>
  <c r="T966" i="28"/>
  <c r="AA966" i="28" s="1"/>
  <c r="U966" i="28"/>
  <c r="AB966" i="28" s="1"/>
  <c r="V966" i="28"/>
  <c r="AC966" i="28" s="1"/>
  <c r="Q967" i="28"/>
  <c r="X967" i="28" s="1"/>
  <c r="R967" i="28"/>
  <c r="Y967" i="28" s="1"/>
  <c r="S967" i="28"/>
  <c r="Z967" i="28" s="1"/>
  <c r="T967" i="28"/>
  <c r="AA967" i="28" s="1"/>
  <c r="U967" i="28"/>
  <c r="AB967" i="28" s="1"/>
  <c r="V967" i="28"/>
  <c r="AC967" i="28" s="1"/>
  <c r="Q968" i="28"/>
  <c r="X968" i="28" s="1"/>
  <c r="R968" i="28"/>
  <c r="Y968" i="28" s="1"/>
  <c r="S968" i="28"/>
  <c r="Z968" i="28" s="1"/>
  <c r="T968" i="28"/>
  <c r="AA968" i="28" s="1"/>
  <c r="U968" i="28"/>
  <c r="AB968" i="28" s="1"/>
  <c r="Q969" i="28"/>
  <c r="X969" i="28" s="1"/>
  <c r="R969" i="28"/>
  <c r="Y969" i="28" s="1"/>
  <c r="S969" i="28"/>
  <c r="Z969" i="28" s="1"/>
  <c r="T969" i="28"/>
  <c r="AA969" i="28" s="1"/>
  <c r="U969" i="28"/>
  <c r="AB969" i="28" s="1"/>
  <c r="V969" i="28"/>
  <c r="AC969" i="28" s="1"/>
  <c r="Q970" i="28"/>
  <c r="X970" i="28" s="1"/>
  <c r="R970" i="28"/>
  <c r="Y970" i="28" s="1"/>
  <c r="S970" i="28"/>
  <c r="Z970" i="28" s="1"/>
  <c r="T970" i="28"/>
  <c r="AA970" i="28" s="1"/>
  <c r="U970" i="28"/>
  <c r="AB970" i="28" s="1"/>
  <c r="V970" i="28"/>
  <c r="AC970" i="28" s="1"/>
  <c r="Q971" i="28"/>
  <c r="X971" i="28" s="1"/>
  <c r="R971" i="28"/>
  <c r="Y971" i="28" s="1"/>
  <c r="S971" i="28"/>
  <c r="Z971" i="28" s="1"/>
  <c r="T971" i="28"/>
  <c r="AA971" i="28" s="1"/>
  <c r="U971" i="28"/>
  <c r="AB971" i="28" s="1"/>
  <c r="V971" i="28"/>
  <c r="AC971" i="28" s="1"/>
  <c r="Q972" i="28"/>
  <c r="X972" i="28" s="1"/>
  <c r="R972" i="28"/>
  <c r="Y972" i="28" s="1"/>
  <c r="S972" i="28"/>
  <c r="Z972" i="28" s="1"/>
  <c r="T972" i="28"/>
  <c r="AA972" i="28" s="1"/>
  <c r="U972" i="28"/>
  <c r="AB972" i="28" s="1"/>
  <c r="V972" i="28"/>
  <c r="AC972" i="28" s="1"/>
  <c r="Q973" i="28"/>
  <c r="X973" i="28" s="1"/>
  <c r="R973" i="28"/>
  <c r="Y973" i="28" s="1"/>
  <c r="S973" i="28"/>
  <c r="Z973" i="28" s="1"/>
  <c r="T973" i="28"/>
  <c r="AA973" i="28" s="1"/>
  <c r="U973" i="28"/>
  <c r="AB973" i="28" s="1"/>
  <c r="V973" i="28"/>
  <c r="AC973" i="28" s="1"/>
  <c r="Q974" i="28"/>
  <c r="X974" i="28" s="1"/>
  <c r="R974" i="28"/>
  <c r="Y974" i="28" s="1"/>
  <c r="S974" i="28"/>
  <c r="Z974" i="28" s="1"/>
  <c r="T974" i="28"/>
  <c r="AA974" i="28" s="1"/>
  <c r="U974" i="28"/>
  <c r="AB974" i="28" s="1"/>
  <c r="V974" i="28"/>
  <c r="AC974" i="28" s="1"/>
  <c r="Q975" i="28"/>
  <c r="X975" i="28" s="1"/>
  <c r="R975" i="28"/>
  <c r="Y975" i="28" s="1"/>
  <c r="S975" i="28"/>
  <c r="Z975" i="28" s="1"/>
  <c r="T975" i="28"/>
  <c r="AA975" i="28" s="1"/>
  <c r="U975" i="28"/>
  <c r="AB975" i="28" s="1"/>
  <c r="V975" i="28"/>
  <c r="AC975" i="28" s="1"/>
  <c r="Q976" i="28"/>
  <c r="X976" i="28" s="1"/>
  <c r="R976" i="28"/>
  <c r="Y976" i="28" s="1"/>
  <c r="S976" i="28"/>
  <c r="Z976" i="28" s="1"/>
  <c r="T976" i="28"/>
  <c r="AA976" i="28" s="1"/>
  <c r="U976" i="28"/>
  <c r="AB976" i="28" s="1"/>
  <c r="Q977" i="28"/>
  <c r="X977" i="28" s="1"/>
  <c r="R977" i="28"/>
  <c r="Y977" i="28" s="1"/>
  <c r="S977" i="28"/>
  <c r="Z977" i="28" s="1"/>
  <c r="T977" i="28"/>
  <c r="AA977" i="28" s="1"/>
  <c r="U977" i="28"/>
  <c r="AB977" i="28" s="1"/>
  <c r="V977" i="28"/>
  <c r="AC977" i="28" s="1"/>
  <c r="Q978" i="28"/>
  <c r="X978" i="28" s="1"/>
  <c r="R978" i="28"/>
  <c r="Y978" i="28" s="1"/>
  <c r="S978" i="28"/>
  <c r="Z978" i="28" s="1"/>
  <c r="T978" i="28"/>
  <c r="AA978" i="28" s="1"/>
  <c r="U978" i="28"/>
  <c r="AB978" i="28" s="1"/>
  <c r="V978" i="28"/>
  <c r="AC978" i="28" s="1"/>
  <c r="Q979" i="28"/>
  <c r="X979" i="28" s="1"/>
  <c r="R979" i="28"/>
  <c r="Y979" i="28" s="1"/>
  <c r="S979" i="28"/>
  <c r="Z979" i="28" s="1"/>
  <c r="T979" i="28"/>
  <c r="AA979" i="28" s="1"/>
  <c r="U979" i="28"/>
  <c r="AB979" i="28" s="1"/>
  <c r="V979" i="28"/>
  <c r="AC979" i="28" s="1"/>
  <c r="Q980" i="28"/>
  <c r="X980" i="28" s="1"/>
  <c r="R980" i="28"/>
  <c r="Y980" i="28" s="1"/>
  <c r="S980" i="28"/>
  <c r="Z980" i="28" s="1"/>
  <c r="T980" i="28"/>
  <c r="AA980" i="28" s="1"/>
  <c r="U980" i="28"/>
  <c r="AB980" i="28" s="1"/>
  <c r="V980" i="28"/>
  <c r="AC980" i="28" s="1"/>
  <c r="Q981" i="28"/>
  <c r="X981" i="28" s="1"/>
  <c r="R981" i="28"/>
  <c r="Y981" i="28" s="1"/>
  <c r="S981" i="28"/>
  <c r="Z981" i="28" s="1"/>
  <c r="T981" i="28"/>
  <c r="AA981" i="28" s="1"/>
  <c r="U981" i="28"/>
  <c r="AB981" i="28" s="1"/>
  <c r="V981" i="28"/>
  <c r="AC981" i="28" s="1"/>
  <c r="Q982" i="28"/>
  <c r="X982" i="28" s="1"/>
  <c r="R982" i="28"/>
  <c r="Y982" i="28" s="1"/>
  <c r="S982" i="28"/>
  <c r="Z982" i="28" s="1"/>
  <c r="T982" i="28"/>
  <c r="AA982" i="28" s="1"/>
  <c r="U982" i="28"/>
  <c r="AB982" i="28" s="1"/>
  <c r="V982" i="28"/>
  <c r="AC982" i="28" s="1"/>
  <c r="Q983" i="28"/>
  <c r="X983" i="28" s="1"/>
  <c r="R983" i="28"/>
  <c r="Y983" i="28" s="1"/>
  <c r="S983" i="28"/>
  <c r="Z983" i="28" s="1"/>
  <c r="T983" i="28"/>
  <c r="AA983" i="28" s="1"/>
  <c r="U983" i="28"/>
  <c r="AB983" i="28" s="1"/>
  <c r="V983" i="28"/>
  <c r="AC983" i="28" s="1"/>
  <c r="Q984" i="28"/>
  <c r="X984" i="28" s="1"/>
  <c r="R984" i="28"/>
  <c r="Y984" i="28" s="1"/>
  <c r="S984" i="28"/>
  <c r="Z984" i="28" s="1"/>
  <c r="T984" i="28"/>
  <c r="AA984" i="28" s="1"/>
  <c r="U984" i="28"/>
  <c r="AB984" i="28" s="1"/>
  <c r="Q985" i="28"/>
  <c r="X985" i="28" s="1"/>
  <c r="R985" i="28"/>
  <c r="Y985" i="28" s="1"/>
  <c r="S985" i="28"/>
  <c r="Z985" i="28" s="1"/>
  <c r="T985" i="28"/>
  <c r="AA985" i="28" s="1"/>
  <c r="U985" i="28"/>
  <c r="AB985" i="28" s="1"/>
  <c r="V985" i="28"/>
  <c r="AC985" i="28" s="1"/>
  <c r="Q986" i="28"/>
  <c r="X986" i="28" s="1"/>
  <c r="R986" i="28"/>
  <c r="Y986" i="28" s="1"/>
  <c r="S986" i="28"/>
  <c r="Z986" i="28" s="1"/>
  <c r="T986" i="28"/>
  <c r="AA986" i="28" s="1"/>
  <c r="U986" i="28"/>
  <c r="AB986" i="28" s="1"/>
  <c r="V986" i="28"/>
  <c r="AC986" i="28" s="1"/>
  <c r="Q987" i="28"/>
  <c r="X987" i="28" s="1"/>
  <c r="R987" i="28"/>
  <c r="Y987" i="28" s="1"/>
  <c r="S987" i="28"/>
  <c r="Z987" i="28" s="1"/>
  <c r="T987" i="28"/>
  <c r="AA987" i="28" s="1"/>
  <c r="U987" i="28"/>
  <c r="AB987" i="28" s="1"/>
  <c r="V987" i="28"/>
  <c r="AC987" i="28" s="1"/>
  <c r="Q988" i="28"/>
  <c r="X988" i="28" s="1"/>
  <c r="R988" i="28"/>
  <c r="Y988" i="28" s="1"/>
  <c r="S988" i="28"/>
  <c r="Z988" i="28" s="1"/>
  <c r="T988" i="28"/>
  <c r="AA988" i="28" s="1"/>
  <c r="U988" i="28"/>
  <c r="AB988" i="28" s="1"/>
  <c r="V988" i="28"/>
  <c r="AC988" i="28" s="1"/>
  <c r="Q989" i="28"/>
  <c r="X989" i="28" s="1"/>
  <c r="R989" i="28"/>
  <c r="Y989" i="28" s="1"/>
  <c r="S989" i="28"/>
  <c r="Z989" i="28" s="1"/>
  <c r="T989" i="28"/>
  <c r="AA989" i="28" s="1"/>
  <c r="U989" i="28"/>
  <c r="AB989" i="28" s="1"/>
  <c r="V989" i="28"/>
  <c r="AC989" i="28" s="1"/>
  <c r="Q990" i="28"/>
  <c r="X990" i="28" s="1"/>
  <c r="R990" i="28"/>
  <c r="Y990" i="28" s="1"/>
  <c r="S990" i="28"/>
  <c r="Z990" i="28" s="1"/>
  <c r="T990" i="28"/>
  <c r="AA990" i="28" s="1"/>
  <c r="U990" i="28"/>
  <c r="AB990" i="28" s="1"/>
  <c r="V990" i="28"/>
  <c r="AC990" i="28" s="1"/>
  <c r="Q991" i="28"/>
  <c r="X991" i="28" s="1"/>
  <c r="R991" i="28"/>
  <c r="Y991" i="28" s="1"/>
  <c r="S991" i="28"/>
  <c r="Z991" i="28" s="1"/>
  <c r="T991" i="28"/>
  <c r="AA991" i="28" s="1"/>
  <c r="U991" i="28"/>
  <c r="AB991" i="28" s="1"/>
  <c r="V991" i="28"/>
  <c r="AC991" i="28" s="1"/>
  <c r="Q992" i="28"/>
  <c r="X992" i="28" s="1"/>
  <c r="R992" i="28"/>
  <c r="Y992" i="28" s="1"/>
  <c r="S992" i="28"/>
  <c r="Z992" i="28" s="1"/>
  <c r="T992" i="28"/>
  <c r="AA992" i="28" s="1"/>
  <c r="U992" i="28"/>
  <c r="AB992" i="28" s="1"/>
  <c r="Q993" i="28"/>
  <c r="X993" i="28" s="1"/>
  <c r="R993" i="28"/>
  <c r="Y993" i="28" s="1"/>
  <c r="S993" i="28"/>
  <c r="Z993" i="28" s="1"/>
  <c r="T993" i="28"/>
  <c r="AA993" i="28" s="1"/>
  <c r="U993" i="28"/>
  <c r="AB993" i="28" s="1"/>
  <c r="V993" i="28"/>
  <c r="AC993" i="28" s="1"/>
  <c r="Q994" i="28"/>
  <c r="X994" i="28" s="1"/>
  <c r="R994" i="28"/>
  <c r="Y994" i="28" s="1"/>
  <c r="S994" i="28"/>
  <c r="Z994" i="28" s="1"/>
  <c r="T994" i="28"/>
  <c r="AA994" i="28" s="1"/>
  <c r="U994" i="28"/>
  <c r="AB994" i="28" s="1"/>
  <c r="V994" i="28"/>
  <c r="AC994" i="28" s="1"/>
  <c r="Q995" i="28"/>
  <c r="X995" i="28" s="1"/>
  <c r="R995" i="28"/>
  <c r="Y995" i="28" s="1"/>
  <c r="S995" i="28"/>
  <c r="Z995" i="28" s="1"/>
  <c r="T995" i="28"/>
  <c r="AA995" i="28" s="1"/>
  <c r="U995" i="28"/>
  <c r="AB995" i="28" s="1"/>
  <c r="V995" i="28"/>
  <c r="AC995" i="28" s="1"/>
  <c r="Q996" i="28"/>
  <c r="X996" i="28" s="1"/>
  <c r="R996" i="28"/>
  <c r="Y996" i="28" s="1"/>
  <c r="S996" i="28"/>
  <c r="Z996" i="28" s="1"/>
  <c r="T996" i="28"/>
  <c r="AA996" i="28" s="1"/>
  <c r="U996" i="28"/>
  <c r="AB996" i="28" s="1"/>
  <c r="V996" i="28"/>
  <c r="AC996" i="28" s="1"/>
  <c r="Q997" i="28"/>
  <c r="X997" i="28" s="1"/>
  <c r="R997" i="28"/>
  <c r="Y997" i="28" s="1"/>
  <c r="S997" i="28"/>
  <c r="Z997" i="28" s="1"/>
  <c r="T997" i="28"/>
  <c r="AA997" i="28" s="1"/>
  <c r="U997" i="28"/>
  <c r="AB997" i="28" s="1"/>
  <c r="V997" i="28"/>
  <c r="AC997" i="28" s="1"/>
  <c r="Q998" i="28"/>
  <c r="X998" i="28" s="1"/>
  <c r="R998" i="28"/>
  <c r="Y998" i="28" s="1"/>
  <c r="S998" i="28"/>
  <c r="Z998" i="28" s="1"/>
  <c r="T998" i="28"/>
  <c r="AA998" i="28" s="1"/>
  <c r="U998" i="28"/>
  <c r="AB998" i="28" s="1"/>
  <c r="V998" i="28"/>
  <c r="AC998" i="28" s="1"/>
  <c r="Q999" i="28"/>
  <c r="X999" i="28" s="1"/>
  <c r="R999" i="28"/>
  <c r="Y999" i="28" s="1"/>
  <c r="S999" i="28"/>
  <c r="Z999" i="28" s="1"/>
  <c r="T999" i="28"/>
  <c r="AA999" i="28" s="1"/>
  <c r="U999" i="28"/>
  <c r="AB999" i="28" s="1"/>
  <c r="V999" i="28"/>
  <c r="AC999" i="28" s="1"/>
  <c r="Q1000" i="28"/>
  <c r="X1000" i="28" s="1"/>
  <c r="R1000" i="28"/>
  <c r="Y1000" i="28" s="1"/>
  <c r="S1000" i="28"/>
  <c r="Z1000" i="28" s="1"/>
  <c r="T1000" i="28"/>
  <c r="AA1000" i="28" s="1"/>
  <c r="U1000" i="28"/>
  <c r="AB1000" i="28" s="1"/>
  <c r="Q1001" i="28"/>
  <c r="X1001" i="28" s="1"/>
  <c r="R1001" i="28"/>
  <c r="Y1001" i="28" s="1"/>
  <c r="S1001" i="28"/>
  <c r="Z1001" i="28" s="1"/>
  <c r="T1001" i="28"/>
  <c r="AA1001" i="28" s="1"/>
  <c r="U1001" i="28"/>
  <c r="AB1001" i="28" s="1"/>
  <c r="V1001" i="28"/>
  <c r="AC1001" i="28" s="1"/>
  <c r="Q1002" i="28"/>
  <c r="X1002" i="28" s="1"/>
  <c r="R1002" i="28"/>
  <c r="Y1002" i="28" s="1"/>
  <c r="S1002" i="28"/>
  <c r="Z1002" i="28" s="1"/>
  <c r="T1002" i="28"/>
  <c r="AA1002" i="28" s="1"/>
  <c r="U1002" i="28"/>
  <c r="AB1002" i="28" s="1"/>
  <c r="V1002" i="28"/>
  <c r="AC1002" i="28" s="1"/>
  <c r="Q1003" i="28"/>
  <c r="X1003" i="28" s="1"/>
  <c r="R1003" i="28"/>
  <c r="Y1003" i="28" s="1"/>
  <c r="S1003" i="28"/>
  <c r="Z1003" i="28" s="1"/>
  <c r="T1003" i="28"/>
  <c r="AA1003" i="28" s="1"/>
  <c r="U1003" i="28"/>
  <c r="AB1003" i="28" s="1"/>
  <c r="V1003" i="28"/>
  <c r="AC1003" i="28" s="1"/>
  <c r="Q1004" i="28"/>
  <c r="X1004" i="28" s="1"/>
  <c r="R1004" i="28"/>
  <c r="Y1004" i="28" s="1"/>
  <c r="S1004" i="28"/>
  <c r="Z1004" i="28" s="1"/>
  <c r="T1004" i="28"/>
  <c r="AA1004" i="28" s="1"/>
  <c r="U1004" i="28"/>
  <c r="AB1004" i="28" s="1"/>
  <c r="V1004" i="28"/>
  <c r="AC1004" i="28" s="1"/>
  <c r="Q1005" i="28"/>
  <c r="X1005" i="28" s="1"/>
  <c r="R1005" i="28"/>
  <c r="Y1005" i="28" s="1"/>
  <c r="S1005" i="28"/>
  <c r="Z1005" i="28" s="1"/>
  <c r="T1005" i="28"/>
  <c r="AA1005" i="28" s="1"/>
  <c r="U1005" i="28"/>
  <c r="AB1005" i="28" s="1"/>
  <c r="V1005" i="28"/>
  <c r="AC1005" i="28" s="1"/>
  <c r="Q1006" i="28"/>
  <c r="X1006" i="28" s="1"/>
  <c r="R1006" i="28"/>
  <c r="Y1006" i="28" s="1"/>
  <c r="S1006" i="28"/>
  <c r="Z1006" i="28" s="1"/>
  <c r="T1006" i="28"/>
  <c r="AA1006" i="28" s="1"/>
  <c r="U1006" i="28"/>
  <c r="AB1006" i="28" s="1"/>
  <c r="V1006" i="28"/>
  <c r="AC1006" i="28" s="1"/>
  <c r="Q1007" i="28"/>
  <c r="X1007" i="28" s="1"/>
  <c r="R1007" i="28"/>
  <c r="Y1007" i="28" s="1"/>
  <c r="S1007" i="28"/>
  <c r="Z1007" i="28" s="1"/>
  <c r="T1007" i="28"/>
  <c r="AA1007" i="28" s="1"/>
  <c r="U1007" i="28"/>
  <c r="AB1007" i="28" s="1"/>
  <c r="V1007" i="28"/>
  <c r="AC1007" i="28" s="1"/>
  <c r="Q1008" i="28"/>
  <c r="X1008" i="28" s="1"/>
  <c r="R1008" i="28"/>
  <c r="Y1008" i="28" s="1"/>
  <c r="S1008" i="28"/>
  <c r="Z1008" i="28" s="1"/>
  <c r="T1008" i="28"/>
  <c r="AA1008" i="28" s="1"/>
  <c r="U1008" i="28"/>
  <c r="AB1008" i="28" s="1"/>
  <c r="Q1009" i="28"/>
  <c r="X1009" i="28" s="1"/>
  <c r="R1009" i="28"/>
  <c r="Y1009" i="28" s="1"/>
  <c r="S1009" i="28"/>
  <c r="Z1009" i="28" s="1"/>
  <c r="T1009" i="28"/>
  <c r="AA1009" i="28" s="1"/>
  <c r="U1009" i="28"/>
  <c r="AB1009" i="28" s="1"/>
  <c r="V1009" i="28"/>
  <c r="AC1009" i="28" s="1"/>
  <c r="Q1010" i="28"/>
  <c r="X1010" i="28" s="1"/>
  <c r="R1010" i="28"/>
  <c r="Y1010" i="28" s="1"/>
  <c r="S1010" i="28"/>
  <c r="Z1010" i="28" s="1"/>
  <c r="T1010" i="28"/>
  <c r="AA1010" i="28" s="1"/>
  <c r="U1010" i="28"/>
  <c r="AB1010" i="28" s="1"/>
  <c r="V1010" i="28"/>
  <c r="AC1010" i="28" s="1"/>
  <c r="Q1011" i="28"/>
  <c r="X1011" i="28" s="1"/>
  <c r="R1011" i="28"/>
  <c r="Y1011" i="28" s="1"/>
  <c r="S1011" i="28"/>
  <c r="Z1011" i="28" s="1"/>
  <c r="T1011" i="28"/>
  <c r="AA1011" i="28" s="1"/>
  <c r="U1011" i="28"/>
  <c r="AB1011" i="28" s="1"/>
  <c r="V1011" i="28"/>
  <c r="AC1011" i="28" s="1"/>
  <c r="Q1012" i="28"/>
  <c r="X1012" i="28" s="1"/>
  <c r="R1012" i="28"/>
  <c r="Y1012" i="28" s="1"/>
  <c r="S1012" i="28"/>
  <c r="Z1012" i="28" s="1"/>
  <c r="T1012" i="28"/>
  <c r="AA1012" i="28" s="1"/>
  <c r="U1012" i="28"/>
  <c r="AB1012" i="28" s="1"/>
  <c r="V1012" i="28"/>
  <c r="AC1012" i="28" s="1"/>
  <c r="Q1013" i="28"/>
  <c r="X1013" i="28" s="1"/>
  <c r="R1013" i="28"/>
  <c r="Y1013" i="28" s="1"/>
  <c r="S1013" i="28"/>
  <c r="Z1013" i="28" s="1"/>
  <c r="T1013" i="28"/>
  <c r="AA1013" i="28" s="1"/>
  <c r="U1013" i="28"/>
  <c r="AB1013" i="28" s="1"/>
  <c r="V1013" i="28"/>
  <c r="AC1013" i="28" s="1"/>
  <c r="Q1014" i="28"/>
  <c r="X1014" i="28" s="1"/>
  <c r="R1014" i="28"/>
  <c r="Y1014" i="28" s="1"/>
  <c r="S1014" i="28"/>
  <c r="Z1014" i="28" s="1"/>
  <c r="T1014" i="28"/>
  <c r="AA1014" i="28" s="1"/>
  <c r="U1014" i="28"/>
  <c r="AB1014" i="28" s="1"/>
  <c r="V1014" i="28"/>
  <c r="AC1014" i="28" s="1"/>
  <c r="Q1015" i="28"/>
  <c r="X1015" i="28" s="1"/>
  <c r="R1015" i="28"/>
  <c r="Y1015" i="28" s="1"/>
  <c r="S1015" i="28"/>
  <c r="Z1015" i="28" s="1"/>
  <c r="T1015" i="28"/>
  <c r="AA1015" i="28" s="1"/>
  <c r="U1015" i="28"/>
  <c r="AB1015" i="28" s="1"/>
  <c r="V1015" i="28"/>
  <c r="AC1015" i="28" s="1"/>
  <c r="R16" i="28"/>
  <c r="Y16" i="28" s="1"/>
  <c r="S16" i="28"/>
  <c r="Z16" i="28" s="1"/>
  <c r="T16" i="28"/>
  <c r="AA16" i="28" s="1"/>
  <c r="U16" i="28"/>
  <c r="AB16" i="28" s="1"/>
  <c r="Q16" i="28"/>
  <c r="X16" i="28" s="1"/>
  <c r="Q4" i="28"/>
  <c r="R4" i="28" s="1"/>
  <c r="S4" i="28" s="1"/>
  <c r="T4" i="28" s="1"/>
  <c r="U4" i="28" s="1"/>
  <c r="N7" i="28"/>
  <c r="J4" i="28"/>
  <c r="K4" i="28" s="1"/>
  <c r="L4" i="28" s="1"/>
  <c r="M4" i="28" s="1"/>
  <c r="N4" i="28" s="1"/>
  <c r="G7" i="28"/>
  <c r="H7" i="28"/>
  <c r="C4" i="28"/>
  <c r="D4" i="28" s="1"/>
  <c r="E4" i="28" s="1"/>
  <c r="F4" i="28" s="1"/>
  <c r="G4" i="28" s="1"/>
  <c r="M7" i="28"/>
  <c r="L7" i="28"/>
  <c r="K7" i="28"/>
  <c r="F7" i="28"/>
  <c r="E7" i="28"/>
  <c r="D7" i="28"/>
  <c r="C7" i="28"/>
  <c r="N5" i="7" l="1"/>
  <c r="G5" i="7" s="1"/>
  <c r="G8" i="7"/>
  <c r="M7" i="7"/>
  <c r="N8" i="7"/>
  <c r="E8" i="7" s="1"/>
  <c r="N12" i="7"/>
  <c r="G12" i="7" s="1"/>
  <c r="N11" i="7"/>
  <c r="G11" i="7" s="1"/>
  <c r="N10" i="7"/>
  <c r="G10" i="7" s="1"/>
  <c r="N13" i="7"/>
  <c r="G13" i="7" s="1"/>
  <c r="N9" i="7"/>
  <c r="G9" i="7" s="1"/>
  <c r="M6" i="7"/>
  <c r="AX7" i="28"/>
  <c r="AU9" i="28"/>
  <c r="AT9" i="28"/>
  <c r="AT10" i="28"/>
  <c r="AT7" i="28"/>
  <c r="AX10" i="28"/>
  <c r="AW7" i="28"/>
  <c r="AW9" i="28"/>
  <c r="AU7" i="28"/>
  <c r="AV9" i="28"/>
  <c r="AV10" i="28"/>
  <c r="BA16" i="28"/>
  <c r="AT11" i="28" s="1"/>
  <c r="AY64" i="28"/>
  <c r="BF64" i="28" s="1"/>
  <c r="O7" i="28"/>
  <c r="BF16" i="28"/>
  <c r="AX11" i="28"/>
  <c r="AV11" i="28"/>
  <c r="AV7" i="28"/>
  <c r="F34" i="11" s="1"/>
  <c r="AX9" i="28"/>
  <c r="AU10" i="28"/>
  <c r="BD16" i="28"/>
  <c r="AW11" i="28" s="1"/>
  <c r="BB45" i="28"/>
  <c r="AU11" i="28" s="1"/>
  <c r="AW10" i="28"/>
  <c r="Q7" i="28"/>
  <c r="V11" i="28"/>
  <c r="U11" i="28"/>
  <c r="T11" i="28"/>
  <c r="R11" i="28"/>
  <c r="Q11" i="28"/>
  <c r="R9" i="28"/>
  <c r="S11" i="28"/>
  <c r="Q9" i="28"/>
  <c r="U9" i="28"/>
  <c r="U10" i="28"/>
  <c r="T9" i="28"/>
  <c r="V7" i="28"/>
  <c r="I25" i="11" s="1"/>
  <c r="S9" i="28"/>
  <c r="T7" i="28"/>
  <c r="G25" i="11" s="1"/>
  <c r="Q10" i="28"/>
  <c r="T10" i="28"/>
  <c r="U7" i="28"/>
  <c r="H25" i="11" s="1"/>
  <c r="V9" i="28"/>
  <c r="V10" i="28"/>
  <c r="R10" i="28"/>
  <c r="S7" i="28"/>
  <c r="F25" i="11" s="1"/>
  <c r="S10" i="28"/>
  <c r="R7" i="28"/>
  <c r="E25" i="11" s="1"/>
  <c r="N7" i="7" l="1"/>
  <c r="E7" i="7" s="1"/>
  <c r="AW13" i="28"/>
  <c r="G36" i="11" s="1"/>
  <c r="G34" i="11"/>
  <c r="AT12" i="28"/>
  <c r="D35" i="11" s="1"/>
  <c r="D34" i="11"/>
  <c r="AU12" i="28"/>
  <c r="E35" i="11" s="1"/>
  <c r="E34" i="11"/>
  <c r="AX12" i="28"/>
  <c r="H35" i="11" s="1"/>
  <c r="H34" i="11"/>
  <c r="D25" i="11"/>
  <c r="Q12" i="28"/>
  <c r="D26" i="11" s="1"/>
  <c r="N6" i="7"/>
  <c r="E6" i="7" s="1"/>
  <c r="R13" i="28"/>
  <c r="E27" i="11" s="1"/>
  <c r="R12" i="28"/>
  <c r="E26" i="11" s="1"/>
  <c r="T12" i="28"/>
  <c r="G26" i="11" s="1"/>
  <c r="T13" i="28"/>
  <c r="G27" i="11" s="1"/>
  <c r="Q13" i="28"/>
  <c r="D27" i="11" s="1"/>
  <c r="S12" i="28"/>
  <c r="F26" i="11" s="1"/>
  <c r="S13" i="28"/>
  <c r="F27" i="11" s="1"/>
  <c r="V13" i="28"/>
  <c r="I27" i="11" s="1"/>
  <c r="V12" i="28"/>
  <c r="I26" i="11" s="1"/>
  <c r="U13" i="28"/>
  <c r="H27" i="11" s="1"/>
  <c r="U12" i="28"/>
  <c r="H26" i="11" s="1"/>
  <c r="AY11" i="28"/>
  <c r="AY7" i="28"/>
  <c r="AY10" i="28"/>
  <c r="AY9" i="28"/>
  <c r="AT13" i="28"/>
  <c r="D36" i="11" s="1"/>
  <c r="AX13" i="28"/>
  <c r="H36" i="11" s="1"/>
  <c r="AU13" i="28"/>
  <c r="E36" i="11" s="1"/>
  <c r="AW12" i="28"/>
  <c r="G35" i="11" s="1"/>
  <c r="AV13" i="28"/>
  <c r="F36" i="11" s="1"/>
  <c r="AV12" i="28"/>
  <c r="F35" i="11" s="1"/>
  <c r="G7" i="7" l="1"/>
  <c r="G6" i="7"/>
  <c r="AY12" i="28"/>
  <c r="I35" i="11" s="1"/>
  <c r="I34" i="11"/>
  <c r="AY13" i="28"/>
  <c r="I36" i="11" s="1"/>
  <c r="H54" i="15"/>
  <c r="C81" i="15" s="1"/>
  <c r="C80" i="15" l="1"/>
  <c r="C63" i="15"/>
  <c r="C69" i="15"/>
  <c r="B14" i="9"/>
  <c r="B8" i="9"/>
  <c r="J8" i="9"/>
  <c r="B11" i="9"/>
  <c r="J10" i="9"/>
  <c r="J11" i="9"/>
  <c r="B17" i="9"/>
  <c r="J13" i="9"/>
  <c r="B10" i="9"/>
  <c r="J14" i="9"/>
  <c r="B13" i="9"/>
  <c r="J16" i="9"/>
  <c r="B16" i="9"/>
  <c r="J17" i="9"/>
  <c r="B19" i="9"/>
  <c r="J19" i="9"/>
  <c r="B5" i="9"/>
  <c r="R6" i="5" l="1"/>
  <c r="AE117" i="15" l="1"/>
  <c r="X117" i="15"/>
  <c r="Q117" i="15"/>
  <c r="AE69" i="15"/>
  <c r="X69" i="15"/>
  <c r="Q69" i="15"/>
  <c r="H102" i="15"/>
  <c r="H106" i="15"/>
  <c r="AF118" i="15" s="1"/>
  <c r="H91" i="15"/>
  <c r="H62" i="15"/>
  <c r="C70" i="15"/>
  <c r="AX108" i="26"/>
  <c r="AW108" i="26"/>
  <c r="AV108" i="26"/>
  <c r="AU108" i="26"/>
  <c r="AT108" i="26"/>
  <c r="AS108" i="26"/>
  <c r="AR108" i="26"/>
  <c r="AQ108" i="26"/>
  <c r="AP108" i="26"/>
  <c r="AO108" i="26"/>
  <c r="AN108" i="26"/>
  <c r="AM108" i="26"/>
  <c r="AL108" i="26"/>
  <c r="AK108" i="26"/>
  <c r="AF108" i="26"/>
  <c r="AE108" i="26"/>
  <c r="AD108" i="26"/>
  <c r="AC108" i="26"/>
  <c r="AB108" i="26"/>
  <c r="AA108" i="26"/>
  <c r="Z108" i="26"/>
  <c r="Y108" i="26"/>
  <c r="X108" i="26"/>
  <c r="W108" i="26"/>
  <c r="V108" i="26"/>
  <c r="U108" i="26"/>
  <c r="T108" i="26"/>
  <c r="S108" i="26"/>
  <c r="P108" i="26"/>
  <c r="O108" i="26"/>
  <c r="N108" i="26"/>
  <c r="M108" i="26"/>
  <c r="L108" i="26"/>
  <c r="K108" i="26"/>
  <c r="J108" i="26"/>
  <c r="I108" i="26"/>
  <c r="H108" i="26"/>
  <c r="G108" i="26"/>
  <c r="F108" i="26"/>
  <c r="E108" i="26"/>
  <c r="D108" i="26"/>
  <c r="C108" i="26"/>
  <c r="AX8" i="26"/>
  <c r="AW8" i="26"/>
  <c r="AV8" i="26"/>
  <c r="AU8" i="26"/>
  <c r="AT8" i="26"/>
  <c r="AS8" i="26"/>
  <c r="AR8" i="26"/>
  <c r="AQ8" i="26"/>
  <c r="AP8" i="26"/>
  <c r="AO8" i="26"/>
  <c r="AN8" i="26"/>
  <c r="AM8" i="26"/>
  <c r="AL8" i="26"/>
  <c r="AK8" i="26"/>
  <c r="AF8" i="26"/>
  <c r="AE8" i="26"/>
  <c r="AD8" i="26"/>
  <c r="AC8" i="26"/>
  <c r="AB8" i="26"/>
  <c r="AA8" i="26"/>
  <c r="Z8" i="26"/>
  <c r="Y8" i="26"/>
  <c r="X8" i="26"/>
  <c r="W8" i="26"/>
  <c r="V8" i="26"/>
  <c r="U8" i="26"/>
  <c r="T8" i="26"/>
  <c r="S8" i="26"/>
  <c r="P8" i="26"/>
  <c r="O8" i="26"/>
  <c r="N8" i="26"/>
  <c r="M8" i="26"/>
  <c r="L8" i="26"/>
  <c r="K8" i="26"/>
  <c r="J8" i="26"/>
  <c r="I8" i="26"/>
  <c r="H8" i="26"/>
  <c r="G8" i="26"/>
  <c r="F8" i="26"/>
  <c r="E8" i="26"/>
  <c r="D8" i="26"/>
  <c r="C8" i="26"/>
  <c r="H58" i="15"/>
  <c r="H40" i="15"/>
  <c r="J33" i="4"/>
  <c r="J34" i="4"/>
  <c r="J35" i="4"/>
  <c r="J36" i="4"/>
  <c r="J37" i="4"/>
  <c r="J38" i="4"/>
  <c r="J39" i="4"/>
  <c r="J40" i="4"/>
  <c r="J41" i="4"/>
  <c r="J42" i="4"/>
  <c r="J43" i="4"/>
  <c r="J44" i="4"/>
  <c r="J45" i="4"/>
  <c r="J32" i="4"/>
  <c r="J6" i="20"/>
  <c r="B6" i="20"/>
  <c r="C41" i="7"/>
  <c r="C40" i="7"/>
  <c r="C39" i="7"/>
  <c r="C38" i="7"/>
  <c r="C37" i="7"/>
  <c r="C36" i="7"/>
  <c r="C35" i="7"/>
  <c r="C34" i="7"/>
  <c r="C33" i="7"/>
  <c r="C32" i="7"/>
  <c r="C31" i="7"/>
  <c r="C30" i="7"/>
  <c r="C29" i="7"/>
  <c r="C28" i="7"/>
  <c r="C27" i="7"/>
  <c r="C26" i="7"/>
  <c r="C25" i="7"/>
  <c r="C24" i="7"/>
  <c r="C23" i="7"/>
  <c r="C22" i="7"/>
  <c r="C21" i="7"/>
  <c r="C19" i="7"/>
  <c r="C18" i="7"/>
  <c r="H18" i="21" s="1"/>
  <c r="C17" i="7"/>
  <c r="C16" i="7"/>
  <c r="C15" i="7"/>
  <c r="C14" i="7"/>
  <c r="C55" i="7"/>
  <c r="C54" i="7"/>
  <c r="C53" i="7"/>
  <c r="C52" i="7"/>
  <c r="C51" i="7"/>
  <c r="C50" i="7"/>
  <c r="C49" i="7"/>
  <c r="C48" i="7"/>
  <c r="C47" i="7"/>
  <c r="C46" i="7"/>
  <c r="C45" i="7"/>
  <c r="C44" i="7"/>
  <c r="C43" i="7"/>
  <c r="C42" i="7"/>
  <c r="AL127" i="15"/>
  <c r="AE127" i="15"/>
  <c r="X127" i="15"/>
  <c r="Q127" i="15"/>
  <c r="H127" i="15"/>
  <c r="C127" i="15"/>
  <c r="AL126" i="15"/>
  <c r="AE126" i="15"/>
  <c r="X126" i="15"/>
  <c r="Q126" i="15"/>
  <c r="H126" i="15"/>
  <c r="C126" i="15"/>
  <c r="AL125" i="15"/>
  <c r="AE125" i="15"/>
  <c r="X125" i="15"/>
  <c r="Q125" i="15"/>
  <c r="H125" i="15"/>
  <c r="C125" i="15"/>
  <c r="AL124" i="15"/>
  <c r="AE124" i="15"/>
  <c r="X124" i="15"/>
  <c r="Q124" i="15"/>
  <c r="H124" i="15"/>
  <c r="C124" i="15"/>
  <c r="AL123" i="15"/>
  <c r="AE123" i="15"/>
  <c r="X123" i="15"/>
  <c r="Q123" i="15"/>
  <c r="H123" i="15"/>
  <c r="C123" i="15"/>
  <c r="AL122" i="15"/>
  <c r="AE122" i="15"/>
  <c r="X122" i="15"/>
  <c r="Q122" i="15"/>
  <c r="H122" i="15"/>
  <c r="C122" i="15"/>
  <c r="AL121" i="15"/>
  <c r="AE121" i="15"/>
  <c r="X121" i="15"/>
  <c r="Q121" i="15"/>
  <c r="H121" i="15"/>
  <c r="C121" i="15"/>
  <c r="AL120" i="15"/>
  <c r="AE120" i="15"/>
  <c r="X120" i="15"/>
  <c r="Q120" i="15"/>
  <c r="H120" i="15"/>
  <c r="C120" i="15"/>
  <c r="AL119" i="15"/>
  <c r="AE119" i="15"/>
  <c r="X119" i="15"/>
  <c r="Q119" i="15"/>
  <c r="H119" i="15"/>
  <c r="C119" i="15"/>
  <c r="AL118" i="15"/>
  <c r="AE118" i="15"/>
  <c r="X118" i="15"/>
  <c r="Q118" i="15"/>
  <c r="H118" i="15"/>
  <c r="C118" i="15"/>
  <c r="AL116" i="15"/>
  <c r="AE116" i="15"/>
  <c r="X116" i="15"/>
  <c r="Q116" i="15"/>
  <c r="H116" i="15"/>
  <c r="C116" i="15"/>
  <c r="AL115" i="15"/>
  <c r="AE115" i="15"/>
  <c r="X115" i="15"/>
  <c r="Q115" i="15"/>
  <c r="H115" i="15"/>
  <c r="C115" i="15"/>
  <c r="AL114" i="15"/>
  <c r="AE114" i="15"/>
  <c r="X114" i="15"/>
  <c r="Q114" i="15"/>
  <c r="H114" i="15"/>
  <c r="C114" i="15"/>
  <c r="AL113" i="15"/>
  <c r="AE113" i="15"/>
  <c r="X113" i="15"/>
  <c r="Q113" i="15"/>
  <c r="H113" i="15"/>
  <c r="C113" i="15"/>
  <c r="AL79" i="15"/>
  <c r="AE79" i="15"/>
  <c r="X79" i="15"/>
  <c r="Q79" i="15"/>
  <c r="H79" i="15"/>
  <c r="C79" i="15"/>
  <c r="AL78" i="15"/>
  <c r="AE78" i="15"/>
  <c r="X78" i="15"/>
  <c r="Q78" i="15"/>
  <c r="H78" i="15"/>
  <c r="C78" i="15"/>
  <c r="AL77" i="15"/>
  <c r="AE77" i="15"/>
  <c r="X77" i="15"/>
  <c r="Q77" i="15"/>
  <c r="H77" i="15"/>
  <c r="C77" i="15"/>
  <c r="AL76" i="15"/>
  <c r="AE76" i="15"/>
  <c r="X76" i="15"/>
  <c r="Q76" i="15"/>
  <c r="H76" i="15"/>
  <c r="C76" i="15"/>
  <c r="AL75" i="15"/>
  <c r="AE75" i="15"/>
  <c r="X75" i="15"/>
  <c r="Q75" i="15"/>
  <c r="H75" i="15"/>
  <c r="C75" i="15"/>
  <c r="AL74" i="15"/>
  <c r="AE74" i="15"/>
  <c r="X74" i="15"/>
  <c r="Q74" i="15"/>
  <c r="H74" i="15"/>
  <c r="C74" i="15"/>
  <c r="AL73" i="15"/>
  <c r="AE73" i="15"/>
  <c r="X73" i="15"/>
  <c r="Q73" i="15"/>
  <c r="H73" i="15"/>
  <c r="C73" i="15"/>
  <c r="AL72" i="15"/>
  <c r="AE72" i="15"/>
  <c r="X72" i="15"/>
  <c r="Q72" i="15"/>
  <c r="H72" i="15"/>
  <c r="C72" i="15"/>
  <c r="AL71" i="15"/>
  <c r="AE71" i="15"/>
  <c r="X71" i="15"/>
  <c r="Q71" i="15"/>
  <c r="H71" i="15"/>
  <c r="C71" i="15"/>
  <c r="AL70" i="15"/>
  <c r="AE70" i="15"/>
  <c r="X70" i="15"/>
  <c r="Q70" i="15"/>
  <c r="H70" i="15"/>
  <c r="AL68" i="15"/>
  <c r="AE68" i="15"/>
  <c r="X68" i="15"/>
  <c r="Q68" i="15"/>
  <c r="H68" i="15"/>
  <c r="C68" i="15"/>
  <c r="AL67" i="15"/>
  <c r="AE67" i="15"/>
  <c r="X67" i="15"/>
  <c r="Q67" i="15"/>
  <c r="H67" i="15"/>
  <c r="C67" i="15"/>
  <c r="AL66" i="15"/>
  <c r="AE66" i="15"/>
  <c r="X66" i="15"/>
  <c r="Q66" i="15"/>
  <c r="H66" i="15"/>
  <c r="C66" i="15"/>
  <c r="AL65" i="15"/>
  <c r="AE65" i="15"/>
  <c r="X65" i="15"/>
  <c r="Q65" i="15"/>
  <c r="H65" i="15"/>
  <c r="C65" i="15"/>
  <c r="C28" i="15"/>
  <c r="C27" i="15"/>
  <c r="C26" i="15"/>
  <c r="C25" i="15"/>
  <c r="C24" i="15"/>
  <c r="C23" i="15"/>
  <c r="C22" i="15"/>
  <c r="C21" i="15"/>
  <c r="C20" i="15"/>
  <c r="C19" i="15"/>
  <c r="C15" i="15"/>
  <c r="C13" i="15"/>
  <c r="C12" i="15"/>
  <c r="C14" i="15"/>
  <c r="C84" i="11"/>
  <c r="D72" i="11"/>
  <c r="D81" i="11"/>
  <c r="C59" i="11"/>
  <c r="C33" i="11"/>
  <c r="B68" i="11"/>
  <c r="C74" i="11" s="1"/>
  <c r="C83" i="11" s="1"/>
  <c r="B43" i="11"/>
  <c r="C49" i="11" s="1"/>
  <c r="C58" i="11" s="1"/>
  <c r="C22" i="11"/>
  <c r="C31" i="11" s="1"/>
  <c r="B41" i="27"/>
  <c r="B17" i="11"/>
  <c r="C23" i="11" s="1"/>
  <c r="C32" i="11" s="1"/>
  <c r="P14" i="24"/>
  <c r="B8" i="27"/>
  <c r="C45" i="4"/>
  <c r="C44" i="4"/>
  <c r="C43" i="4"/>
  <c r="C42" i="4"/>
  <c r="C41" i="4"/>
  <c r="C40" i="4"/>
  <c r="C39" i="4"/>
  <c r="C38" i="4"/>
  <c r="C37" i="4"/>
  <c r="C36" i="4"/>
  <c r="C34" i="4"/>
  <c r="C33" i="4"/>
  <c r="C32" i="4"/>
  <c r="C35" i="4"/>
  <c r="C215" i="4"/>
  <c r="C214" i="4"/>
  <c r="C213" i="4"/>
  <c r="C212" i="4"/>
  <c r="C211" i="4"/>
  <c r="C210" i="4"/>
  <c r="C209" i="4"/>
  <c r="C208" i="4"/>
  <c r="C207" i="4"/>
  <c r="C206" i="4"/>
  <c r="C205" i="4"/>
  <c r="C204" i="4"/>
  <c r="C203" i="4"/>
  <c r="C202" i="4"/>
  <c r="J80" i="24"/>
  <c r="F84" i="24"/>
  <c r="G84" i="24" s="1"/>
  <c r="E85" i="24"/>
  <c r="F85" i="24" s="1"/>
  <c r="G85" i="24" s="1"/>
  <c r="H85" i="24" s="1"/>
  <c r="I85" i="24" s="1"/>
  <c r="E86" i="24"/>
  <c r="F86" i="24" s="1"/>
  <c r="G86" i="24" s="1"/>
  <c r="H86" i="24" s="1"/>
  <c r="I86" i="24" s="1"/>
  <c r="E87" i="24"/>
  <c r="F87" i="24" s="1"/>
  <c r="G87" i="24" s="1"/>
  <c r="H87" i="24" s="1"/>
  <c r="I87" i="24" s="1"/>
  <c r="E88" i="24"/>
  <c r="F88" i="24" s="1"/>
  <c r="G88" i="24" s="1"/>
  <c r="H88" i="24" s="1"/>
  <c r="I88" i="24" s="1"/>
  <c r="E10" i="24"/>
  <c r="C67" i="24"/>
  <c r="C26" i="24"/>
  <c r="C56" i="3"/>
  <c r="C57" i="3" s="1"/>
  <c r="D56" i="3"/>
  <c r="D57" i="3" s="1"/>
  <c r="E56" i="3"/>
  <c r="E57" i="3" s="1"/>
  <c r="F56" i="3"/>
  <c r="F57" i="3" s="1"/>
  <c r="G56" i="3"/>
  <c r="G57" i="3" s="1"/>
  <c r="B26" i="3"/>
  <c r="P26" i="3" s="1"/>
  <c r="P96" i="3"/>
  <c r="B95" i="3"/>
  <c r="P95" i="3" s="1"/>
  <c r="B94" i="3"/>
  <c r="P94" i="3" s="1"/>
  <c r="B93" i="3"/>
  <c r="P93" i="3" s="1"/>
  <c r="B92" i="3"/>
  <c r="P92" i="3" s="1"/>
  <c r="B91" i="3"/>
  <c r="P91" i="3" s="1"/>
  <c r="B90" i="3"/>
  <c r="P90" i="3" s="1"/>
  <c r="B89" i="3"/>
  <c r="P89" i="3" s="1"/>
  <c r="B88" i="3"/>
  <c r="P88" i="3" s="1"/>
  <c r="B87" i="3"/>
  <c r="P87" i="3" s="1"/>
  <c r="B86" i="3"/>
  <c r="P86" i="3" s="1"/>
  <c r="B85" i="3"/>
  <c r="P85" i="3" s="1"/>
  <c r="B84" i="3"/>
  <c r="P84" i="3" s="1"/>
  <c r="B83" i="3"/>
  <c r="P83" i="3" s="1"/>
  <c r="B82" i="3"/>
  <c r="P82" i="3" s="1"/>
  <c r="P81" i="3"/>
  <c r="P80" i="3"/>
  <c r="P79" i="3"/>
  <c r="P78" i="3"/>
  <c r="P76" i="3"/>
  <c r="B75" i="3"/>
  <c r="P75" i="3" s="1"/>
  <c r="B74" i="3"/>
  <c r="P74" i="3" s="1"/>
  <c r="B73" i="3"/>
  <c r="P73" i="3" s="1"/>
  <c r="B72" i="3"/>
  <c r="P72" i="3" s="1"/>
  <c r="B71" i="3"/>
  <c r="P71" i="3" s="1"/>
  <c r="B70" i="3"/>
  <c r="P70" i="3" s="1"/>
  <c r="B69" i="3"/>
  <c r="P69" i="3" s="1"/>
  <c r="B68" i="3"/>
  <c r="P68" i="3" s="1"/>
  <c r="B67" i="3"/>
  <c r="P67" i="3" s="1"/>
  <c r="B66" i="3"/>
  <c r="P66" i="3" s="1"/>
  <c r="B65" i="3"/>
  <c r="P65" i="3" s="1"/>
  <c r="B64" i="3"/>
  <c r="P64" i="3" s="1"/>
  <c r="B63" i="3"/>
  <c r="P63" i="3" s="1"/>
  <c r="B62" i="3"/>
  <c r="P62" i="3" s="1"/>
  <c r="P61" i="3"/>
  <c r="P60" i="3"/>
  <c r="P59" i="3"/>
  <c r="P57" i="3"/>
  <c r="P56" i="3"/>
  <c r="B55" i="3"/>
  <c r="P55" i="3" s="1"/>
  <c r="B54" i="3"/>
  <c r="P54" i="3" s="1"/>
  <c r="B53" i="3"/>
  <c r="P53" i="3" s="1"/>
  <c r="B52" i="3"/>
  <c r="P52" i="3" s="1"/>
  <c r="B51" i="3"/>
  <c r="P51" i="3" s="1"/>
  <c r="B50" i="3"/>
  <c r="P50" i="3" s="1"/>
  <c r="B49" i="3"/>
  <c r="P49" i="3" s="1"/>
  <c r="B48" i="3"/>
  <c r="P48" i="3" s="1"/>
  <c r="B47" i="3"/>
  <c r="P47" i="3" s="1"/>
  <c r="B46" i="3"/>
  <c r="P46" i="3" s="1"/>
  <c r="B45" i="3"/>
  <c r="P45" i="3" s="1"/>
  <c r="B44" i="3"/>
  <c r="P44" i="3" s="1"/>
  <c r="B43" i="3"/>
  <c r="P43" i="3" s="1"/>
  <c r="B42" i="3"/>
  <c r="P42" i="3" s="1"/>
  <c r="P41" i="3"/>
  <c r="P40" i="3"/>
  <c r="P39" i="3"/>
  <c r="P37" i="3"/>
  <c r="P36" i="3"/>
  <c r="B35" i="3"/>
  <c r="P35" i="3" s="1"/>
  <c r="B34" i="3"/>
  <c r="P34" i="3" s="1"/>
  <c r="B33" i="3"/>
  <c r="P33" i="3" s="1"/>
  <c r="B32" i="3"/>
  <c r="P32" i="3" s="1"/>
  <c r="B31" i="3"/>
  <c r="P31" i="3" s="1"/>
  <c r="B30" i="3"/>
  <c r="P30" i="3" s="1"/>
  <c r="B29" i="3"/>
  <c r="P29" i="3" s="1"/>
  <c r="B28" i="3"/>
  <c r="P28" i="3" s="1"/>
  <c r="B27" i="3"/>
  <c r="P27" i="3" s="1"/>
  <c r="B25" i="3"/>
  <c r="P25" i="3" s="1"/>
  <c r="B24" i="3"/>
  <c r="P24" i="3" s="1"/>
  <c r="B23" i="3"/>
  <c r="P23" i="3" s="1"/>
  <c r="B22" i="3"/>
  <c r="P22" i="3" s="1"/>
  <c r="T67" i="15" l="1"/>
  <c r="R67" i="15"/>
  <c r="S68" i="15"/>
  <c r="R68" i="15"/>
  <c r="S67" i="15"/>
  <c r="U67" i="15"/>
  <c r="S19" i="9" s="1"/>
  <c r="U68" i="15"/>
  <c r="AA19" i="9" s="1"/>
  <c r="T68" i="15"/>
  <c r="AI66" i="15"/>
  <c r="AI65" i="15"/>
  <c r="AF65" i="15"/>
  <c r="AO65" i="15"/>
  <c r="AN65" i="15"/>
  <c r="AM65" i="15"/>
  <c r="AG65" i="15"/>
  <c r="AH65" i="15"/>
  <c r="AP65" i="15"/>
  <c r="H84" i="24"/>
  <c r="I84" i="24" s="1"/>
  <c r="F32" i="4"/>
  <c r="F42" i="7" s="1"/>
  <c r="F33" i="4"/>
  <c r="F43" i="7" s="1"/>
  <c r="D43" i="4"/>
  <c r="F25" i="7" s="1"/>
  <c r="F43" i="4"/>
  <c r="F53" i="7" s="1"/>
  <c r="F44" i="4"/>
  <c r="F54" i="7" s="1"/>
  <c r="D44" i="4"/>
  <c r="F26" i="7" s="1"/>
  <c r="F39" i="4"/>
  <c r="F49" i="7" s="1"/>
  <c r="D39" i="4"/>
  <c r="F21" i="7" s="1"/>
  <c r="D40" i="4"/>
  <c r="F22" i="7" s="1"/>
  <c r="F40" i="4"/>
  <c r="F50" i="7" s="1"/>
  <c r="F45" i="4"/>
  <c r="F55" i="7" s="1"/>
  <c r="E45" i="4"/>
  <c r="F41" i="7" s="1"/>
  <c r="D45" i="4"/>
  <c r="F27" i="7" s="1"/>
  <c r="D38" i="4"/>
  <c r="F20" i="7" s="1"/>
  <c r="F38" i="4"/>
  <c r="F48" i="7" s="1"/>
  <c r="F41" i="4"/>
  <c r="F51" i="7" s="1"/>
  <c r="D41" i="4"/>
  <c r="F23" i="7" s="1"/>
  <c r="D37" i="4"/>
  <c r="F19" i="7" s="1"/>
  <c r="F37" i="4"/>
  <c r="F47" i="7" s="1"/>
  <c r="F42" i="4"/>
  <c r="F52" i="7" s="1"/>
  <c r="D42" i="4"/>
  <c r="F24" i="7" s="1"/>
  <c r="F36" i="4"/>
  <c r="F46" i="7" s="1"/>
  <c r="F34" i="4"/>
  <c r="F44" i="7" s="1"/>
  <c r="D34" i="4"/>
  <c r="F16" i="7" s="1"/>
  <c r="F35" i="4"/>
  <c r="F45" i="7" s="1"/>
  <c r="D35" i="4"/>
  <c r="F17" i="7" s="1"/>
  <c r="H111" i="15"/>
  <c r="H117" i="15" s="1"/>
  <c r="C111" i="15"/>
  <c r="H63" i="15"/>
  <c r="H69" i="15" s="1"/>
  <c r="C117" i="15"/>
  <c r="C73" i="11"/>
  <c r="C82" i="11" s="1"/>
  <c r="J86" i="24"/>
  <c r="J88" i="24"/>
  <c r="J87" i="24"/>
  <c r="J85" i="24"/>
  <c r="C48" i="11"/>
  <c r="C57" i="11" s="1"/>
  <c r="R5" i="5"/>
  <c r="E8" i="5" s="1"/>
  <c r="V24" i="7" l="1"/>
  <c r="W24" i="7"/>
  <c r="V23" i="7"/>
  <c r="W23" i="7"/>
  <c r="V22" i="7"/>
  <c r="W22" i="7"/>
  <c r="V16" i="7"/>
  <c r="W16" i="7"/>
  <c r="V44" i="7"/>
  <c r="W44" i="7"/>
  <c r="V48" i="7"/>
  <c r="W48" i="7"/>
  <c r="V49" i="7"/>
  <c r="W49" i="7"/>
  <c r="V46" i="7"/>
  <c r="W46" i="7"/>
  <c r="V20" i="7"/>
  <c r="W20" i="7"/>
  <c r="V26" i="7"/>
  <c r="W26" i="7"/>
  <c r="V41" i="7"/>
  <c r="W41" i="7"/>
  <c r="V53" i="7"/>
  <c r="W53" i="7"/>
  <c r="V27" i="7"/>
  <c r="W27" i="7"/>
  <c r="V54" i="7"/>
  <c r="W54" i="7"/>
  <c r="V52" i="7"/>
  <c r="W52" i="7"/>
  <c r="V47" i="7"/>
  <c r="E47" i="7" s="1"/>
  <c r="W47" i="7"/>
  <c r="V55" i="7"/>
  <c r="W55" i="7"/>
  <c r="V25" i="7"/>
  <c r="W25" i="7"/>
  <c r="V17" i="7"/>
  <c r="W17" i="7"/>
  <c r="V19" i="7"/>
  <c r="W19" i="7"/>
  <c r="V50" i="7"/>
  <c r="W50" i="7"/>
  <c r="V43" i="7"/>
  <c r="W43" i="7"/>
  <c r="V45" i="7"/>
  <c r="W45" i="7"/>
  <c r="V42" i="7"/>
  <c r="W42" i="7"/>
  <c r="V51" i="7"/>
  <c r="W51" i="7"/>
  <c r="V21" i="7"/>
  <c r="W21" i="7"/>
  <c r="E54" i="7"/>
  <c r="E24" i="7"/>
  <c r="E51" i="7"/>
  <c r="E53" i="7"/>
  <c r="E22" i="7"/>
  <c r="E25" i="7"/>
  <c r="E48" i="7"/>
  <c r="E43" i="7"/>
  <c r="E17" i="7"/>
  <c r="E49" i="7"/>
  <c r="E45" i="7"/>
  <c r="E26" i="7"/>
  <c r="J84" i="24"/>
  <c r="AA16" i="9"/>
  <c r="AB16" i="9"/>
  <c r="AB10" i="9"/>
  <c r="AA10" i="9"/>
  <c r="AD10" i="9"/>
  <c r="AC10" i="9"/>
  <c r="AA13" i="9"/>
  <c r="AB13" i="9"/>
  <c r="AC13" i="9"/>
  <c r="U10" i="9"/>
  <c r="S10" i="9"/>
  <c r="T10" i="9"/>
  <c r="V10" i="9"/>
  <c r="U13" i="9"/>
  <c r="S13" i="9"/>
  <c r="T13" i="9"/>
  <c r="S16" i="9"/>
  <c r="T16" i="9"/>
  <c r="E112" i="21"/>
  <c r="E113" i="21"/>
  <c r="E118" i="21"/>
  <c r="E115" i="21"/>
  <c r="E116" i="21"/>
  <c r="E122" i="21"/>
  <c r="E120" i="21"/>
  <c r="E121" i="21"/>
  <c r="E98" i="21"/>
  <c r="E71" i="21"/>
  <c r="E72" i="21"/>
  <c r="E73" i="21"/>
  <c r="E97" i="21"/>
  <c r="E74" i="21"/>
  <c r="E75" i="21"/>
  <c r="E76" i="21"/>
  <c r="E77" i="21"/>
  <c r="E78" i="21"/>
  <c r="E79" i="21"/>
  <c r="E80" i="21"/>
  <c r="E81" i="21"/>
  <c r="E82" i="21"/>
  <c r="E105" i="21"/>
  <c r="E85" i="21"/>
  <c r="E117" i="21"/>
  <c r="E88" i="21"/>
  <c r="E106" i="21"/>
  <c r="E114" i="21"/>
  <c r="E86" i="21"/>
  <c r="E90" i="21"/>
  <c r="E87" i="21"/>
  <c r="E119" i="21"/>
  <c r="E89" i="21"/>
  <c r="E93" i="21"/>
  <c r="E123" i="21"/>
  <c r="E96" i="21"/>
  <c r="E91" i="21"/>
  <c r="E83" i="21"/>
  <c r="E92" i="21"/>
  <c r="E84" i="21"/>
  <c r="E94" i="21"/>
  <c r="E109" i="21"/>
  <c r="E95" i="21"/>
  <c r="E111" i="21"/>
  <c r="E108" i="21"/>
  <c r="E110" i="21"/>
  <c r="E101" i="21"/>
  <c r="E103" i="21"/>
  <c r="E107" i="21"/>
  <c r="E104" i="21"/>
  <c r="E100" i="21"/>
  <c r="E102" i="21"/>
  <c r="E99" i="21"/>
  <c r="E124" i="21"/>
  <c r="E125" i="21"/>
  <c r="E126" i="21"/>
  <c r="E127" i="21"/>
  <c r="E128" i="21"/>
  <c r="E129" i="21"/>
  <c r="K113" i="21"/>
  <c r="K112" i="21"/>
  <c r="K117" i="21"/>
  <c r="K115" i="21"/>
  <c r="K116" i="21"/>
  <c r="K122" i="21"/>
  <c r="K120" i="21"/>
  <c r="K121" i="21"/>
  <c r="K98" i="21"/>
  <c r="K110" i="21"/>
  <c r="K107" i="21"/>
  <c r="K99" i="21"/>
  <c r="K106" i="21"/>
  <c r="K87" i="21"/>
  <c r="K114" i="21"/>
  <c r="K123" i="21"/>
  <c r="K91" i="21"/>
  <c r="K94" i="21"/>
  <c r="K71" i="21"/>
  <c r="K72" i="21"/>
  <c r="K73" i="21"/>
  <c r="K97" i="21"/>
  <c r="K74" i="21"/>
  <c r="K108" i="21"/>
  <c r="K75" i="21"/>
  <c r="K103" i="21"/>
  <c r="K101" i="21"/>
  <c r="K76" i="21"/>
  <c r="K100" i="21"/>
  <c r="K104" i="21"/>
  <c r="K77" i="21"/>
  <c r="K105" i="21"/>
  <c r="K102" i="21"/>
  <c r="K78" i="21"/>
  <c r="K118" i="21"/>
  <c r="K85" i="21"/>
  <c r="K79" i="21"/>
  <c r="K89" i="21"/>
  <c r="K86" i="21"/>
  <c r="K80" i="21"/>
  <c r="K90" i="21"/>
  <c r="K88" i="21"/>
  <c r="K81" i="21"/>
  <c r="K119" i="21"/>
  <c r="K92" i="21"/>
  <c r="K82" i="21"/>
  <c r="K96" i="21"/>
  <c r="K93" i="21"/>
  <c r="K83" i="21"/>
  <c r="K84" i="21"/>
  <c r="K109" i="21"/>
  <c r="K111" i="21"/>
  <c r="K95" i="21"/>
  <c r="K124" i="21"/>
  <c r="K125" i="21"/>
  <c r="K126" i="21"/>
  <c r="K127" i="21"/>
  <c r="K128" i="21"/>
  <c r="K129" i="21"/>
  <c r="E42" i="7" l="1"/>
  <c r="I17" i="7"/>
  <c r="I46" i="7"/>
  <c r="I21" i="7"/>
  <c r="I54" i="7"/>
  <c r="I23" i="7"/>
  <c r="I19" i="7"/>
  <c r="I47" i="7"/>
  <c r="I16" i="7"/>
  <c r="I48" i="7"/>
  <c r="I44" i="7"/>
  <c r="I27" i="7"/>
  <c r="I20" i="7"/>
  <c r="M20" i="7" s="1"/>
  <c r="I52" i="7"/>
  <c r="I50" i="7"/>
  <c r="I49" i="7"/>
  <c r="I53" i="7"/>
  <c r="I45" i="7"/>
  <c r="I25" i="7"/>
  <c r="I51" i="7"/>
  <c r="I41" i="7"/>
  <c r="I43" i="7"/>
  <c r="I55" i="7"/>
  <c r="I26" i="7"/>
  <c r="I42" i="7"/>
  <c r="I22" i="7"/>
  <c r="I24" i="7"/>
  <c r="E55" i="7"/>
  <c r="E52" i="7"/>
  <c r="E50" i="7"/>
  <c r="E46" i="7"/>
  <c r="E44" i="7"/>
  <c r="E41" i="7"/>
  <c r="E27" i="7"/>
  <c r="E23" i="7"/>
  <c r="E21" i="7"/>
  <c r="E20" i="7"/>
  <c r="E19" i="7"/>
  <c r="E16" i="7"/>
  <c r="AX109" i="26"/>
  <c r="AX113" i="26" s="1"/>
  <c r="AW109" i="26"/>
  <c r="AW131" i="26" s="1"/>
  <c r="AV109" i="26"/>
  <c r="AV119" i="26" s="1"/>
  <c r="AU109" i="26"/>
  <c r="AU131" i="26" s="1"/>
  <c r="AT109" i="26"/>
  <c r="AT115" i="26" s="1"/>
  <c r="AS109" i="26"/>
  <c r="AS115" i="26" s="1"/>
  <c r="AR109" i="26"/>
  <c r="AR115" i="26" s="1"/>
  <c r="AQ109" i="26"/>
  <c r="AQ133" i="26" s="1"/>
  <c r="AP109" i="26"/>
  <c r="AP128" i="26" s="1"/>
  <c r="AO109" i="26"/>
  <c r="AO127" i="26" s="1"/>
  <c r="AN109" i="26"/>
  <c r="AN112" i="26" s="1"/>
  <c r="AM109" i="26"/>
  <c r="AM141" i="26" s="1"/>
  <c r="AL109" i="26"/>
  <c r="AL120" i="26" s="1"/>
  <c r="AX120" i="26"/>
  <c r="AW130" i="26"/>
  <c r="AX134" i="26"/>
  <c r="AW136" i="26"/>
  <c r="AX136" i="26"/>
  <c r="AX138" i="26"/>
  <c r="AX141" i="26"/>
  <c r="AX142" i="26"/>
  <c r="AX143" i="26"/>
  <c r="AW144" i="26"/>
  <c r="AX144" i="26"/>
  <c r="AX148" i="26"/>
  <c r="AX149" i="26"/>
  <c r="AX150" i="26"/>
  <c r="AX151" i="26"/>
  <c r="AX156" i="26"/>
  <c r="AX157" i="26"/>
  <c r="AK109" i="26"/>
  <c r="AK121" i="26" s="1"/>
  <c r="AX110" i="26"/>
  <c r="N21" i="7" l="1"/>
  <c r="M21" i="7"/>
  <c r="N53" i="7"/>
  <c r="M53" i="7"/>
  <c r="N17" i="7"/>
  <c r="M17" i="7"/>
  <c r="N16" i="7"/>
  <c r="M16" i="7"/>
  <c r="N44" i="7"/>
  <c r="M44" i="7"/>
  <c r="N45" i="7"/>
  <c r="M45" i="7"/>
  <c r="N50" i="7"/>
  <c r="M50" i="7"/>
  <c r="N19" i="7"/>
  <c r="M19" i="7"/>
  <c r="N22" i="7"/>
  <c r="M22" i="7"/>
  <c r="N43" i="7"/>
  <c r="M43" i="7"/>
  <c r="N20" i="7"/>
  <c r="N55" i="7"/>
  <c r="M55" i="7"/>
  <c r="N54" i="7"/>
  <c r="M54" i="7"/>
  <c r="N48" i="7"/>
  <c r="M48" i="7"/>
  <c r="N41" i="7"/>
  <c r="M41" i="7"/>
  <c r="N51" i="7"/>
  <c r="M51" i="7"/>
  <c r="N25" i="7"/>
  <c r="M25" i="7"/>
  <c r="N26" i="7"/>
  <c r="M26" i="7"/>
  <c r="N42" i="7"/>
  <c r="M42" i="7"/>
  <c r="N27" i="7"/>
  <c r="M27" i="7"/>
  <c r="N52" i="7"/>
  <c r="M52" i="7"/>
  <c r="N46" i="7"/>
  <c r="M46" i="7"/>
  <c r="N49" i="7"/>
  <c r="M49" i="7"/>
  <c r="N47" i="7"/>
  <c r="M47" i="7"/>
  <c r="N24" i="7"/>
  <c r="M24" i="7"/>
  <c r="N23" i="7"/>
  <c r="M23" i="7"/>
  <c r="AW110" i="26"/>
  <c r="AW137" i="26"/>
  <c r="AW112" i="26"/>
  <c r="AW125" i="26"/>
  <c r="AW150" i="26"/>
  <c r="AW117" i="26"/>
  <c r="AW126" i="26"/>
  <c r="AX155" i="26"/>
  <c r="AX147" i="26"/>
  <c r="AW141" i="26"/>
  <c r="AX132" i="26"/>
  <c r="AX116" i="26"/>
  <c r="AW155" i="26"/>
  <c r="AW147" i="26"/>
  <c r="AX140" i="26"/>
  <c r="AW132" i="26"/>
  <c r="AW116" i="26"/>
  <c r="AX154" i="26"/>
  <c r="AX146" i="26"/>
  <c r="AW140" i="26"/>
  <c r="AX130" i="26"/>
  <c r="AX114" i="26"/>
  <c r="AR153" i="26"/>
  <c r="AR140" i="26"/>
  <c r="AU127" i="26"/>
  <c r="AS110" i="26"/>
  <c r="AU143" i="26"/>
  <c r="AV130" i="26"/>
  <c r="AW156" i="26"/>
  <c r="AW142" i="26"/>
  <c r="AX158" i="26"/>
  <c r="AV156" i="26"/>
  <c r="AX152" i="26"/>
  <c r="AW149" i="26"/>
  <c r="AV146" i="26"/>
  <c r="AP142" i="26"/>
  <c r="AX139" i="26"/>
  <c r="AW134" i="26"/>
  <c r="AV128" i="26"/>
  <c r="AW120" i="26"/>
  <c r="AW113" i="26"/>
  <c r="AV148" i="26"/>
  <c r="AV151" i="26"/>
  <c r="AT117" i="26"/>
  <c r="AU157" i="26"/>
  <c r="AV124" i="26"/>
  <c r="AW153" i="26"/>
  <c r="AV150" i="26"/>
  <c r="AW129" i="26"/>
  <c r="AW158" i="26"/>
  <c r="AW152" i="26"/>
  <c r="AW145" i="26"/>
  <c r="AW139" i="26"/>
  <c r="AW127" i="26"/>
  <c r="AW119" i="26"/>
  <c r="AX112" i="26"/>
  <c r="AV158" i="26"/>
  <c r="AV155" i="26"/>
  <c r="AV157" i="26"/>
  <c r="AS154" i="26"/>
  <c r="AV147" i="26"/>
  <c r="AV140" i="26"/>
  <c r="AT140" i="26"/>
  <c r="AW135" i="26"/>
  <c r="AW123" i="26"/>
  <c r="AW146" i="26"/>
  <c r="AW128" i="26"/>
  <c r="AW114" i="26"/>
  <c r="AQ147" i="26"/>
  <c r="AR157" i="26"/>
  <c r="AV136" i="26"/>
  <c r="AV131" i="26"/>
  <c r="AV123" i="26"/>
  <c r="AV117" i="26"/>
  <c r="AQ128" i="26"/>
  <c r="AV154" i="26"/>
  <c r="AV152" i="26"/>
  <c r="AV149" i="26"/>
  <c r="AV143" i="26"/>
  <c r="AV139" i="26"/>
  <c r="AR136" i="26"/>
  <c r="AV127" i="26"/>
  <c r="AV121" i="26"/>
  <c r="AQ121" i="26"/>
  <c r="AU158" i="26"/>
  <c r="AQ156" i="26"/>
  <c r="AV153" i="26"/>
  <c r="AV145" i="26"/>
  <c r="AU140" i="26"/>
  <c r="AV137" i="26"/>
  <c r="AV110" i="26"/>
  <c r="AU153" i="26"/>
  <c r="AU145" i="26"/>
  <c r="AV142" i="26"/>
  <c r="AU137" i="26"/>
  <c r="AV134" i="26"/>
  <c r="AV125" i="26"/>
  <c r="AV120" i="26"/>
  <c r="AQ113" i="26"/>
  <c r="AR121" i="26"/>
  <c r="AQ152" i="26"/>
  <c r="AQ150" i="26"/>
  <c r="AQ154" i="26"/>
  <c r="AQ134" i="26"/>
  <c r="AP134" i="26"/>
  <c r="AQ140" i="26"/>
  <c r="AQ143" i="26"/>
  <c r="AR144" i="26"/>
  <c r="AR120" i="26"/>
  <c r="AR156" i="26"/>
  <c r="AR147" i="26"/>
  <c r="AR128" i="26"/>
  <c r="AR134" i="26"/>
  <c r="AR151" i="26"/>
  <c r="AR139" i="26"/>
  <c r="AR133" i="26"/>
  <c r="AR155" i="26"/>
  <c r="AR142" i="26"/>
  <c r="AR124" i="26"/>
  <c r="AR110" i="26"/>
  <c r="AR150" i="26"/>
  <c r="AR114" i="26"/>
  <c r="AR149" i="26"/>
  <c r="AR158" i="26"/>
  <c r="AR131" i="26"/>
  <c r="AR145" i="26"/>
  <c r="AQ118" i="26"/>
  <c r="AQ146" i="26"/>
  <c r="AQ141" i="26"/>
  <c r="AQ137" i="26"/>
  <c r="AQ123" i="26"/>
  <c r="AP154" i="26"/>
  <c r="AP110" i="26"/>
  <c r="AP118" i="26"/>
  <c r="AP132" i="26"/>
  <c r="AP148" i="26"/>
  <c r="AP144" i="26"/>
  <c r="AP136" i="26"/>
  <c r="AP137" i="26"/>
  <c r="AP156" i="26"/>
  <c r="AP158" i="26"/>
  <c r="AO131" i="26"/>
  <c r="AO125" i="26"/>
  <c r="AO149" i="26"/>
  <c r="AO153" i="26"/>
  <c r="AO110" i="26"/>
  <c r="AO118" i="26"/>
  <c r="AN152" i="26"/>
  <c r="AN124" i="26"/>
  <c r="AN130" i="26"/>
  <c r="AN145" i="26"/>
  <c r="AM110" i="26"/>
  <c r="AM139" i="26"/>
  <c r="AK135" i="26"/>
  <c r="AK134" i="26"/>
  <c r="AK120" i="26"/>
  <c r="AK119" i="26"/>
  <c r="AK118" i="26"/>
  <c r="AN141" i="26"/>
  <c r="AM134" i="26"/>
  <c r="AN134" i="26"/>
  <c r="AL148" i="26"/>
  <c r="AN128" i="26"/>
  <c r="AL147" i="26"/>
  <c r="AN157" i="26"/>
  <c r="AM154" i="26"/>
  <c r="AN147" i="26"/>
  <c r="AN116" i="26"/>
  <c r="AL131" i="26"/>
  <c r="AN132" i="26"/>
  <c r="AM121" i="26"/>
  <c r="AN115" i="26"/>
  <c r="AL130" i="26"/>
  <c r="AM132" i="26"/>
  <c r="AL113" i="26"/>
  <c r="AN143" i="26"/>
  <c r="AK152" i="26"/>
  <c r="AN126" i="26"/>
  <c r="AL112" i="26"/>
  <c r="AK151" i="26"/>
  <c r="AM146" i="26"/>
  <c r="AK150" i="26"/>
  <c r="AN120" i="26"/>
  <c r="AL110" i="26"/>
  <c r="AK136" i="26"/>
  <c r="AS148" i="26"/>
  <c r="AS117" i="26"/>
  <c r="AS151" i="26"/>
  <c r="AS133" i="26"/>
  <c r="AT120" i="26"/>
  <c r="AS156" i="26"/>
  <c r="AS145" i="26"/>
  <c r="AS136" i="26"/>
  <c r="AS127" i="26"/>
  <c r="AS116" i="26"/>
  <c r="AS112" i="26"/>
  <c r="AS139" i="26"/>
  <c r="AU130" i="26"/>
  <c r="AX126" i="26"/>
  <c r="AS123" i="26"/>
  <c r="AR116" i="26"/>
  <c r="AV112" i="26"/>
  <c r="AS153" i="26"/>
  <c r="AT147" i="26"/>
  <c r="AS130" i="26"/>
  <c r="AQ116" i="26"/>
  <c r="AU111" i="26"/>
  <c r="AS150" i="26"/>
  <c r="AS147" i="26"/>
  <c r="AU132" i="26"/>
  <c r="AV126" i="26"/>
  <c r="AW122" i="26"/>
  <c r="AW118" i="26"/>
  <c r="AP116" i="26"/>
  <c r="AR111" i="26"/>
  <c r="AS124" i="26"/>
  <c r="AS141" i="26"/>
  <c r="AT135" i="26"/>
  <c r="AS132" i="26"/>
  <c r="AR126" i="26"/>
  <c r="AV122" i="26"/>
  <c r="AV118" i="26"/>
  <c r="AS144" i="26"/>
  <c r="AV138" i="26"/>
  <c r="AR135" i="26"/>
  <c r="AR132" i="26"/>
  <c r="AV129" i="26"/>
  <c r="AQ126" i="26"/>
  <c r="AP122" i="26"/>
  <c r="AS118" i="26"/>
  <c r="AQ115" i="26"/>
  <c r="AS138" i="26"/>
  <c r="AQ132" i="26"/>
  <c r="AX128" i="26"/>
  <c r="AW121" i="26"/>
  <c r="AR118" i="26"/>
  <c r="AS155" i="26"/>
  <c r="AT152" i="26"/>
  <c r="AS121" i="26"/>
  <c r="AS131" i="26"/>
  <c r="AS152" i="26"/>
  <c r="AS134" i="26"/>
  <c r="AS128" i="26"/>
  <c r="AS125" i="26"/>
  <c r="AV114" i="26"/>
  <c r="AS157" i="26"/>
  <c r="AS146" i="26"/>
  <c r="AS137" i="26"/>
  <c r="AS114" i="26"/>
  <c r="AW111" i="26"/>
  <c r="AV113" i="26"/>
  <c r="AV144" i="26"/>
  <c r="AV141" i="26"/>
  <c r="AV135" i="26"/>
  <c r="AV132" i="26"/>
  <c r="AU114" i="26"/>
  <c r="AU123" i="26"/>
  <c r="AU147" i="26"/>
  <c r="AU126" i="26"/>
  <c r="AU120" i="26"/>
  <c r="AU142" i="26"/>
  <c r="AU134" i="26"/>
  <c r="AU152" i="26"/>
  <c r="AU155" i="26"/>
  <c r="AU150" i="26"/>
  <c r="AU117" i="26"/>
  <c r="AU154" i="26"/>
  <c r="AU139" i="26"/>
  <c r="AU128" i="26"/>
  <c r="AU122" i="26"/>
  <c r="AU116" i="26"/>
  <c r="AU113" i="26"/>
  <c r="AU129" i="26"/>
  <c r="AU144" i="26"/>
  <c r="AU125" i="26"/>
  <c r="AU156" i="26"/>
  <c r="AU133" i="26"/>
  <c r="AU110" i="26"/>
  <c r="AU121" i="26"/>
  <c r="AU112" i="26"/>
  <c r="AU118" i="26"/>
  <c r="AU151" i="26"/>
  <c r="AU148" i="26"/>
  <c r="AU138" i="26"/>
  <c r="AU135" i="26"/>
  <c r="AT114" i="26"/>
  <c r="AT122" i="26"/>
  <c r="AT130" i="26"/>
  <c r="AT158" i="26"/>
  <c r="AT127" i="26"/>
  <c r="AT116" i="26"/>
  <c r="AT144" i="26"/>
  <c r="AT125" i="26"/>
  <c r="AT149" i="26"/>
  <c r="AT121" i="26"/>
  <c r="AT118" i="26"/>
  <c r="AT113" i="26"/>
  <c r="AT132" i="26"/>
  <c r="AT153" i="26"/>
  <c r="AT146" i="26"/>
  <c r="AT156" i="26"/>
  <c r="AT110" i="26"/>
  <c r="AT141" i="26"/>
  <c r="AT136" i="26"/>
  <c r="AT126" i="26"/>
  <c r="AT123" i="26"/>
  <c r="AT112" i="26"/>
  <c r="AT150" i="26"/>
  <c r="AT143" i="26"/>
  <c r="AT133" i="26"/>
  <c r="AT128" i="26"/>
  <c r="AT155" i="26"/>
  <c r="AT138" i="26"/>
  <c r="AS113" i="26"/>
  <c r="AS126" i="26"/>
  <c r="AS140" i="26"/>
  <c r="AS111" i="26"/>
  <c r="AS158" i="26"/>
  <c r="AS149" i="26"/>
  <c r="AS142" i="26"/>
  <c r="AS120" i="26"/>
  <c r="AR113" i="26"/>
  <c r="AR123" i="26"/>
  <c r="AR137" i="26"/>
  <c r="AR148" i="26"/>
  <c r="AR146" i="26"/>
  <c r="AR130" i="26"/>
  <c r="AR112" i="26"/>
  <c r="AR154" i="26"/>
  <c r="AR127" i="26"/>
  <c r="AR117" i="26"/>
  <c r="AR152" i="26"/>
  <c r="AR143" i="26"/>
  <c r="AR129" i="26"/>
  <c r="AR119" i="26"/>
  <c r="AQ149" i="26"/>
  <c r="AQ129" i="26"/>
  <c r="AQ127" i="26"/>
  <c r="AQ120" i="26"/>
  <c r="AQ110" i="26"/>
  <c r="AQ157" i="26"/>
  <c r="AQ138" i="26"/>
  <c r="AQ153" i="26"/>
  <c r="AQ131" i="26"/>
  <c r="AQ155" i="26"/>
  <c r="AQ124" i="26"/>
  <c r="AQ117" i="26"/>
  <c r="AQ135" i="26"/>
  <c r="AQ111" i="26"/>
  <c r="AQ144" i="26"/>
  <c r="AQ114" i="26"/>
  <c r="AP138" i="26"/>
  <c r="AP152" i="26"/>
  <c r="AP150" i="26"/>
  <c r="AP140" i="26"/>
  <c r="AP120" i="26"/>
  <c r="AP157" i="26"/>
  <c r="AP135" i="26"/>
  <c r="AP124" i="26"/>
  <c r="AP141" i="26"/>
  <c r="AP155" i="26"/>
  <c r="AP151" i="26"/>
  <c r="AP145" i="26"/>
  <c r="AP139" i="26"/>
  <c r="AP149" i="26"/>
  <c r="AP147" i="26"/>
  <c r="AP126" i="26"/>
  <c r="AP114" i="26"/>
  <c r="AO137" i="26"/>
  <c r="AO124" i="26"/>
  <c r="AO141" i="26"/>
  <c r="AO145" i="26"/>
  <c r="AO156" i="26"/>
  <c r="AO130" i="26"/>
  <c r="AO152" i="26"/>
  <c r="AO148" i="26"/>
  <c r="AO121" i="26"/>
  <c r="AO134" i="26"/>
  <c r="AO111" i="26"/>
  <c r="AN150" i="26"/>
  <c r="AN113" i="26"/>
  <c r="AN139" i="26"/>
  <c r="AN148" i="26"/>
  <c r="AN119" i="26"/>
  <c r="AN155" i="26"/>
  <c r="AN137" i="26"/>
  <c r="AN135" i="26"/>
  <c r="AN133" i="26"/>
  <c r="AN129" i="26"/>
  <c r="AN121" i="26"/>
  <c r="AN117" i="26"/>
  <c r="AN153" i="26"/>
  <c r="AN146" i="26"/>
  <c r="AN131" i="26"/>
  <c r="AN127" i="26"/>
  <c r="AN123" i="26"/>
  <c r="AN158" i="26"/>
  <c r="AN125" i="26"/>
  <c r="AN151" i="26"/>
  <c r="AN142" i="26"/>
  <c r="AN144" i="26"/>
  <c r="AN110" i="26"/>
  <c r="AN156" i="26"/>
  <c r="AN114" i="26"/>
  <c r="AN140" i="26"/>
  <c r="AN154" i="26"/>
  <c r="AN149" i="26"/>
  <c r="AN138" i="26"/>
  <c r="AN122" i="26"/>
  <c r="AN111" i="26"/>
  <c r="AN136" i="26"/>
  <c r="AN118" i="26"/>
  <c r="AM128" i="26"/>
  <c r="AM142" i="26"/>
  <c r="AM126" i="26"/>
  <c r="AM124" i="26"/>
  <c r="AM122" i="26"/>
  <c r="AM152" i="26"/>
  <c r="AM133" i="26"/>
  <c r="AM147" i="26"/>
  <c r="AM144" i="26"/>
  <c r="AM135" i="26"/>
  <c r="AM155" i="26"/>
  <c r="AM140" i="26"/>
  <c r="AM131" i="26"/>
  <c r="AM129" i="26"/>
  <c r="AM112" i="26"/>
  <c r="AM158" i="26"/>
  <c r="AM150" i="26"/>
  <c r="AM118" i="26"/>
  <c r="AM114" i="26"/>
  <c r="AM138" i="26"/>
  <c r="AM120" i="26"/>
  <c r="AM116" i="26"/>
  <c r="AM136" i="26"/>
  <c r="AM156" i="26"/>
  <c r="AM125" i="26"/>
  <c r="AM111" i="26"/>
  <c r="AM143" i="26"/>
  <c r="AM148" i="26"/>
  <c r="AM151" i="26"/>
  <c r="AM123" i="26"/>
  <c r="AM119" i="26"/>
  <c r="AM115" i="26"/>
  <c r="AL145" i="26"/>
  <c r="AL127" i="26"/>
  <c r="AL111" i="26"/>
  <c r="AL126" i="26"/>
  <c r="AL144" i="26"/>
  <c r="AL158" i="26"/>
  <c r="AL125" i="26"/>
  <c r="AL142" i="26"/>
  <c r="AL157" i="26"/>
  <c r="AL141" i="26"/>
  <c r="AL123" i="26"/>
  <c r="AL146" i="26"/>
  <c r="AL122" i="26"/>
  <c r="AL129" i="26"/>
  <c r="AL156" i="26"/>
  <c r="AL155" i="26"/>
  <c r="AL139" i="26"/>
  <c r="AL121" i="26"/>
  <c r="AL128" i="26"/>
  <c r="AL143" i="26"/>
  <c r="AL140" i="26"/>
  <c r="AL154" i="26"/>
  <c r="AL138" i="26"/>
  <c r="AL119" i="26"/>
  <c r="AL118" i="26"/>
  <c r="AL117" i="26"/>
  <c r="AL116" i="26"/>
  <c r="AL153" i="26"/>
  <c r="AL135" i="26"/>
  <c r="AL151" i="26"/>
  <c r="AL150" i="26"/>
  <c r="AL133" i="26"/>
  <c r="AL115" i="26"/>
  <c r="AL137" i="26"/>
  <c r="AL152" i="26"/>
  <c r="AL134" i="26"/>
  <c r="AL149" i="26"/>
  <c r="AL132" i="26"/>
  <c r="AL114" i="26"/>
  <c r="AK117" i="26"/>
  <c r="AK148" i="26"/>
  <c r="AK115" i="26"/>
  <c r="AK131" i="26"/>
  <c r="AK146" i="26"/>
  <c r="AK130" i="26"/>
  <c r="AK114" i="26"/>
  <c r="AK145" i="26"/>
  <c r="AK129" i="26"/>
  <c r="AK113" i="26"/>
  <c r="AK116" i="26"/>
  <c r="AK144" i="26"/>
  <c r="AK128" i="26"/>
  <c r="AK112" i="26"/>
  <c r="AK132" i="26"/>
  <c r="AK143" i="26"/>
  <c r="AK127" i="26"/>
  <c r="AK111" i="26"/>
  <c r="AK147" i="26"/>
  <c r="AK158" i="26"/>
  <c r="AK142" i="26"/>
  <c r="AK126" i="26"/>
  <c r="AK157" i="26"/>
  <c r="AK141" i="26"/>
  <c r="AK125" i="26"/>
  <c r="AK124" i="26"/>
  <c r="AK155" i="26"/>
  <c r="AK139" i="26"/>
  <c r="AK123" i="26"/>
  <c r="AK133" i="26"/>
  <c r="AK156" i="26"/>
  <c r="AK154" i="26"/>
  <c r="AK138" i="26"/>
  <c r="AK122" i="26"/>
  <c r="AK149" i="26"/>
  <c r="AK140" i="26"/>
  <c r="AK110" i="26"/>
  <c r="AK153" i="26"/>
  <c r="AK137" i="26"/>
  <c r="AX124" i="26"/>
  <c r="AX153" i="26"/>
  <c r="AX145" i="26"/>
  <c r="AX122" i="26"/>
  <c r="AX118" i="26"/>
  <c r="AW148" i="26"/>
  <c r="AW133" i="26"/>
  <c r="AW124" i="26"/>
  <c r="AW138" i="26"/>
  <c r="AW157" i="26"/>
  <c r="AW154" i="26"/>
  <c r="AW151" i="26"/>
  <c r="AW143" i="26"/>
  <c r="AV133" i="26"/>
  <c r="AU149" i="26"/>
  <c r="AU146" i="26"/>
  <c r="AU141" i="26"/>
  <c r="AU124" i="26"/>
  <c r="AU119" i="26"/>
  <c r="AU136" i="26"/>
  <c r="AT131" i="26"/>
  <c r="AT139" i="26"/>
  <c r="AT124" i="26"/>
  <c r="AT157" i="26"/>
  <c r="AT142" i="26"/>
  <c r="AT134" i="26"/>
  <c r="AT119" i="26"/>
  <c r="AT111" i="26"/>
  <c r="AT154" i="26"/>
  <c r="AT129" i="26"/>
  <c r="AT151" i="26"/>
  <c r="AT148" i="26"/>
  <c r="AT145" i="26"/>
  <c r="AT137" i="26"/>
  <c r="AS129" i="26"/>
  <c r="AS119" i="26"/>
  <c r="AS143" i="26"/>
  <c r="AS135" i="26"/>
  <c r="AS122" i="26"/>
  <c r="AR122" i="26"/>
  <c r="AR141" i="26"/>
  <c r="AR138" i="26"/>
  <c r="AR125" i="26"/>
  <c r="AQ151" i="26"/>
  <c r="AQ119" i="26"/>
  <c r="AQ112" i="26"/>
  <c r="AQ148" i="26"/>
  <c r="AQ125" i="26"/>
  <c r="AQ122" i="26"/>
  <c r="AQ145" i="26"/>
  <c r="AQ142" i="26"/>
  <c r="AQ130" i="26"/>
  <c r="AQ158" i="26"/>
  <c r="AQ139" i="26"/>
  <c r="AQ136" i="26"/>
  <c r="AP133" i="26"/>
  <c r="AP130" i="26"/>
  <c r="AP112" i="26"/>
  <c r="AP111" i="26"/>
  <c r="AP146" i="26"/>
  <c r="AP153" i="26"/>
  <c r="AP143" i="26"/>
  <c r="AO128" i="26"/>
  <c r="AO116" i="26"/>
  <c r="AO138" i="26"/>
  <c r="AO122" i="26"/>
  <c r="AO119" i="26"/>
  <c r="AO142" i="26"/>
  <c r="AO135" i="26"/>
  <c r="AO157" i="26"/>
  <c r="AO146" i="26"/>
  <c r="AO114" i="26"/>
  <c r="AO150" i="26"/>
  <c r="AO129" i="26"/>
  <c r="AO154" i="26"/>
  <c r="AO139" i="26"/>
  <c r="AO132" i="26"/>
  <c r="AO126" i="26"/>
  <c r="AO123" i="26"/>
  <c r="AO158" i="26"/>
  <c r="AO143" i="26"/>
  <c r="AO112" i="26"/>
  <c r="AO147" i="26"/>
  <c r="AO136" i="26"/>
  <c r="AO120" i="26"/>
  <c r="AO115" i="26"/>
  <c r="AO113" i="26"/>
  <c r="AO151" i="26"/>
  <c r="AO155" i="26"/>
  <c r="AO140" i="26"/>
  <c r="AO133" i="26"/>
  <c r="AO144" i="26"/>
  <c r="AM117" i="26"/>
  <c r="AM137" i="26"/>
  <c r="AM130" i="26"/>
  <c r="AM127" i="26"/>
  <c r="AM113" i="26"/>
  <c r="AM157" i="26"/>
  <c r="AM153" i="26"/>
  <c r="AM149" i="26"/>
  <c r="AM145" i="26"/>
  <c r="AL124" i="26"/>
  <c r="AL136" i="26"/>
  <c r="AX135" i="26"/>
  <c r="AX131" i="26"/>
  <c r="AP129" i="26"/>
  <c r="AX127" i="26"/>
  <c r="AP125" i="26"/>
  <c r="AX123" i="26"/>
  <c r="AP121" i="26"/>
  <c r="AX119" i="26"/>
  <c r="AP117" i="26"/>
  <c r="AX115" i="26"/>
  <c r="AP113" i="26"/>
  <c r="AX111" i="26"/>
  <c r="AO117" i="26"/>
  <c r="AW115" i="26"/>
  <c r="AV115" i="26"/>
  <c r="AV111" i="26"/>
  <c r="AU115" i="26"/>
  <c r="AV116" i="26"/>
  <c r="AX137" i="26"/>
  <c r="AX133" i="26"/>
  <c r="AP131" i="26"/>
  <c r="AX129" i="26"/>
  <c r="AP127" i="26"/>
  <c r="AX125" i="26"/>
  <c r="AP123" i="26"/>
  <c r="AX121" i="26"/>
  <c r="AP119" i="26"/>
  <c r="AX117" i="26"/>
  <c r="AP115" i="26"/>
  <c r="I79" i="4"/>
  <c r="E39" i="4" s="1"/>
  <c r="F35" i="7" s="1"/>
  <c r="V35" i="7" l="1"/>
  <c r="W35" i="7"/>
  <c r="G17" i="7"/>
  <c r="G48" i="7"/>
  <c r="G49" i="7"/>
  <c r="G42" i="7"/>
  <c r="G41" i="7"/>
  <c r="G43" i="7"/>
  <c r="G20" i="7"/>
  <c r="G50" i="7"/>
  <c r="G45" i="7"/>
  <c r="G25" i="7"/>
  <c r="G54" i="7"/>
  <c r="G22" i="7"/>
  <c r="G44" i="7"/>
  <c r="G21" i="7"/>
  <c r="G23" i="7"/>
  <c r="G46" i="7"/>
  <c r="G26" i="7"/>
  <c r="G47" i="7"/>
  <c r="G24" i="7"/>
  <c r="G52" i="7"/>
  <c r="G53" i="7"/>
  <c r="G27" i="7"/>
  <c r="G51" i="7"/>
  <c r="G55" i="7"/>
  <c r="G16" i="7"/>
  <c r="G19" i="7"/>
  <c r="AB127" i="15"/>
  <c r="E35" i="7"/>
  <c r="AB125" i="15"/>
  <c r="AA126" i="15"/>
  <c r="AA127" i="15"/>
  <c r="Y126" i="15"/>
  <c r="AB126" i="15"/>
  <c r="AB122" i="15"/>
  <c r="Y125" i="15"/>
  <c r="AA125" i="15"/>
  <c r="AA121" i="15"/>
  <c r="Y122" i="15"/>
  <c r="AA113" i="15"/>
  <c r="Y113" i="15"/>
  <c r="Y115" i="15"/>
  <c r="AA120" i="15"/>
  <c r="Z120" i="15"/>
  <c r="Y118" i="15"/>
  <c r="Z118" i="15"/>
  <c r="AB120" i="15"/>
  <c r="Y121" i="15"/>
  <c r="AA119" i="15"/>
  <c r="Z116" i="15"/>
  <c r="Z114" i="15"/>
  <c r="AB114" i="15"/>
  <c r="Z115" i="15"/>
  <c r="AB116" i="15"/>
  <c r="Y114" i="15"/>
  <c r="AA114" i="15"/>
  <c r="AA116" i="15"/>
  <c r="AA115" i="15"/>
  <c r="Z113" i="15"/>
  <c r="Y116" i="15"/>
  <c r="AB115" i="15"/>
  <c r="AB113" i="15"/>
  <c r="Z121" i="15"/>
  <c r="AA123" i="15"/>
  <c r="Y123" i="15"/>
  <c r="Y124" i="15"/>
  <c r="Z122" i="15"/>
  <c r="AA118" i="15"/>
  <c r="Y120" i="15"/>
  <c r="AB123" i="15"/>
  <c r="Z125" i="15"/>
  <c r="AB121" i="15"/>
  <c r="Z123" i="15"/>
  <c r="AA124" i="15"/>
  <c r="AB119" i="15"/>
  <c r="Y127" i="15"/>
  <c r="Z127" i="15"/>
  <c r="Z124" i="15"/>
  <c r="Z119" i="15"/>
  <c r="Y119" i="15"/>
  <c r="AB118" i="15"/>
  <c r="AB124" i="15"/>
  <c r="AA122" i="15"/>
  <c r="Z126" i="15"/>
  <c r="D96" i="3"/>
  <c r="D97" i="3" s="1"/>
  <c r="E96" i="3"/>
  <c r="E97" i="3" s="1"/>
  <c r="F96" i="3"/>
  <c r="F97" i="3" s="1"/>
  <c r="G96" i="3"/>
  <c r="G97" i="3" s="1"/>
  <c r="C96" i="3"/>
  <c r="C97" i="3" s="1"/>
  <c r="D76" i="3"/>
  <c r="D77" i="3" s="1"/>
  <c r="E76" i="3"/>
  <c r="E77" i="3" s="1"/>
  <c r="F76" i="3"/>
  <c r="F77" i="3" s="1"/>
  <c r="G76" i="3"/>
  <c r="G77" i="3" s="1"/>
  <c r="C76" i="3"/>
  <c r="C77" i="3" s="1"/>
  <c r="D36" i="3"/>
  <c r="D37" i="3" s="1"/>
  <c r="E36" i="3"/>
  <c r="E37" i="3" s="1"/>
  <c r="F36" i="3"/>
  <c r="F37" i="3" s="1"/>
  <c r="G36" i="3"/>
  <c r="G37" i="3" s="1"/>
  <c r="C36" i="3"/>
  <c r="C37" i="3" s="1"/>
  <c r="I35" i="7" l="1"/>
  <c r="AI120" i="15"/>
  <c r="AH122" i="15"/>
  <c r="AG124" i="15"/>
  <c r="AI116" i="15"/>
  <c r="AG116" i="15"/>
  <c r="AF123" i="15"/>
  <c r="R123" i="15" s="1"/>
  <c r="AF113" i="15"/>
  <c r="R113" i="15" s="1"/>
  <c r="AH126" i="15"/>
  <c r="AF119" i="15"/>
  <c r="AG127" i="15"/>
  <c r="AI127" i="15"/>
  <c r="AI119" i="15"/>
  <c r="AH121" i="15"/>
  <c r="AG123" i="15"/>
  <c r="AI114" i="15"/>
  <c r="AG115" i="15"/>
  <c r="AF122" i="15"/>
  <c r="AI118" i="15"/>
  <c r="AG122" i="15"/>
  <c r="AI115" i="15"/>
  <c r="AF121" i="15"/>
  <c r="AG120" i="15"/>
  <c r="S120" i="15" s="1"/>
  <c r="AH125" i="15"/>
  <c r="AI126" i="15"/>
  <c r="AH120" i="15"/>
  <c r="AG114" i="15"/>
  <c r="AF127" i="15"/>
  <c r="AG119" i="15"/>
  <c r="AI125" i="15"/>
  <c r="AH127" i="15"/>
  <c r="AH119" i="15"/>
  <c r="AG121" i="15"/>
  <c r="AI113" i="15"/>
  <c r="AG113" i="15"/>
  <c r="AF120" i="15"/>
  <c r="AH118" i="15"/>
  <c r="AH115" i="15"/>
  <c r="AI122" i="15"/>
  <c r="U122" i="15" s="1"/>
  <c r="BO18" i="9" s="1"/>
  <c r="AH124" i="15"/>
  <c r="AG126" i="15"/>
  <c r="AG118" i="15"/>
  <c r="AH114" i="15"/>
  <c r="AF125" i="15"/>
  <c r="AF115" i="15"/>
  <c r="AH123" i="15"/>
  <c r="T123" i="15" s="1"/>
  <c r="AF124" i="15"/>
  <c r="AH116" i="15"/>
  <c r="AI123" i="15"/>
  <c r="AF126" i="15"/>
  <c r="AF116" i="15"/>
  <c r="AI121" i="15"/>
  <c r="AG125" i="15"/>
  <c r="AH113" i="15"/>
  <c r="T113" i="15" s="1"/>
  <c r="AF114" i="15"/>
  <c r="R114" i="15" s="1"/>
  <c r="AI124" i="15"/>
  <c r="U124" i="15" s="1"/>
  <c r="CE18" i="9" s="1"/>
  <c r="AO127" i="15"/>
  <c r="AO123" i="15"/>
  <c r="AO119" i="15"/>
  <c r="AO114" i="15"/>
  <c r="AN127" i="15"/>
  <c r="AN123" i="15"/>
  <c r="AN119" i="15"/>
  <c r="S119" i="15" s="1"/>
  <c r="AN114" i="15"/>
  <c r="AM127" i="15"/>
  <c r="AM123" i="15"/>
  <c r="AM119" i="15"/>
  <c r="R119" i="15" s="1"/>
  <c r="AM114" i="15"/>
  <c r="AP126" i="15"/>
  <c r="AP122" i="15"/>
  <c r="AP118" i="15"/>
  <c r="U118" i="15" s="1"/>
  <c r="AI18" i="9" s="1"/>
  <c r="AP113" i="15"/>
  <c r="AO126" i="15"/>
  <c r="AO122" i="15"/>
  <c r="AO118" i="15"/>
  <c r="AO113" i="15"/>
  <c r="AN126" i="15"/>
  <c r="AN122" i="15"/>
  <c r="S122" i="15" s="1"/>
  <c r="AN118" i="15"/>
  <c r="S118" i="15" s="1"/>
  <c r="AN113" i="15"/>
  <c r="AM126" i="15"/>
  <c r="R126" i="15" s="1"/>
  <c r="AM122" i="15"/>
  <c r="R122" i="15" s="1"/>
  <c r="AM118" i="15"/>
  <c r="R118" i="15" s="1"/>
  <c r="AM113" i="15"/>
  <c r="AP125" i="15"/>
  <c r="AP121" i="15"/>
  <c r="AP116" i="15"/>
  <c r="U116" i="15" s="1"/>
  <c r="AA18" i="9" s="1"/>
  <c r="AO125" i="15"/>
  <c r="AO121" i="15"/>
  <c r="AO116" i="15"/>
  <c r="T116" i="15" s="1"/>
  <c r="AN125" i="15"/>
  <c r="AN121" i="15"/>
  <c r="AN116" i="15"/>
  <c r="S116" i="15" s="1"/>
  <c r="AP119" i="15"/>
  <c r="AM125" i="15"/>
  <c r="R125" i="15" s="1"/>
  <c r="AM121" i="15"/>
  <c r="R121" i="15" s="1"/>
  <c r="AM116" i="15"/>
  <c r="R116" i="15" s="1"/>
  <c r="AP124" i="15"/>
  <c r="AP120" i="15"/>
  <c r="U120" i="15" s="1"/>
  <c r="AY18" i="9" s="1"/>
  <c r="AP115" i="15"/>
  <c r="U115" i="15" s="1"/>
  <c r="S18" i="9" s="1"/>
  <c r="S127" i="15"/>
  <c r="AO124" i="15"/>
  <c r="AO120" i="15"/>
  <c r="T120" i="15" s="1"/>
  <c r="AO115" i="15"/>
  <c r="T115" i="15" s="1"/>
  <c r="AP123" i="15"/>
  <c r="AN124" i="15"/>
  <c r="AN120" i="15"/>
  <c r="AN115" i="15"/>
  <c r="S115" i="15" s="1"/>
  <c r="AP127" i="15"/>
  <c r="AM124" i="15"/>
  <c r="AM120" i="15"/>
  <c r="R120" i="15" s="1"/>
  <c r="AM115" i="15"/>
  <c r="R115" i="15" s="1"/>
  <c r="AP114" i="15"/>
  <c r="N35" i="7" l="1"/>
  <c r="M35" i="7"/>
  <c r="T15" i="9"/>
  <c r="S15" i="9"/>
  <c r="AC12" i="9"/>
  <c r="AB12" i="9"/>
  <c r="AA12" i="9"/>
  <c r="U9" i="9"/>
  <c r="S9" i="9"/>
  <c r="V9" i="9"/>
  <c r="T9" i="9"/>
  <c r="U114" i="15"/>
  <c r="T114" i="15"/>
  <c r="S113" i="15"/>
  <c r="S114" i="15"/>
  <c r="S12" i="9"/>
  <c r="U12" i="9"/>
  <c r="T12" i="9"/>
  <c r="AB15" i="9"/>
  <c r="AA15" i="9"/>
  <c r="U113" i="15"/>
  <c r="AC9" i="9"/>
  <c r="AB9" i="9"/>
  <c r="AA9" i="9"/>
  <c r="AD9" i="9"/>
  <c r="AZ12" i="9"/>
  <c r="AY12" i="9"/>
  <c r="BA12" i="9"/>
  <c r="BQ12" i="9"/>
  <c r="BP12" i="9"/>
  <c r="BO12" i="9"/>
  <c r="DE12" i="9"/>
  <c r="DD12" i="9"/>
  <c r="DC12" i="9"/>
  <c r="CV9" i="9"/>
  <c r="CU9" i="9"/>
  <c r="CX9" i="9"/>
  <c r="CW9" i="9"/>
  <c r="BI9" i="9"/>
  <c r="BH9" i="9"/>
  <c r="BG9" i="9"/>
  <c r="BJ9" i="9"/>
  <c r="AY9" i="9"/>
  <c r="BB9" i="9"/>
  <c r="BA9" i="9"/>
  <c r="AZ9" i="9"/>
  <c r="BY9" i="9"/>
  <c r="BX9" i="9"/>
  <c r="BW9" i="9"/>
  <c r="BZ9" i="9"/>
  <c r="BX15" i="9"/>
  <c r="BW15" i="9"/>
  <c r="AZ15" i="9"/>
  <c r="AY15" i="9"/>
  <c r="CO9" i="9"/>
  <c r="CN9" i="9"/>
  <c r="CM9" i="9"/>
  <c r="CP9" i="9"/>
  <c r="BO9" i="9"/>
  <c r="BQ9" i="9"/>
  <c r="BP9" i="9"/>
  <c r="BR9" i="9"/>
  <c r="AS12" i="9"/>
  <c r="AR12" i="9"/>
  <c r="AQ12" i="9"/>
  <c r="AI9" i="9"/>
  <c r="AI12" i="9"/>
  <c r="AS9" i="9"/>
  <c r="AR9" i="9"/>
  <c r="AQ9" i="9"/>
  <c r="AT9" i="9"/>
  <c r="K9" i="9"/>
  <c r="S126" i="15"/>
  <c r="S121" i="15"/>
  <c r="U126" i="15"/>
  <c r="CU18" i="9" s="1"/>
  <c r="S123" i="15"/>
  <c r="T124" i="15"/>
  <c r="U123" i="15"/>
  <c r="BW18" i="9" s="1"/>
  <c r="T121" i="15"/>
  <c r="S124" i="15"/>
  <c r="S125" i="15"/>
  <c r="T125" i="15"/>
  <c r="T127" i="15"/>
  <c r="U125" i="15"/>
  <c r="CM18" i="9" s="1"/>
  <c r="U121" i="15"/>
  <c r="BG18" i="9" s="1"/>
  <c r="U127" i="15"/>
  <c r="DC18" i="9" s="1"/>
  <c r="T122" i="15"/>
  <c r="T126" i="15"/>
  <c r="R127" i="15"/>
  <c r="R124" i="15"/>
  <c r="U119" i="15"/>
  <c r="AQ18" i="9" s="1"/>
  <c r="T118" i="15"/>
  <c r="T119" i="15"/>
  <c r="C9" i="9"/>
  <c r="D66" i="24"/>
  <c r="E66" i="24" s="1"/>
  <c r="F66" i="24" s="1"/>
  <c r="G66" i="24" s="1"/>
  <c r="H66" i="24" s="1"/>
  <c r="G35" i="7" l="1"/>
  <c r="DE9" i="9"/>
  <c r="DF9" i="9"/>
  <c r="DD9" i="9"/>
  <c r="DC9" i="9"/>
  <c r="CW12" i="9"/>
  <c r="CU12" i="9"/>
  <c r="CV12" i="9"/>
  <c r="CG12" i="9"/>
  <c r="CF12" i="9"/>
  <c r="CE12" i="9"/>
  <c r="CU15" i="9"/>
  <c r="CV15" i="9"/>
  <c r="BO15" i="9"/>
  <c r="BP15" i="9"/>
  <c r="BH15" i="9"/>
  <c r="BG15" i="9"/>
  <c r="BY12" i="9"/>
  <c r="BX12" i="9"/>
  <c r="BW12" i="9"/>
  <c r="DC15" i="9"/>
  <c r="DD15" i="9"/>
  <c r="CO12" i="9"/>
  <c r="CN12" i="9"/>
  <c r="CM12" i="9"/>
  <c r="CE15" i="9"/>
  <c r="CF15" i="9"/>
  <c r="CF9" i="9"/>
  <c r="CE9" i="9"/>
  <c r="CG9" i="9"/>
  <c r="CH9" i="9"/>
  <c r="CM15" i="9"/>
  <c r="CN15" i="9"/>
  <c r="BG12" i="9"/>
  <c r="BH12" i="9"/>
  <c r="BI12" i="9"/>
  <c r="AQ15" i="9"/>
  <c r="AR15" i="9"/>
  <c r="AI15" i="9"/>
  <c r="D62" i="24"/>
  <c r="E62" i="24" s="1"/>
  <c r="F62" i="24" s="1"/>
  <c r="G62" i="24" s="1"/>
  <c r="H62" i="24" s="1"/>
  <c r="D59" i="24"/>
  <c r="S5" i="5"/>
  <c r="S6" i="5"/>
  <c r="S7" i="5"/>
  <c r="S8" i="5"/>
  <c r="S9" i="5"/>
  <c r="S10" i="5"/>
  <c r="C11" i="15"/>
  <c r="C18" i="15"/>
  <c r="I52" i="27"/>
  <c r="I51" i="27"/>
  <c r="I22" i="27"/>
  <c r="I21" i="27"/>
  <c r="K70" i="21"/>
  <c r="E70" i="21"/>
  <c r="C41" i="27" l="1"/>
  <c r="H5" i="21"/>
  <c r="DC85" i="9"/>
  <c r="CU85" i="9"/>
  <c r="DC70" i="9"/>
  <c r="CU70" i="9"/>
  <c r="DC55" i="9"/>
  <c r="CU55" i="9"/>
  <c r="DC40" i="9"/>
  <c r="CU40" i="9"/>
  <c r="CM40" i="9"/>
  <c r="CE40" i="9"/>
  <c r="BW40" i="9"/>
  <c r="BO40" i="9"/>
  <c r="CM55" i="9"/>
  <c r="CE55" i="9"/>
  <c r="BW55" i="9"/>
  <c r="BO55" i="9"/>
  <c r="CM70" i="9"/>
  <c r="CE70" i="9"/>
  <c r="BW70" i="9"/>
  <c r="BO70" i="9"/>
  <c r="CM85" i="9"/>
  <c r="CE85" i="9"/>
  <c r="BW85" i="9"/>
  <c r="BO85" i="9"/>
  <c r="BG85" i="9"/>
  <c r="AY85" i="9"/>
  <c r="AQ85" i="9"/>
  <c r="AI85" i="9"/>
  <c r="BG70" i="9"/>
  <c r="AY70" i="9"/>
  <c r="AQ70" i="9"/>
  <c r="AI70" i="9"/>
  <c r="BG55" i="9"/>
  <c r="AY55" i="9"/>
  <c r="AQ55" i="9"/>
  <c r="AI55" i="9"/>
  <c r="BG40" i="9"/>
  <c r="AY40" i="9"/>
  <c r="AQ40" i="9"/>
  <c r="AI40" i="9"/>
  <c r="AA85" i="9"/>
  <c r="S85" i="9"/>
  <c r="AA70" i="9"/>
  <c r="S70" i="9"/>
  <c r="AA55" i="9"/>
  <c r="S55" i="9"/>
  <c r="AA40" i="9"/>
  <c r="S40" i="9"/>
  <c r="K40" i="9"/>
  <c r="K55" i="9"/>
  <c r="K85" i="9"/>
  <c r="K70" i="9"/>
  <c r="C85" i="9"/>
  <c r="C70" i="9"/>
  <c r="C40" i="9"/>
  <c r="C55" i="9"/>
  <c r="C8" i="27"/>
  <c r="DB149" i="9" l="1"/>
  <c r="CT149" i="9"/>
  <c r="DB88" i="9"/>
  <c r="CT88" i="9"/>
  <c r="C58" i="7" l="1"/>
  <c r="C57" i="7"/>
  <c r="C56" i="7"/>
  <c r="I203" i="4"/>
  <c r="I204" i="4" s="1"/>
  <c r="I205" i="4" s="1"/>
  <c r="I206" i="4" s="1"/>
  <c r="I159" i="4"/>
  <c r="I158" i="4"/>
  <c r="I157" i="4"/>
  <c r="I156" i="4"/>
  <c r="I155" i="4"/>
  <c r="I154" i="4"/>
  <c r="I153" i="4"/>
  <c r="I152" i="4"/>
  <c r="I151" i="4"/>
  <c r="I150" i="4"/>
  <c r="G32" i="4" s="1"/>
  <c r="F56" i="7" s="1"/>
  <c r="C7" i="7"/>
  <c r="C8" i="7"/>
  <c r="C9" i="7"/>
  <c r="C10" i="7"/>
  <c r="C11" i="7"/>
  <c r="C12" i="7"/>
  <c r="C13" i="7"/>
  <c r="I207" i="4" l="1"/>
  <c r="I208" i="4" s="1"/>
  <c r="I209" i="4" s="1"/>
  <c r="I210" i="4" s="1"/>
  <c r="I211" i="4" s="1"/>
  <c r="I212" i="4" s="1"/>
  <c r="I213" i="4" s="1"/>
  <c r="I214" i="4" s="1"/>
  <c r="I215" i="4" s="1"/>
  <c r="B58" i="21"/>
  <c r="H58" i="21"/>
  <c r="B57" i="21"/>
  <c r="H57" i="21"/>
  <c r="B56" i="21"/>
  <c r="H56" i="21"/>
  <c r="B12" i="21"/>
  <c r="H12" i="21"/>
  <c r="B10" i="21"/>
  <c r="H10" i="21"/>
  <c r="B9" i="21"/>
  <c r="H9" i="21"/>
  <c r="B11" i="21"/>
  <c r="H11" i="21"/>
  <c r="B13" i="21"/>
  <c r="H13" i="21"/>
  <c r="B47" i="21"/>
  <c r="H47" i="21"/>
  <c r="B27" i="21"/>
  <c r="H27" i="21"/>
  <c r="B48" i="21"/>
  <c r="H48" i="21"/>
  <c r="B49" i="21"/>
  <c r="H49" i="21"/>
  <c r="B50" i="21"/>
  <c r="H50" i="21"/>
  <c r="B26" i="21"/>
  <c r="H26" i="21"/>
  <c r="B35" i="21"/>
  <c r="H35" i="21"/>
  <c r="B51" i="21"/>
  <c r="H51" i="21"/>
  <c r="B41" i="21"/>
  <c r="H41" i="21"/>
  <c r="B36" i="21"/>
  <c r="H36" i="21"/>
  <c r="B52" i="21"/>
  <c r="H52" i="21"/>
  <c r="B53" i="21"/>
  <c r="H53" i="21"/>
  <c r="B40" i="21"/>
  <c r="H40" i="21"/>
  <c r="B34" i="21"/>
  <c r="H34" i="21"/>
  <c r="B38" i="21"/>
  <c r="H38" i="21"/>
  <c r="B55" i="21"/>
  <c r="H55" i="21"/>
  <c r="B33" i="21"/>
  <c r="H33" i="21"/>
  <c r="B37" i="21"/>
  <c r="H37" i="21"/>
  <c r="B39" i="21"/>
  <c r="H39" i="21"/>
  <c r="B54" i="21"/>
  <c r="H54" i="21"/>
  <c r="B6" i="21"/>
  <c r="H6" i="21"/>
  <c r="B8" i="21"/>
  <c r="H8" i="21"/>
  <c r="B7" i="21"/>
  <c r="H7" i="21"/>
  <c r="B43" i="21"/>
  <c r="H43" i="21"/>
  <c r="B44" i="21"/>
  <c r="H44" i="21"/>
  <c r="B30" i="21"/>
  <c r="H30" i="21"/>
  <c r="B45" i="21"/>
  <c r="H45" i="21"/>
  <c r="B29" i="21"/>
  <c r="H29" i="21"/>
  <c r="B31" i="21"/>
  <c r="H31" i="21"/>
  <c r="B46" i="21"/>
  <c r="H46" i="21"/>
  <c r="B32" i="21"/>
  <c r="H32" i="21"/>
  <c r="B28" i="21"/>
  <c r="H28" i="21"/>
  <c r="B42" i="21"/>
  <c r="H42" i="21"/>
  <c r="DC72" i="9"/>
  <c r="CU72" i="9"/>
  <c r="DB71" i="9"/>
  <c r="DB133" i="9" s="1"/>
  <c r="DB194" i="9" s="1"/>
  <c r="CT71" i="9"/>
  <c r="CT133" i="9" s="1"/>
  <c r="CT194" i="9" s="1"/>
  <c r="DC57" i="9"/>
  <c r="CU57" i="9"/>
  <c r="DB56" i="9"/>
  <c r="DB119" i="9" s="1"/>
  <c r="DB180" i="9" s="1"/>
  <c r="CT56" i="9"/>
  <c r="CT119" i="9" s="1"/>
  <c r="CT180" i="9" s="1"/>
  <c r="DC42" i="9"/>
  <c r="CU42" i="9"/>
  <c r="DB41" i="9"/>
  <c r="DB105" i="9" s="1"/>
  <c r="DB166" i="9" s="1"/>
  <c r="CT41" i="9"/>
  <c r="CT105" i="9" s="1"/>
  <c r="CT166" i="9" s="1"/>
  <c r="DC27" i="9"/>
  <c r="CU27" i="9"/>
  <c r="DB26" i="9"/>
  <c r="DB91" i="9" s="1"/>
  <c r="DB152" i="9" s="1"/>
  <c r="CT26" i="9"/>
  <c r="CT91" i="9" s="1"/>
  <c r="CT152" i="9" s="1"/>
  <c r="CM72" i="9"/>
  <c r="CE72" i="9"/>
  <c r="BW72" i="9"/>
  <c r="BO72" i="9"/>
  <c r="CL71" i="9"/>
  <c r="CL133" i="9" s="1"/>
  <c r="CL194" i="9" s="1"/>
  <c r="CD71" i="9"/>
  <c r="CD133" i="9" s="1"/>
  <c r="CD194" i="9" s="1"/>
  <c r="BV71" i="9"/>
  <c r="BV133" i="9" s="1"/>
  <c r="BV194" i="9" s="1"/>
  <c r="BN71" i="9"/>
  <c r="BN133" i="9" s="1"/>
  <c r="BN194" i="9" s="1"/>
  <c r="CM57" i="9"/>
  <c r="CE57" i="9"/>
  <c r="BW57" i="9"/>
  <c r="BO57" i="9"/>
  <c r="CL56" i="9"/>
  <c r="CL119" i="9" s="1"/>
  <c r="CL180" i="9" s="1"/>
  <c r="CD56" i="9"/>
  <c r="CD119" i="9" s="1"/>
  <c r="CD180" i="9" s="1"/>
  <c r="BV56" i="9"/>
  <c r="BV119" i="9" s="1"/>
  <c r="BV180" i="9" s="1"/>
  <c r="BN56" i="9"/>
  <c r="BN119" i="9" s="1"/>
  <c r="BN180" i="9" s="1"/>
  <c r="CM42" i="9"/>
  <c r="CE42" i="9"/>
  <c r="BW42" i="9"/>
  <c r="BO42" i="9"/>
  <c r="CL41" i="9"/>
  <c r="CL105" i="9" s="1"/>
  <c r="CL166" i="9" s="1"/>
  <c r="CD41" i="9"/>
  <c r="CD105" i="9" s="1"/>
  <c r="CD166" i="9" s="1"/>
  <c r="BV41" i="9"/>
  <c r="BV105" i="9" s="1"/>
  <c r="BV166" i="9" s="1"/>
  <c r="BN41" i="9"/>
  <c r="BN105" i="9" s="1"/>
  <c r="BN166" i="9" s="1"/>
  <c r="CM27" i="9"/>
  <c r="CE27" i="9"/>
  <c r="BW27" i="9"/>
  <c r="BO27" i="9"/>
  <c r="CL26" i="9"/>
  <c r="CL91" i="9" s="1"/>
  <c r="CL152" i="9" s="1"/>
  <c r="CD26" i="9"/>
  <c r="CD91" i="9" s="1"/>
  <c r="CD152" i="9" s="1"/>
  <c r="BV26" i="9"/>
  <c r="BV91" i="9" s="1"/>
  <c r="BV152" i="9" s="1"/>
  <c r="BN26" i="9"/>
  <c r="BN91" i="9" s="1"/>
  <c r="BN152" i="9" s="1"/>
  <c r="BG72" i="9"/>
  <c r="BF71" i="9"/>
  <c r="BF133" i="9" s="1"/>
  <c r="BF194" i="9" s="1"/>
  <c r="BG57" i="9"/>
  <c r="BF56" i="9"/>
  <c r="BF119" i="9" s="1"/>
  <c r="BF180" i="9" s="1"/>
  <c r="BG42" i="9"/>
  <c r="BF41" i="9"/>
  <c r="BF105" i="9" s="1"/>
  <c r="BF166" i="9" s="1"/>
  <c r="BG27" i="9"/>
  <c r="BF26" i="9"/>
  <c r="BF91" i="9" s="1"/>
  <c r="BF152" i="9" s="1"/>
  <c r="AY72" i="9"/>
  <c r="AX71" i="9"/>
  <c r="AX133" i="9" s="1"/>
  <c r="AX194" i="9" s="1"/>
  <c r="AY57" i="9"/>
  <c r="AX56" i="9"/>
  <c r="AX119" i="9" s="1"/>
  <c r="AX180" i="9" s="1"/>
  <c r="AY42" i="9"/>
  <c r="AX41" i="9"/>
  <c r="AX105" i="9" s="1"/>
  <c r="AX166" i="9" s="1"/>
  <c r="AY27" i="9"/>
  <c r="AX26" i="9"/>
  <c r="AX91" i="9" s="1"/>
  <c r="AX152" i="9" s="1"/>
  <c r="CL149" i="9"/>
  <c r="CD149" i="9"/>
  <c r="BV149" i="9"/>
  <c r="BN149" i="9"/>
  <c r="BF149" i="9"/>
  <c r="AX149" i="9"/>
  <c r="AP149" i="9"/>
  <c r="AH149" i="9"/>
  <c r="Z149" i="9"/>
  <c r="R149" i="9"/>
  <c r="J149" i="9"/>
  <c r="B149" i="9"/>
  <c r="DB23" i="9"/>
  <c r="CT23" i="9"/>
  <c r="CL23" i="9"/>
  <c r="CD23" i="9"/>
  <c r="BV23" i="9"/>
  <c r="BN23" i="9"/>
  <c r="BF23" i="9"/>
  <c r="AX23" i="9"/>
  <c r="AP23" i="9"/>
  <c r="AH23" i="9"/>
  <c r="Z23" i="9"/>
  <c r="R23" i="9"/>
  <c r="J23" i="9"/>
  <c r="B23" i="9"/>
  <c r="CL88" i="9"/>
  <c r="CD88" i="9"/>
  <c r="BV88" i="9"/>
  <c r="BN88" i="9"/>
  <c r="BF88" i="9"/>
  <c r="AX88" i="9"/>
  <c r="AP88" i="9"/>
  <c r="AH88" i="9"/>
  <c r="Z88" i="9"/>
  <c r="R88" i="9"/>
  <c r="J88" i="9"/>
  <c r="B88" i="9"/>
  <c r="AQ72" i="9"/>
  <c r="AP71" i="9"/>
  <c r="AP133" i="9" s="1"/>
  <c r="AP194" i="9" s="1"/>
  <c r="AQ57" i="9"/>
  <c r="AP56" i="9"/>
  <c r="AP119" i="9" s="1"/>
  <c r="AP180" i="9" s="1"/>
  <c r="AQ42" i="9"/>
  <c r="AP41" i="9"/>
  <c r="AP105" i="9" s="1"/>
  <c r="AP166" i="9" s="1"/>
  <c r="AQ27" i="9"/>
  <c r="AP26" i="9"/>
  <c r="AP91" i="9" s="1"/>
  <c r="AP152" i="9" s="1"/>
  <c r="AI72" i="9"/>
  <c r="AH71" i="9"/>
  <c r="AH133" i="9" s="1"/>
  <c r="AH194" i="9" s="1"/>
  <c r="AI57" i="9"/>
  <c r="AH56" i="9"/>
  <c r="AH119" i="9" s="1"/>
  <c r="AH180" i="9" s="1"/>
  <c r="AI42" i="9"/>
  <c r="AH41" i="9"/>
  <c r="AH105" i="9" s="1"/>
  <c r="AH166" i="9" s="1"/>
  <c r="AI27" i="9"/>
  <c r="AH26" i="9"/>
  <c r="AH91" i="9" s="1"/>
  <c r="AH152" i="9" s="1"/>
  <c r="AA72" i="9"/>
  <c r="Z71" i="9"/>
  <c r="Z133" i="9" s="1"/>
  <c r="Z194" i="9" s="1"/>
  <c r="AA57" i="9"/>
  <c r="Z56" i="9"/>
  <c r="Z119" i="9" s="1"/>
  <c r="Z180" i="9" s="1"/>
  <c r="AA42" i="9"/>
  <c r="Z41" i="9"/>
  <c r="Z105" i="9" s="1"/>
  <c r="Z166" i="9" s="1"/>
  <c r="AA27" i="9"/>
  <c r="Z26" i="9"/>
  <c r="Z91" i="9" s="1"/>
  <c r="Z152" i="9" s="1"/>
  <c r="S72" i="9"/>
  <c r="R71" i="9"/>
  <c r="R133" i="9" s="1"/>
  <c r="R194" i="9" s="1"/>
  <c r="S57" i="9"/>
  <c r="R56" i="9"/>
  <c r="R119" i="9" s="1"/>
  <c r="R180" i="9" s="1"/>
  <c r="S42" i="9"/>
  <c r="R41" i="9"/>
  <c r="R105" i="9" s="1"/>
  <c r="R166" i="9" s="1"/>
  <c r="S27" i="9"/>
  <c r="R26" i="9"/>
  <c r="R91" i="9" s="1"/>
  <c r="R152" i="9" s="1"/>
  <c r="K72" i="9"/>
  <c r="J71" i="9"/>
  <c r="J133" i="9" s="1"/>
  <c r="J194" i="9" s="1"/>
  <c r="K57" i="9"/>
  <c r="J56" i="9"/>
  <c r="J119" i="9" s="1"/>
  <c r="J180" i="9" s="1"/>
  <c r="K42" i="9"/>
  <c r="J41" i="9"/>
  <c r="J105" i="9" s="1"/>
  <c r="J166" i="9" s="1"/>
  <c r="K27" i="9"/>
  <c r="J26" i="9"/>
  <c r="J91" i="9" s="1"/>
  <c r="J152" i="9" s="1"/>
  <c r="G35" i="4" l="1"/>
  <c r="G44" i="4"/>
  <c r="G41" i="4"/>
  <c r="G38" i="4"/>
  <c r="G34" i="4"/>
  <c r="G42" i="4"/>
  <c r="G40" i="4"/>
  <c r="G39" i="4"/>
  <c r="G43" i="4"/>
  <c r="G45" i="4"/>
  <c r="G36" i="4"/>
  <c r="G37" i="4"/>
  <c r="G33" i="4"/>
  <c r="B22" i="21"/>
  <c r="H22" i="21"/>
  <c r="B23" i="21"/>
  <c r="H23" i="21"/>
  <c r="B24" i="21"/>
  <c r="H24" i="21"/>
  <c r="B25" i="21"/>
  <c r="H25" i="21"/>
  <c r="B19" i="21"/>
  <c r="H19" i="21"/>
  <c r="B20" i="21"/>
  <c r="H20" i="21"/>
  <c r="B21" i="21"/>
  <c r="H21" i="21"/>
  <c r="B15" i="21"/>
  <c r="H15" i="21"/>
  <c r="B16" i="21"/>
  <c r="H16" i="21"/>
  <c r="B17" i="21"/>
  <c r="H17" i="21"/>
  <c r="B18" i="21"/>
  <c r="B14" i="21"/>
  <c r="H14" i="21"/>
  <c r="T42" i="9"/>
  <c r="S106" i="9"/>
  <c r="S167" i="9" s="1"/>
  <c r="AB42" i="9"/>
  <c r="AA106" i="9"/>
  <c r="AA167" i="9" s="1"/>
  <c r="AJ42" i="9"/>
  <c r="AI106" i="9"/>
  <c r="AI167" i="9" s="1"/>
  <c r="AR42" i="9"/>
  <c r="AQ106" i="9"/>
  <c r="AQ167" i="9" s="1"/>
  <c r="AZ57" i="9"/>
  <c r="AY120" i="9"/>
  <c r="AY181" i="9" s="1"/>
  <c r="BH57" i="9"/>
  <c r="BG120" i="9"/>
  <c r="BG181" i="9" s="1"/>
  <c r="BX27" i="9"/>
  <c r="BW92" i="9"/>
  <c r="BW153" i="9" s="1"/>
  <c r="BX42" i="9"/>
  <c r="BW106" i="9"/>
  <c r="BW167" i="9" s="1"/>
  <c r="BX57" i="9"/>
  <c r="BW120" i="9"/>
  <c r="BW181" i="9" s="1"/>
  <c r="BX72" i="9"/>
  <c r="BW134" i="9"/>
  <c r="BW195" i="9" s="1"/>
  <c r="CF42" i="9"/>
  <c r="CE106" i="9"/>
  <c r="CE167" i="9" s="1"/>
  <c r="CF72" i="9"/>
  <c r="CE134" i="9"/>
  <c r="CE195" i="9" s="1"/>
  <c r="T57" i="9"/>
  <c r="S120" i="9"/>
  <c r="S181" i="9" s="1"/>
  <c r="AR57" i="9"/>
  <c r="AQ120" i="9"/>
  <c r="AQ181" i="9" s="1"/>
  <c r="AZ72" i="9"/>
  <c r="AY134" i="9"/>
  <c r="AY195" i="9" s="1"/>
  <c r="BH72" i="9"/>
  <c r="BG134" i="9"/>
  <c r="BG195" i="9" s="1"/>
  <c r="CN27" i="9"/>
  <c r="CM92" i="9"/>
  <c r="CM153" i="9" s="1"/>
  <c r="CN42" i="9"/>
  <c r="CM106" i="9"/>
  <c r="CM167" i="9" s="1"/>
  <c r="CN57" i="9"/>
  <c r="CM120" i="9"/>
  <c r="CM181" i="9" s="1"/>
  <c r="CN72" i="9"/>
  <c r="CM134" i="9"/>
  <c r="CM195" i="9" s="1"/>
  <c r="DD42" i="9"/>
  <c r="DC106" i="9"/>
  <c r="DC167" i="9" s="1"/>
  <c r="DD72" i="9"/>
  <c r="DC134" i="9"/>
  <c r="DC195" i="9" s="1"/>
  <c r="CF27" i="9"/>
  <c r="CE92" i="9"/>
  <c r="CE153" i="9" s="1"/>
  <c r="AJ72" i="9"/>
  <c r="AI134" i="9"/>
  <c r="AI195" i="9" s="1"/>
  <c r="L42" i="9"/>
  <c r="K106" i="9"/>
  <c r="K167" i="9" s="1"/>
  <c r="CF57" i="9"/>
  <c r="CE120" i="9"/>
  <c r="CE181" i="9" s="1"/>
  <c r="L72" i="9"/>
  <c r="K134" i="9"/>
  <c r="K195" i="9" s="1"/>
  <c r="AR72" i="9"/>
  <c r="AQ134" i="9"/>
  <c r="AQ195" i="9" s="1"/>
  <c r="AZ27" i="9"/>
  <c r="AY92" i="9"/>
  <c r="AY153" i="9" s="1"/>
  <c r="BH27" i="9"/>
  <c r="BG92" i="9"/>
  <c r="BG153" i="9" s="1"/>
  <c r="CV27" i="9"/>
  <c r="CU92" i="9"/>
  <c r="CU153" i="9" s="1"/>
  <c r="CV57" i="9"/>
  <c r="CU120" i="9"/>
  <c r="CU181" i="9" s="1"/>
  <c r="CV42" i="9"/>
  <c r="CU106" i="9"/>
  <c r="CU167" i="9" s="1"/>
  <c r="AB57" i="9"/>
  <c r="AA120" i="9"/>
  <c r="AA181" i="9" s="1"/>
  <c r="AB72" i="9"/>
  <c r="AA134" i="9"/>
  <c r="AA195" i="9" s="1"/>
  <c r="T27" i="9"/>
  <c r="S92" i="9"/>
  <c r="S153" i="9" s="1"/>
  <c r="AJ27" i="9"/>
  <c r="AI92" i="9"/>
  <c r="AI153" i="9" s="1"/>
  <c r="AZ42" i="9"/>
  <c r="AY106" i="9"/>
  <c r="AY167" i="9" s="1"/>
  <c r="BH42" i="9"/>
  <c r="BG106" i="9"/>
  <c r="BG167" i="9" s="1"/>
  <c r="DD27" i="9"/>
  <c r="DC92" i="9"/>
  <c r="DC153" i="9" s="1"/>
  <c r="DD57" i="9"/>
  <c r="DC120" i="9"/>
  <c r="DC181" i="9" s="1"/>
  <c r="CV72" i="9"/>
  <c r="CU134" i="9"/>
  <c r="CU195" i="9" s="1"/>
  <c r="L57" i="9"/>
  <c r="K120" i="9"/>
  <c r="K181" i="9" s="1"/>
  <c r="AJ57" i="9"/>
  <c r="AI120" i="9"/>
  <c r="AI181" i="9" s="1"/>
  <c r="T72" i="9"/>
  <c r="S134" i="9"/>
  <c r="S195" i="9" s="1"/>
  <c r="L27" i="9"/>
  <c r="K92" i="9"/>
  <c r="K153" i="9" s="1"/>
  <c r="AB27" i="9"/>
  <c r="AA92" i="9"/>
  <c r="AA153" i="9" s="1"/>
  <c r="AR27" i="9"/>
  <c r="AQ92" i="9"/>
  <c r="AQ153" i="9" s="1"/>
  <c r="BP27" i="9"/>
  <c r="BO92" i="9"/>
  <c r="BO153" i="9" s="1"/>
  <c r="BP42" i="9"/>
  <c r="BO106" i="9"/>
  <c r="BO167" i="9" s="1"/>
  <c r="BP57" i="9"/>
  <c r="BO120" i="9"/>
  <c r="BO181" i="9" s="1"/>
  <c r="BP72" i="9"/>
  <c r="BO134" i="9"/>
  <c r="BO195" i="9" s="1"/>
  <c r="B71" i="9"/>
  <c r="B133" i="9" s="1"/>
  <c r="B194" i="9" s="1"/>
  <c r="B56" i="9"/>
  <c r="B119" i="9" s="1"/>
  <c r="B180" i="9" s="1"/>
  <c r="C72" i="9"/>
  <c r="C57" i="9"/>
  <c r="B41" i="9"/>
  <c r="B105" i="9" s="1"/>
  <c r="B166" i="9" s="1"/>
  <c r="C42" i="9"/>
  <c r="J65" i="20"/>
  <c r="B65" i="20"/>
  <c r="J46" i="20"/>
  <c r="B46" i="20"/>
  <c r="J27" i="20"/>
  <c r="B27" i="20"/>
  <c r="J8" i="20"/>
  <c r="K67" i="20"/>
  <c r="L67" i="20" s="1"/>
  <c r="M67" i="20" s="1"/>
  <c r="N67" i="20" s="1"/>
  <c r="O67" i="20" s="1"/>
  <c r="C67" i="20"/>
  <c r="D67" i="20" s="1"/>
  <c r="E67" i="20" s="1"/>
  <c r="F67" i="20" s="1"/>
  <c r="G67" i="20" s="1"/>
  <c r="K48" i="20"/>
  <c r="L48" i="20" s="1"/>
  <c r="M48" i="20" s="1"/>
  <c r="N48" i="20" s="1"/>
  <c r="O48" i="20" s="1"/>
  <c r="C48" i="20"/>
  <c r="D48" i="20" s="1"/>
  <c r="E48" i="20" s="1"/>
  <c r="F48" i="20" s="1"/>
  <c r="G48" i="20" s="1"/>
  <c r="K29" i="20"/>
  <c r="L29" i="20" s="1"/>
  <c r="M29" i="20" s="1"/>
  <c r="N29" i="20" s="1"/>
  <c r="O29" i="20" s="1"/>
  <c r="C29" i="20"/>
  <c r="D29" i="20" s="1"/>
  <c r="E29" i="20" s="1"/>
  <c r="F29" i="20" s="1"/>
  <c r="G29" i="20" s="1"/>
  <c r="K10" i="20"/>
  <c r="L10" i="20" s="1"/>
  <c r="M10" i="20" s="1"/>
  <c r="N10" i="20" s="1"/>
  <c r="O10" i="20" s="1"/>
  <c r="C10" i="20"/>
  <c r="D10" i="20" s="1"/>
  <c r="E10" i="20" s="1"/>
  <c r="F10" i="20" s="1"/>
  <c r="G10" i="20" s="1"/>
  <c r="C27" i="9"/>
  <c r="B26" i="9"/>
  <c r="B91" i="9" s="1"/>
  <c r="B152" i="9" s="1"/>
  <c r="N56" i="7" l="1"/>
  <c r="M56" i="7"/>
  <c r="G56" i="7" s="1"/>
  <c r="DE27" i="9"/>
  <c r="DD92" i="9"/>
  <c r="DD153" i="9" s="1"/>
  <c r="AK72" i="9"/>
  <c r="AJ134" i="9"/>
  <c r="AJ195" i="9" s="1"/>
  <c r="CG72" i="9"/>
  <c r="CF134" i="9"/>
  <c r="CF195" i="9" s="1"/>
  <c r="BQ72" i="9"/>
  <c r="BP134" i="9"/>
  <c r="BP195" i="9" s="1"/>
  <c r="U27" i="9"/>
  <c r="T92" i="9"/>
  <c r="T153" i="9" s="1"/>
  <c r="CO72" i="9"/>
  <c r="CN134" i="9"/>
  <c r="CN195" i="9" s="1"/>
  <c r="BY42" i="9"/>
  <c r="BX106" i="9"/>
  <c r="BX167" i="9" s="1"/>
  <c r="BQ57" i="9"/>
  <c r="BP120" i="9"/>
  <c r="BP181" i="9" s="1"/>
  <c r="AC27" i="9"/>
  <c r="AB92" i="9"/>
  <c r="AB153" i="9" s="1"/>
  <c r="M57" i="9"/>
  <c r="L120" i="9"/>
  <c r="L181" i="9" s="1"/>
  <c r="BI42" i="9"/>
  <c r="BH106" i="9"/>
  <c r="BH167" i="9" s="1"/>
  <c r="AC72" i="9"/>
  <c r="AB134" i="9"/>
  <c r="AB195" i="9" s="1"/>
  <c r="CW27" i="9"/>
  <c r="CV92" i="9"/>
  <c r="CV153" i="9" s="1"/>
  <c r="M72" i="9"/>
  <c r="L134" i="9"/>
  <c r="L195" i="9" s="1"/>
  <c r="CG27" i="9"/>
  <c r="CF92" i="9"/>
  <c r="CF153" i="9" s="1"/>
  <c r="CO57" i="9"/>
  <c r="CN120" i="9"/>
  <c r="CN181" i="9" s="1"/>
  <c r="BA72" i="9"/>
  <c r="AZ134" i="9"/>
  <c r="AZ195" i="9" s="1"/>
  <c r="CG42" i="9"/>
  <c r="CF106" i="9"/>
  <c r="CF167" i="9" s="1"/>
  <c r="BY27" i="9"/>
  <c r="BX92" i="9"/>
  <c r="BX153" i="9" s="1"/>
  <c r="AK42" i="9"/>
  <c r="AJ106" i="9"/>
  <c r="AJ167" i="9" s="1"/>
  <c r="AK57" i="9"/>
  <c r="AJ120" i="9"/>
  <c r="AJ181" i="9" s="1"/>
  <c r="AS72" i="9"/>
  <c r="AR134" i="9"/>
  <c r="AR195" i="9" s="1"/>
  <c r="AS42" i="9"/>
  <c r="AR106" i="9"/>
  <c r="AR167" i="9" s="1"/>
  <c r="BQ42" i="9"/>
  <c r="BP106" i="9"/>
  <c r="BP167" i="9" s="1"/>
  <c r="M27" i="9"/>
  <c r="L92" i="9"/>
  <c r="L153" i="9" s="1"/>
  <c r="CW72" i="9"/>
  <c r="CV134" i="9"/>
  <c r="CV195" i="9" s="1"/>
  <c r="BA42" i="9"/>
  <c r="AZ106" i="9"/>
  <c r="AZ167" i="9" s="1"/>
  <c r="AC57" i="9"/>
  <c r="AB120" i="9"/>
  <c r="AB181" i="9" s="1"/>
  <c r="BI27" i="9"/>
  <c r="BH92" i="9"/>
  <c r="BH153" i="9" s="1"/>
  <c r="CG57" i="9"/>
  <c r="CF120" i="9"/>
  <c r="CF181" i="9" s="1"/>
  <c r="DE72" i="9"/>
  <c r="DD134" i="9"/>
  <c r="DD195" i="9" s="1"/>
  <c r="CO42" i="9"/>
  <c r="CN106" i="9"/>
  <c r="CN167" i="9" s="1"/>
  <c r="AS57" i="9"/>
  <c r="AR120" i="9"/>
  <c r="AR181" i="9" s="1"/>
  <c r="BY72" i="9"/>
  <c r="BX134" i="9"/>
  <c r="BX195" i="9" s="1"/>
  <c r="BI57" i="9"/>
  <c r="BH120" i="9"/>
  <c r="BH181" i="9" s="1"/>
  <c r="AC42" i="9"/>
  <c r="AB106" i="9"/>
  <c r="AB167" i="9" s="1"/>
  <c r="AS27" i="9"/>
  <c r="AR92" i="9"/>
  <c r="AR153" i="9" s="1"/>
  <c r="CW57" i="9"/>
  <c r="CV120" i="9"/>
  <c r="CV181" i="9" s="1"/>
  <c r="BI72" i="9"/>
  <c r="BH134" i="9"/>
  <c r="BH195" i="9" s="1"/>
  <c r="BQ27" i="9"/>
  <c r="BP92" i="9"/>
  <c r="BP153" i="9" s="1"/>
  <c r="U72" i="9"/>
  <c r="T134" i="9"/>
  <c r="T195" i="9" s="1"/>
  <c r="DE57" i="9"/>
  <c r="DD120" i="9"/>
  <c r="DD181" i="9" s="1"/>
  <c r="AK27" i="9"/>
  <c r="AJ92" i="9"/>
  <c r="AJ153" i="9" s="1"/>
  <c r="CW42" i="9"/>
  <c r="CV106" i="9"/>
  <c r="CV167" i="9" s="1"/>
  <c r="BA27" i="9"/>
  <c r="AZ92" i="9"/>
  <c r="AZ153" i="9" s="1"/>
  <c r="M42" i="9"/>
  <c r="L106" i="9"/>
  <c r="L167" i="9" s="1"/>
  <c r="DE42" i="9"/>
  <c r="DD106" i="9"/>
  <c r="DD167" i="9" s="1"/>
  <c r="CO27" i="9"/>
  <c r="CN92" i="9"/>
  <c r="CN153" i="9" s="1"/>
  <c r="U57" i="9"/>
  <c r="T120" i="9"/>
  <c r="T181" i="9" s="1"/>
  <c r="BY57" i="9"/>
  <c r="BX120" i="9"/>
  <c r="BX181" i="9" s="1"/>
  <c r="BA57" i="9"/>
  <c r="AZ120" i="9"/>
  <c r="AZ181" i="9" s="1"/>
  <c r="U42" i="9"/>
  <c r="T106" i="9"/>
  <c r="T167" i="9" s="1"/>
  <c r="D72" i="9"/>
  <c r="C134" i="9"/>
  <c r="C195" i="9" s="1"/>
  <c r="D57" i="9"/>
  <c r="C120" i="9"/>
  <c r="C181" i="9" s="1"/>
  <c r="D27" i="9"/>
  <c r="C92" i="9"/>
  <c r="C153" i="9" s="1"/>
  <c r="D42" i="9"/>
  <c r="D106" i="9" s="1"/>
  <c r="D167" i="9" s="1"/>
  <c r="C106" i="9"/>
  <c r="C167" i="9" s="1"/>
  <c r="AX9" i="26"/>
  <c r="AW9" i="26"/>
  <c r="AV9" i="26"/>
  <c r="AU9" i="26"/>
  <c r="AU10" i="26" s="1"/>
  <c r="AT9" i="26"/>
  <c r="AS9" i="26"/>
  <c r="AR9" i="26"/>
  <c r="AR10" i="26" s="1"/>
  <c r="AQ9" i="26"/>
  <c r="AQ10" i="26" s="1"/>
  <c r="AP9" i="26"/>
  <c r="AO9" i="26"/>
  <c r="AN9" i="26"/>
  <c r="AN10" i="26" s="1"/>
  <c r="AM9" i="26"/>
  <c r="AM10" i="26" s="1"/>
  <c r="AL9" i="26"/>
  <c r="AL10" i="26" s="1"/>
  <c r="AK9" i="26"/>
  <c r="AK10" i="26" s="1"/>
  <c r="AI72" i="15" l="1"/>
  <c r="AH74" i="15"/>
  <c r="AG76" i="15"/>
  <c r="AF78" i="15"/>
  <c r="AF71" i="15"/>
  <c r="AF76" i="15"/>
  <c r="AH78" i="15"/>
  <c r="AF74" i="15"/>
  <c r="AI75" i="15"/>
  <c r="AF73" i="15"/>
  <c r="AI79" i="15"/>
  <c r="AI71" i="15"/>
  <c r="AH73" i="15"/>
  <c r="AG74" i="15"/>
  <c r="AF77" i="15"/>
  <c r="AI68" i="15"/>
  <c r="AG68" i="15"/>
  <c r="AI78" i="15"/>
  <c r="AH72" i="15"/>
  <c r="AG75" i="15"/>
  <c r="AG67" i="15"/>
  <c r="AH79" i="15"/>
  <c r="AF75" i="15"/>
  <c r="AG79" i="15"/>
  <c r="AI70" i="15"/>
  <c r="AI67" i="15"/>
  <c r="AG73" i="15"/>
  <c r="AI77" i="15"/>
  <c r="AH71" i="15"/>
  <c r="AI76" i="15"/>
  <c r="AH70" i="15"/>
  <c r="AH68" i="15"/>
  <c r="AI74" i="15"/>
  <c r="AH76" i="15"/>
  <c r="AG78" i="15"/>
  <c r="AG70" i="15"/>
  <c r="AF72" i="15"/>
  <c r="AH67" i="15"/>
  <c r="AF67" i="15"/>
  <c r="AI73" i="15"/>
  <c r="AH75" i="15"/>
  <c r="AF79" i="15"/>
  <c r="AF66" i="15"/>
  <c r="AN66" i="15" s="1"/>
  <c r="AH77" i="15"/>
  <c r="AG71" i="15"/>
  <c r="AF68" i="15"/>
  <c r="AG77" i="15"/>
  <c r="AF70" i="15"/>
  <c r="AG72" i="15"/>
  <c r="AO76" i="15"/>
  <c r="T76" i="15" s="1"/>
  <c r="AO72" i="15"/>
  <c r="AM71" i="15"/>
  <c r="AN78" i="15"/>
  <c r="AP77" i="15"/>
  <c r="AM77" i="15"/>
  <c r="R77" i="15" s="1"/>
  <c r="AN76" i="15"/>
  <c r="S76" i="15" s="1"/>
  <c r="AN72" i="15"/>
  <c r="S72" i="15" s="1"/>
  <c r="AO70" i="15"/>
  <c r="AM74" i="15"/>
  <c r="AN68" i="15"/>
  <c r="AM76" i="15"/>
  <c r="AM72" i="15"/>
  <c r="AN71" i="15"/>
  <c r="AO74" i="15"/>
  <c r="AM70" i="15"/>
  <c r="AN73" i="15"/>
  <c r="S73" i="15" s="1"/>
  <c r="AP79" i="15"/>
  <c r="AP75" i="15"/>
  <c r="AP71" i="15"/>
  <c r="AM75" i="15"/>
  <c r="R75" i="15" s="1"/>
  <c r="AN74" i="15"/>
  <c r="AP73" i="15"/>
  <c r="U73" i="15" s="1"/>
  <c r="BG19" i="9" s="1"/>
  <c r="AM73" i="15"/>
  <c r="AO79" i="15"/>
  <c r="AO75" i="15"/>
  <c r="AO71" i="15"/>
  <c r="AN75" i="15"/>
  <c r="AP74" i="15"/>
  <c r="AP68" i="15"/>
  <c r="AN77" i="15"/>
  <c r="S77" i="15" s="1"/>
  <c r="AN79" i="15"/>
  <c r="AM78" i="15"/>
  <c r="R78" i="15" s="1"/>
  <c r="AP72" i="15"/>
  <c r="AM79" i="15"/>
  <c r="R79" i="15" s="1"/>
  <c r="AM68" i="15"/>
  <c r="AP78" i="15"/>
  <c r="U78" i="15" s="1"/>
  <c r="CU19" i="9" s="1"/>
  <c r="AP70" i="15"/>
  <c r="AN70" i="15"/>
  <c r="AO77" i="15"/>
  <c r="T77" i="15" s="1"/>
  <c r="AO78" i="15"/>
  <c r="AO73" i="15"/>
  <c r="AP76" i="15"/>
  <c r="AO68" i="15"/>
  <c r="AP67" i="15"/>
  <c r="AO67" i="15"/>
  <c r="AN67" i="15"/>
  <c r="AM67" i="15"/>
  <c r="AM66" i="15"/>
  <c r="V42" i="9"/>
  <c r="U106" i="9"/>
  <c r="U167" i="9" s="1"/>
  <c r="CX42" i="9"/>
  <c r="CW106" i="9"/>
  <c r="CW167" i="9" s="1"/>
  <c r="AD42" i="9"/>
  <c r="AC106" i="9"/>
  <c r="AC167" i="9" s="1"/>
  <c r="BR42" i="9"/>
  <c r="BQ106" i="9"/>
  <c r="BQ167" i="9" s="1"/>
  <c r="AL42" i="9"/>
  <c r="AK106" i="9"/>
  <c r="AK167" i="9" s="1"/>
  <c r="AD72" i="9"/>
  <c r="AC134" i="9"/>
  <c r="AC195" i="9" s="1"/>
  <c r="BR72" i="9"/>
  <c r="BQ134" i="9"/>
  <c r="BQ195" i="9" s="1"/>
  <c r="BB57" i="9"/>
  <c r="BA120" i="9"/>
  <c r="BA181" i="9" s="1"/>
  <c r="DF42" i="9"/>
  <c r="DE106" i="9"/>
  <c r="DE167" i="9" s="1"/>
  <c r="AL27" i="9"/>
  <c r="AK92" i="9"/>
  <c r="AK153" i="9" s="1"/>
  <c r="BJ72" i="9"/>
  <c r="BI134" i="9"/>
  <c r="BI195" i="9" s="1"/>
  <c r="BJ57" i="9"/>
  <c r="BI120" i="9"/>
  <c r="BI181" i="9" s="1"/>
  <c r="DF72" i="9"/>
  <c r="DE134" i="9"/>
  <c r="DE195" i="9" s="1"/>
  <c r="BB42" i="9"/>
  <c r="BA106" i="9"/>
  <c r="BA167" i="9" s="1"/>
  <c r="AT42" i="9"/>
  <c r="AS106" i="9"/>
  <c r="AS167" i="9" s="1"/>
  <c r="BZ27" i="9"/>
  <c r="BY92" i="9"/>
  <c r="BY153" i="9" s="1"/>
  <c r="CH27" i="9"/>
  <c r="CG92" i="9"/>
  <c r="CG153" i="9" s="1"/>
  <c r="BJ42" i="9"/>
  <c r="BI106" i="9"/>
  <c r="BI167" i="9" s="1"/>
  <c r="BZ42" i="9"/>
  <c r="BY106" i="9"/>
  <c r="BY167" i="9" s="1"/>
  <c r="CH72" i="9"/>
  <c r="CG134" i="9"/>
  <c r="CG195" i="9" s="1"/>
  <c r="V57" i="9"/>
  <c r="U120" i="9"/>
  <c r="U181" i="9" s="1"/>
  <c r="BB27" i="9"/>
  <c r="BA92" i="9"/>
  <c r="BA153" i="9" s="1"/>
  <c r="V72" i="9"/>
  <c r="U134" i="9"/>
  <c r="U195" i="9" s="1"/>
  <c r="AT27" i="9"/>
  <c r="AS92" i="9"/>
  <c r="AS153" i="9" s="1"/>
  <c r="AT57" i="9"/>
  <c r="AS120" i="9"/>
  <c r="AS181" i="9" s="1"/>
  <c r="BJ27" i="9"/>
  <c r="BI92" i="9"/>
  <c r="BI153" i="9" s="1"/>
  <c r="N27" i="9"/>
  <c r="M92" i="9"/>
  <c r="M153" i="9" s="1"/>
  <c r="AL57" i="9"/>
  <c r="AK120" i="9"/>
  <c r="AK181" i="9" s="1"/>
  <c r="BB72" i="9"/>
  <c r="BA134" i="9"/>
  <c r="BA195" i="9" s="1"/>
  <c r="CX27" i="9"/>
  <c r="CW92" i="9"/>
  <c r="CW153" i="9" s="1"/>
  <c r="AD27" i="9"/>
  <c r="AC92" i="9"/>
  <c r="AC153" i="9" s="1"/>
  <c r="V27" i="9"/>
  <c r="U92" i="9"/>
  <c r="U153" i="9" s="1"/>
  <c r="DF27" i="9"/>
  <c r="DE92" i="9"/>
  <c r="DE153" i="9" s="1"/>
  <c r="CP27" i="9"/>
  <c r="CO92" i="9"/>
  <c r="CO153" i="9" s="1"/>
  <c r="BR27" i="9"/>
  <c r="BQ92" i="9"/>
  <c r="BQ153" i="9" s="1"/>
  <c r="CP42" i="9"/>
  <c r="CO106" i="9"/>
  <c r="CO167" i="9" s="1"/>
  <c r="AD57" i="9"/>
  <c r="AC120" i="9"/>
  <c r="AC181" i="9" s="1"/>
  <c r="CP57" i="9"/>
  <c r="CO120" i="9"/>
  <c r="CO181" i="9" s="1"/>
  <c r="BR57" i="9"/>
  <c r="BQ120" i="9"/>
  <c r="BQ181" i="9" s="1"/>
  <c r="BZ57" i="9"/>
  <c r="BY120" i="9"/>
  <c r="BY181" i="9" s="1"/>
  <c r="N42" i="9"/>
  <c r="M106" i="9"/>
  <c r="M167" i="9" s="1"/>
  <c r="DF57" i="9"/>
  <c r="DE120" i="9"/>
  <c r="DE181" i="9" s="1"/>
  <c r="CX57" i="9"/>
  <c r="CW120" i="9"/>
  <c r="CW181" i="9" s="1"/>
  <c r="BZ72" i="9"/>
  <c r="BY134" i="9"/>
  <c r="BY195" i="9" s="1"/>
  <c r="CH57" i="9"/>
  <c r="CG120" i="9"/>
  <c r="CG181" i="9" s="1"/>
  <c r="CX72" i="9"/>
  <c r="CW134" i="9"/>
  <c r="CW195" i="9" s="1"/>
  <c r="AT72" i="9"/>
  <c r="AS134" i="9"/>
  <c r="AS195" i="9" s="1"/>
  <c r="CH42" i="9"/>
  <c r="CG106" i="9"/>
  <c r="CG167" i="9" s="1"/>
  <c r="N72" i="9"/>
  <c r="M134" i="9"/>
  <c r="M195" i="9" s="1"/>
  <c r="N57" i="9"/>
  <c r="M120" i="9"/>
  <c r="M181" i="9" s="1"/>
  <c r="CP72" i="9"/>
  <c r="CO134" i="9"/>
  <c r="CO195" i="9" s="1"/>
  <c r="AL72" i="9"/>
  <c r="AK134" i="9"/>
  <c r="AK195" i="9" s="1"/>
  <c r="E72" i="9"/>
  <c r="D134" i="9"/>
  <c r="D195" i="9" s="1"/>
  <c r="E57" i="9"/>
  <c r="D120" i="9"/>
  <c r="D181" i="9" s="1"/>
  <c r="E42" i="9"/>
  <c r="E106" i="9" s="1"/>
  <c r="E167" i="9" s="1"/>
  <c r="E27" i="9"/>
  <c r="D92" i="9"/>
  <c r="D153" i="9" s="1"/>
  <c r="AT10" i="26"/>
  <c r="AS10" i="26"/>
  <c r="AO10" i="26"/>
  <c r="AP10" i="26"/>
  <c r="AX10" i="26"/>
  <c r="AV10" i="26"/>
  <c r="AW10" i="26"/>
  <c r="CM13" i="9" l="1"/>
  <c r="CO13" i="9"/>
  <c r="CN13" i="9"/>
  <c r="CN10" i="9"/>
  <c r="CP10" i="9"/>
  <c r="CO10" i="9"/>
  <c r="CM10" i="9"/>
  <c r="BW10" i="9"/>
  <c r="BY10" i="9"/>
  <c r="BX10" i="9"/>
  <c r="BZ10" i="9"/>
  <c r="DC10" i="9"/>
  <c r="DE10" i="9"/>
  <c r="DF10" i="9"/>
  <c r="DD10" i="9"/>
  <c r="CX10" i="9"/>
  <c r="CV10" i="9"/>
  <c r="CW10" i="9"/>
  <c r="CU10" i="9"/>
  <c r="CE16" i="9"/>
  <c r="CF16" i="9"/>
  <c r="CG13" i="9"/>
  <c r="CF13" i="9"/>
  <c r="CE13" i="9"/>
  <c r="CN16" i="9"/>
  <c r="CM16" i="9"/>
  <c r="BG13" i="9"/>
  <c r="BI13" i="9"/>
  <c r="BH13" i="9"/>
  <c r="AZ13" i="9"/>
  <c r="AY13" i="9"/>
  <c r="BA13" i="9"/>
  <c r="S74" i="15"/>
  <c r="U76" i="15"/>
  <c r="CE19" i="9" s="1"/>
  <c r="V68" i="15"/>
  <c r="T78" i="15"/>
  <c r="T79" i="15"/>
  <c r="R72" i="15"/>
  <c r="T71" i="15"/>
  <c r="U75" i="15"/>
  <c r="BW19" i="9" s="1"/>
  <c r="U72" i="15"/>
  <c r="AY19" i="9" s="1"/>
  <c r="AG66" i="15"/>
  <c r="S71" i="15"/>
  <c r="R71" i="15"/>
  <c r="R73" i="15"/>
  <c r="T74" i="15"/>
  <c r="S75" i="15"/>
  <c r="U71" i="15"/>
  <c r="AQ19" i="9" s="1"/>
  <c r="R76" i="15"/>
  <c r="S78" i="15"/>
  <c r="U74" i="15"/>
  <c r="BO19" i="9" s="1"/>
  <c r="U77" i="15"/>
  <c r="T73" i="15"/>
  <c r="T75" i="15"/>
  <c r="U79" i="15"/>
  <c r="DC19" i="9" s="1"/>
  <c r="R74" i="15"/>
  <c r="T72" i="15"/>
  <c r="S79" i="15"/>
  <c r="CI42" i="9"/>
  <c r="CI106" i="9" s="1"/>
  <c r="CI167" i="9" s="1"/>
  <c r="CH106" i="9"/>
  <c r="CH167" i="9" s="1"/>
  <c r="CQ42" i="9"/>
  <c r="CQ106" i="9" s="1"/>
  <c r="CQ167" i="9" s="1"/>
  <c r="CP106" i="9"/>
  <c r="CP167" i="9" s="1"/>
  <c r="AU27" i="9"/>
  <c r="AU92" i="9" s="1"/>
  <c r="AU153" i="9" s="1"/>
  <c r="AT92" i="9"/>
  <c r="AT153" i="9" s="1"/>
  <c r="CA27" i="9"/>
  <c r="CA92" i="9" s="1"/>
  <c r="CA153" i="9" s="1"/>
  <c r="BZ92" i="9"/>
  <c r="BZ153" i="9" s="1"/>
  <c r="BS42" i="9"/>
  <c r="BS106" i="9" s="1"/>
  <c r="BS167" i="9" s="1"/>
  <c r="BR106" i="9"/>
  <c r="BR167" i="9" s="1"/>
  <c r="CA72" i="9"/>
  <c r="CA134" i="9" s="1"/>
  <c r="CA195" i="9" s="1"/>
  <c r="BZ134" i="9"/>
  <c r="BZ195" i="9" s="1"/>
  <c r="AM57" i="9"/>
  <c r="AM120" i="9" s="1"/>
  <c r="AM181" i="9" s="1"/>
  <c r="AL120" i="9"/>
  <c r="AL181" i="9" s="1"/>
  <c r="CI72" i="9"/>
  <c r="CI134" i="9" s="1"/>
  <c r="CI195" i="9" s="1"/>
  <c r="CH134" i="9"/>
  <c r="CH195" i="9" s="1"/>
  <c r="BC57" i="9"/>
  <c r="BC120" i="9" s="1"/>
  <c r="BC181" i="9" s="1"/>
  <c r="BB120" i="9"/>
  <c r="BB181" i="9" s="1"/>
  <c r="CQ72" i="9"/>
  <c r="CQ134" i="9" s="1"/>
  <c r="CQ195" i="9" s="1"/>
  <c r="CP134" i="9"/>
  <c r="CP195" i="9" s="1"/>
  <c r="AU72" i="9"/>
  <c r="AU134" i="9" s="1"/>
  <c r="AU195" i="9" s="1"/>
  <c r="AT134" i="9"/>
  <c r="AT195" i="9" s="1"/>
  <c r="CY57" i="9"/>
  <c r="CY120" i="9" s="1"/>
  <c r="CY181" i="9" s="1"/>
  <c r="CX120" i="9"/>
  <c r="CX181" i="9" s="1"/>
  <c r="BS57" i="9"/>
  <c r="BS120" i="9" s="1"/>
  <c r="BS181" i="9" s="1"/>
  <c r="BR120" i="9"/>
  <c r="BR181" i="9" s="1"/>
  <c r="BS27" i="9"/>
  <c r="BS92" i="9" s="1"/>
  <c r="BS153" i="9" s="1"/>
  <c r="BR92" i="9"/>
  <c r="BR153" i="9" s="1"/>
  <c r="AE27" i="9"/>
  <c r="AE92" i="9" s="1"/>
  <c r="AE153" i="9" s="1"/>
  <c r="AD92" i="9"/>
  <c r="AD153" i="9" s="1"/>
  <c r="O27" i="9"/>
  <c r="O92" i="9" s="1"/>
  <c r="O153" i="9" s="1"/>
  <c r="N92" i="9"/>
  <c r="N153" i="9" s="1"/>
  <c r="W72" i="9"/>
  <c r="W134" i="9" s="1"/>
  <c r="W195" i="9" s="1"/>
  <c r="V134" i="9"/>
  <c r="V195" i="9" s="1"/>
  <c r="CA42" i="9"/>
  <c r="CA106" i="9" s="1"/>
  <c r="CA167" i="9" s="1"/>
  <c r="BZ106" i="9"/>
  <c r="BZ167" i="9" s="1"/>
  <c r="AU42" i="9"/>
  <c r="AU106" i="9" s="1"/>
  <c r="AU167" i="9" s="1"/>
  <c r="AT106" i="9"/>
  <c r="AT167" i="9" s="1"/>
  <c r="BK72" i="9"/>
  <c r="BK134" i="9" s="1"/>
  <c r="BK195" i="9" s="1"/>
  <c r="BJ134" i="9"/>
  <c r="BJ195" i="9" s="1"/>
  <c r="BS72" i="9"/>
  <c r="BS134" i="9" s="1"/>
  <c r="BS195" i="9" s="1"/>
  <c r="BR134" i="9"/>
  <c r="BR195" i="9" s="1"/>
  <c r="AE42" i="9"/>
  <c r="AE106" i="9" s="1"/>
  <c r="AE167" i="9" s="1"/>
  <c r="AD106" i="9"/>
  <c r="AD167" i="9" s="1"/>
  <c r="CY27" i="9"/>
  <c r="CY92" i="9" s="1"/>
  <c r="CY153" i="9" s="1"/>
  <c r="CX92" i="9"/>
  <c r="CX153" i="9" s="1"/>
  <c r="BK27" i="9"/>
  <c r="BK92" i="9" s="1"/>
  <c r="BK153" i="9" s="1"/>
  <c r="BJ92" i="9"/>
  <c r="BJ153" i="9" s="1"/>
  <c r="BC27" i="9"/>
  <c r="BC92" i="9" s="1"/>
  <c r="BC153" i="9" s="1"/>
  <c r="BB92" i="9"/>
  <c r="BB153" i="9" s="1"/>
  <c r="BK42" i="9"/>
  <c r="BK106" i="9" s="1"/>
  <c r="BK167" i="9" s="1"/>
  <c r="BJ106" i="9"/>
  <c r="BJ167" i="9" s="1"/>
  <c r="BC42" i="9"/>
  <c r="BC106" i="9" s="1"/>
  <c r="BC167" i="9" s="1"/>
  <c r="BB106" i="9"/>
  <c r="BB167" i="9" s="1"/>
  <c r="AM27" i="9"/>
  <c r="AM92" i="9" s="1"/>
  <c r="AM153" i="9" s="1"/>
  <c r="AL92" i="9"/>
  <c r="AL153" i="9" s="1"/>
  <c r="AE72" i="9"/>
  <c r="AE134" i="9" s="1"/>
  <c r="AE195" i="9" s="1"/>
  <c r="AD134" i="9"/>
  <c r="AD195" i="9" s="1"/>
  <c r="CY42" i="9"/>
  <c r="CY106" i="9" s="1"/>
  <c r="CY167" i="9" s="1"/>
  <c r="CX106" i="9"/>
  <c r="CX167" i="9" s="1"/>
  <c r="AM72" i="9"/>
  <c r="AM134" i="9" s="1"/>
  <c r="AM195" i="9" s="1"/>
  <c r="AL134" i="9"/>
  <c r="AL195" i="9" s="1"/>
  <c r="CA57" i="9"/>
  <c r="CA120" i="9" s="1"/>
  <c r="CA181" i="9" s="1"/>
  <c r="BZ120" i="9"/>
  <c r="BZ181" i="9" s="1"/>
  <c r="W27" i="9"/>
  <c r="W92" i="9" s="1"/>
  <c r="W153" i="9" s="1"/>
  <c r="V92" i="9"/>
  <c r="V153" i="9" s="1"/>
  <c r="BK57" i="9"/>
  <c r="BK120" i="9" s="1"/>
  <c r="BK181" i="9" s="1"/>
  <c r="BJ120" i="9"/>
  <c r="BJ181" i="9" s="1"/>
  <c r="O57" i="9"/>
  <c r="O120" i="9" s="1"/>
  <c r="O181" i="9" s="1"/>
  <c r="N120" i="9"/>
  <c r="N181" i="9" s="1"/>
  <c r="CY72" i="9"/>
  <c r="CY134" i="9" s="1"/>
  <c r="CY195" i="9" s="1"/>
  <c r="CX134" i="9"/>
  <c r="CX195" i="9" s="1"/>
  <c r="DG57" i="9"/>
  <c r="DG120" i="9" s="1"/>
  <c r="DG181" i="9" s="1"/>
  <c r="DF120" i="9"/>
  <c r="DF181" i="9" s="1"/>
  <c r="CQ57" i="9"/>
  <c r="CQ120" i="9" s="1"/>
  <c r="CQ181" i="9" s="1"/>
  <c r="CP120" i="9"/>
  <c r="CP181" i="9" s="1"/>
  <c r="CQ27" i="9"/>
  <c r="CQ92" i="9" s="1"/>
  <c r="CQ153" i="9" s="1"/>
  <c r="CP92" i="9"/>
  <c r="CP153" i="9" s="1"/>
  <c r="O72" i="9"/>
  <c r="O134" i="9" s="1"/>
  <c r="O195" i="9" s="1"/>
  <c r="N134" i="9"/>
  <c r="N195" i="9" s="1"/>
  <c r="CI57" i="9"/>
  <c r="CI120" i="9" s="1"/>
  <c r="CI181" i="9" s="1"/>
  <c r="CH120" i="9"/>
  <c r="CH181" i="9" s="1"/>
  <c r="O42" i="9"/>
  <c r="O106" i="9" s="1"/>
  <c r="O167" i="9" s="1"/>
  <c r="N106" i="9"/>
  <c r="N167" i="9" s="1"/>
  <c r="AE57" i="9"/>
  <c r="AE120" i="9" s="1"/>
  <c r="AE181" i="9" s="1"/>
  <c r="AD120" i="9"/>
  <c r="AD181" i="9" s="1"/>
  <c r="DG27" i="9"/>
  <c r="DG92" i="9" s="1"/>
  <c r="DG153" i="9" s="1"/>
  <c r="DF92" i="9"/>
  <c r="DF153" i="9" s="1"/>
  <c r="BC72" i="9"/>
  <c r="BC134" i="9" s="1"/>
  <c r="BC195" i="9" s="1"/>
  <c r="BB134" i="9"/>
  <c r="BB195" i="9" s="1"/>
  <c r="AU57" i="9"/>
  <c r="AU120" i="9" s="1"/>
  <c r="AU181" i="9" s="1"/>
  <c r="AT120" i="9"/>
  <c r="AT181" i="9" s="1"/>
  <c r="W57" i="9"/>
  <c r="W120" i="9" s="1"/>
  <c r="W181" i="9" s="1"/>
  <c r="V120" i="9"/>
  <c r="V181" i="9" s="1"/>
  <c r="CI27" i="9"/>
  <c r="CI92" i="9" s="1"/>
  <c r="CI153" i="9" s="1"/>
  <c r="CH92" i="9"/>
  <c r="CH153" i="9" s="1"/>
  <c r="DG72" i="9"/>
  <c r="DG134" i="9" s="1"/>
  <c r="DG195" i="9" s="1"/>
  <c r="DF134" i="9"/>
  <c r="DF195" i="9" s="1"/>
  <c r="DG42" i="9"/>
  <c r="DG106" i="9" s="1"/>
  <c r="DG167" i="9" s="1"/>
  <c r="DF106" i="9"/>
  <c r="DF167" i="9" s="1"/>
  <c r="AM42" i="9"/>
  <c r="AM106" i="9" s="1"/>
  <c r="AM167" i="9" s="1"/>
  <c r="AL106" i="9"/>
  <c r="AL167" i="9" s="1"/>
  <c r="W42" i="9"/>
  <c r="W106" i="9" s="1"/>
  <c r="W167" i="9" s="1"/>
  <c r="V106" i="9"/>
  <c r="V167" i="9" s="1"/>
  <c r="F72" i="9"/>
  <c r="E134" i="9"/>
  <c r="E195" i="9" s="1"/>
  <c r="F42" i="9"/>
  <c r="F106" i="9" s="1"/>
  <c r="F167" i="9" s="1"/>
  <c r="F57" i="9"/>
  <c r="E120" i="9"/>
  <c r="E181" i="9" s="1"/>
  <c r="F27" i="9"/>
  <c r="E92" i="9"/>
  <c r="E153" i="9" s="1"/>
  <c r="H203" i="4"/>
  <c r="H204" i="4" s="1"/>
  <c r="H205" i="4" s="1"/>
  <c r="H206" i="4" s="1"/>
  <c r="H207" i="4" s="1"/>
  <c r="H208" i="4" s="1"/>
  <c r="H209" i="4" s="1"/>
  <c r="H210" i="4" s="1"/>
  <c r="H211" i="4" s="1"/>
  <c r="H212" i="4" s="1"/>
  <c r="H213" i="4" s="1"/>
  <c r="H214" i="4" s="1"/>
  <c r="H215" i="4" s="1"/>
  <c r="G203" i="4"/>
  <c r="G204" i="4" s="1"/>
  <c r="G205" i="4" s="1"/>
  <c r="G206" i="4" s="1"/>
  <c r="G207" i="4" s="1"/>
  <c r="G208" i="4" s="1"/>
  <c r="G209" i="4" s="1"/>
  <c r="G210" i="4" s="1"/>
  <c r="G211" i="4" s="1"/>
  <c r="G212" i="4" s="1"/>
  <c r="G213" i="4" s="1"/>
  <c r="G214" i="4" s="1"/>
  <c r="G215" i="4" s="1"/>
  <c r="I189" i="4"/>
  <c r="I188" i="4"/>
  <c r="I187" i="4"/>
  <c r="I186" i="4"/>
  <c r="I185" i="4"/>
  <c r="I184" i="4"/>
  <c r="I183" i="4"/>
  <c r="I182" i="4"/>
  <c r="I181" i="4"/>
  <c r="I180" i="4"/>
  <c r="BG16" i="9" l="1"/>
  <c r="BH16" i="9"/>
  <c r="DD16" i="9"/>
  <c r="DC16" i="9"/>
  <c r="V77" i="15"/>
  <c r="CM19" i="9"/>
  <c r="CV16" i="9"/>
  <c r="CU16" i="9"/>
  <c r="V79" i="15"/>
  <c r="DE13" i="9"/>
  <c r="DD13" i="9"/>
  <c r="DC13" i="9"/>
  <c r="V78" i="15"/>
  <c r="CW13" i="9"/>
  <c r="CV13" i="9"/>
  <c r="CU13" i="9"/>
  <c r="BR10" i="9"/>
  <c r="BQ10" i="9"/>
  <c r="BP10" i="9"/>
  <c r="BO10" i="9"/>
  <c r="V75" i="15"/>
  <c r="BY13" i="9"/>
  <c r="BX13" i="9"/>
  <c r="BW13" i="9"/>
  <c r="BX16" i="9"/>
  <c r="BW16" i="9"/>
  <c r="BP16" i="9"/>
  <c r="BO16" i="9"/>
  <c r="CG10" i="9"/>
  <c r="CF10" i="9"/>
  <c r="CE10" i="9"/>
  <c r="CH10" i="9"/>
  <c r="BQ13" i="9"/>
  <c r="BP13" i="9"/>
  <c r="BO13" i="9"/>
  <c r="AZ16" i="9"/>
  <c r="AY16" i="9"/>
  <c r="AR16" i="9"/>
  <c r="AQ16" i="9"/>
  <c r="AY10" i="9"/>
  <c r="BB10" i="9"/>
  <c r="BA10" i="9"/>
  <c r="AZ10" i="9"/>
  <c r="V73" i="15"/>
  <c r="BJ10" i="9"/>
  <c r="BI10" i="9"/>
  <c r="BH10" i="9"/>
  <c r="BG10" i="9"/>
  <c r="V71" i="15"/>
  <c r="AT10" i="9"/>
  <c r="AS10" i="9"/>
  <c r="AR10" i="9"/>
  <c r="AQ10" i="9"/>
  <c r="AS13" i="9"/>
  <c r="AR13" i="9"/>
  <c r="AQ13" i="9"/>
  <c r="V74" i="15"/>
  <c r="V72" i="15"/>
  <c r="V76" i="15"/>
  <c r="V67" i="15"/>
  <c r="AO66" i="15"/>
  <c r="AH66" i="15"/>
  <c r="I32" i="4"/>
  <c r="F58" i="7" s="1"/>
  <c r="G42" i="9"/>
  <c r="G106" i="9" s="1"/>
  <c r="G167" i="9" s="1"/>
  <c r="G72" i="9"/>
  <c r="G134" i="9" s="1"/>
  <c r="G195" i="9" s="1"/>
  <c r="F134" i="9"/>
  <c r="F195" i="9" s="1"/>
  <c r="G57" i="9"/>
  <c r="G120" i="9" s="1"/>
  <c r="G181" i="9" s="1"/>
  <c r="F120" i="9"/>
  <c r="F181" i="9" s="1"/>
  <c r="G27" i="9"/>
  <c r="G92" i="9" s="1"/>
  <c r="G153" i="9" s="1"/>
  <c r="F92" i="9"/>
  <c r="F153" i="9" s="1"/>
  <c r="AP66" i="15" l="1"/>
  <c r="I38" i="4"/>
  <c r="I41" i="4"/>
  <c r="I39" i="4"/>
  <c r="I40" i="4"/>
  <c r="I42" i="4"/>
  <c r="I34" i="4"/>
  <c r="I45" i="4"/>
  <c r="I35" i="4"/>
  <c r="I44" i="4"/>
  <c r="I43" i="4"/>
  <c r="I37" i="4"/>
  <c r="I36" i="4"/>
  <c r="I33" i="4"/>
  <c r="I174" i="4"/>
  <c r="I173" i="4"/>
  <c r="I172" i="4"/>
  <c r="I171" i="4"/>
  <c r="I170" i="4"/>
  <c r="I169" i="4"/>
  <c r="I168" i="4"/>
  <c r="I167" i="4"/>
  <c r="I166" i="4"/>
  <c r="I165" i="4"/>
  <c r="I121" i="4"/>
  <c r="I120" i="4"/>
  <c r="I119" i="4"/>
  <c r="I118" i="4"/>
  <c r="I140" i="4"/>
  <c r="I139" i="4"/>
  <c r="I105" i="4"/>
  <c r="I104" i="4"/>
  <c r="I103" i="4"/>
  <c r="I102" i="4"/>
  <c r="I101" i="4"/>
  <c r="I100" i="4"/>
  <c r="I99" i="4"/>
  <c r="I57" i="4"/>
  <c r="I56" i="4"/>
  <c r="D36" i="4" s="1"/>
  <c r="F18" i="7" s="1"/>
  <c r="I58" i="4"/>
  <c r="I59" i="4"/>
  <c r="I60" i="4"/>
  <c r="I61" i="4"/>
  <c r="I62" i="4"/>
  <c r="I63" i="4"/>
  <c r="I64" i="4"/>
  <c r="I65" i="4"/>
  <c r="I66" i="4"/>
  <c r="I67" i="4"/>
  <c r="I68" i="4"/>
  <c r="I55" i="4"/>
  <c r="S18" i="5"/>
  <c r="S17" i="5"/>
  <c r="S16" i="5"/>
  <c r="S15" i="5"/>
  <c r="S14" i="5"/>
  <c r="S13" i="5"/>
  <c r="S12" i="5"/>
  <c r="S11" i="5"/>
  <c r="V18" i="7" l="1"/>
  <c r="W18" i="7"/>
  <c r="E18" i="7"/>
  <c r="D33" i="4"/>
  <c r="F15" i="7" s="1"/>
  <c r="D32" i="4"/>
  <c r="F14" i="7" s="1"/>
  <c r="H32" i="4"/>
  <c r="F57" i="7" s="1"/>
  <c r="I18" i="7" l="1"/>
  <c r="V14" i="7"/>
  <c r="W14" i="7"/>
  <c r="V15" i="7"/>
  <c r="W15" i="7"/>
  <c r="N58" i="7"/>
  <c r="M58" i="7"/>
  <c r="G58" i="7" s="1"/>
  <c r="N57" i="7"/>
  <c r="M57" i="7"/>
  <c r="G57" i="7" s="1"/>
  <c r="E14" i="7"/>
  <c r="H34" i="4"/>
  <c r="H44" i="4"/>
  <c r="H43" i="4"/>
  <c r="H45" i="4"/>
  <c r="H38" i="4"/>
  <c r="H35" i="4"/>
  <c r="H39" i="4"/>
  <c r="H41" i="4"/>
  <c r="H40" i="4"/>
  <c r="H42" i="4"/>
  <c r="H37" i="4"/>
  <c r="H36" i="4"/>
  <c r="H33" i="4"/>
  <c r="E45" i="24"/>
  <c r="E53" i="24" s="1"/>
  <c r="I14" i="7" l="1"/>
  <c r="I15" i="7"/>
  <c r="N18" i="7"/>
  <c r="M18" i="7"/>
  <c r="K45" i="24"/>
  <c r="K53" i="24" s="1"/>
  <c r="L45" i="24"/>
  <c r="L53" i="24" s="1"/>
  <c r="J45" i="24"/>
  <c r="J53" i="24" s="1"/>
  <c r="I45" i="24"/>
  <c r="I53" i="24" s="1"/>
  <c r="H45" i="24"/>
  <c r="H53" i="24" s="1"/>
  <c r="G45" i="24"/>
  <c r="G53" i="24" s="1"/>
  <c r="F45" i="24"/>
  <c r="F53" i="24" s="1"/>
  <c r="D45" i="24"/>
  <c r="G18" i="7" l="1"/>
  <c r="N14" i="7"/>
  <c r="M14" i="7"/>
  <c r="N15" i="7"/>
  <c r="M15" i="7"/>
  <c r="D53" i="24"/>
  <c r="G14" i="7" l="1"/>
  <c r="G15" i="7"/>
  <c r="D60" i="24" a="1"/>
  <c r="D60" i="24" s="1"/>
  <c r="D63" i="24"/>
  <c r="D64" i="24" s="1"/>
  <c r="E64" i="24" s="1"/>
  <c r="F64" i="24" s="1"/>
  <c r="G64" i="24" s="1"/>
  <c r="H64" i="24" s="1"/>
  <c r="E63" i="24"/>
  <c r="F63" i="24"/>
  <c r="G63" i="24"/>
  <c r="H63" i="24"/>
  <c r="D67" i="24" l="1"/>
  <c r="B8" i="20" l="1"/>
  <c r="I142" i="4"/>
  <c r="I141" i="4"/>
  <c r="I138" i="4"/>
  <c r="I137" i="4"/>
  <c r="I136" i="4"/>
  <c r="I135" i="4"/>
  <c r="I134" i="4"/>
  <c r="I133" i="4"/>
  <c r="I132" i="4"/>
  <c r="I131" i="4"/>
  <c r="I130" i="4"/>
  <c r="I129" i="4"/>
  <c r="I128" i="4"/>
  <c r="I127" i="4"/>
  <c r="I126" i="4"/>
  <c r="I125" i="4"/>
  <c r="I124" i="4"/>
  <c r="I123" i="4"/>
  <c r="I122" i="4"/>
  <c r="I117" i="4"/>
  <c r="I116" i="4"/>
  <c r="I115" i="4"/>
  <c r="I114" i="4"/>
  <c r="I113" i="4"/>
  <c r="I82" i="4"/>
  <c r="E42" i="4" s="1"/>
  <c r="F38" i="7" s="1"/>
  <c r="I83" i="4"/>
  <c r="E43" i="4" s="1"/>
  <c r="F39" i="7" s="1"/>
  <c r="I84" i="4"/>
  <c r="E44" i="4" s="1"/>
  <c r="F40" i="7" s="1"/>
  <c r="I85" i="4"/>
  <c r="I86" i="4"/>
  <c r="I87" i="4"/>
  <c r="E34" i="4" s="1"/>
  <c r="F30" i="7" s="1"/>
  <c r="I88" i="4"/>
  <c r="E35" i="4" s="1"/>
  <c r="F31" i="7" s="1"/>
  <c r="I94" i="4"/>
  <c r="I95" i="4"/>
  <c r="I96" i="4"/>
  <c r="I97" i="4"/>
  <c r="I98" i="4"/>
  <c r="I89" i="4"/>
  <c r="I90" i="4"/>
  <c r="I91" i="4"/>
  <c r="I92" i="4"/>
  <c r="I93" i="4"/>
  <c r="I77" i="4"/>
  <c r="E37" i="4" s="1"/>
  <c r="F33" i="7" s="1"/>
  <c r="I78" i="4"/>
  <c r="E38" i="4" s="1"/>
  <c r="F34" i="7" s="1"/>
  <c r="I80" i="4"/>
  <c r="E40" i="4" s="1"/>
  <c r="F36" i="7" s="1"/>
  <c r="I81" i="4"/>
  <c r="E41" i="4" s="1"/>
  <c r="F37" i="7" s="1"/>
  <c r="I76" i="4"/>
  <c r="V33" i="7" l="1"/>
  <c r="W33" i="7"/>
  <c r="V31" i="7"/>
  <c r="W31" i="7"/>
  <c r="V37" i="7"/>
  <c r="E37" i="7" s="1"/>
  <c r="W37" i="7"/>
  <c r="V36" i="7"/>
  <c r="W36" i="7"/>
  <c r="V30" i="7"/>
  <c r="W30" i="7"/>
  <c r="V34" i="7"/>
  <c r="W34" i="7"/>
  <c r="V40" i="7"/>
  <c r="W40" i="7"/>
  <c r="V39" i="7"/>
  <c r="W39" i="7"/>
  <c r="V38" i="7"/>
  <c r="W38" i="7"/>
  <c r="E31" i="7"/>
  <c r="E32" i="4"/>
  <c r="F28" i="7" s="1"/>
  <c r="E36" i="4"/>
  <c r="F32" i="7" s="1"/>
  <c r="E30" i="7"/>
  <c r="E36" i="7"/>
  <c r="E40" i="7"/>
  <c r="E38" i="7"/>
  <c r="E33" i="7"/>
  <c r="E33" i="4"/>
  <c r="F29" i="7" s="1"/>
  <c r="E69" i="11"/>
  <c r="C69" i="11"/>
  <c r="C68" i="11"/>
  <c r="D47" i="11"/>
  <c r="E47" i="11" s="1"/>
  <c r="F47" i="11" s="1"/>
  <c r="G47" i="11" s="1"/>
  <c r="H47" i="11" s="1"/>
  <c r="E44" i="11"/>
  <c r="C44" i="11"/>
  <c r="C43" i="11"/>
  <c r="E81" i="11"/>
  <c r="F81" i="11" s="1"/>
  <c r="G81" i="11" s="1"/>
  <c r="H81" i="11" s="1"/>
  <c r="E72" i="11"/>
  <c r="F72" i="11" s="1"/>
  <c r="G72" i="11" s="1"/>
  <c r="H72" i="11" s="1"/>
  <c r="D56" i="11"/>
  <c r="E56" i="11" s="1"/>
  <c r="F56" i="11" s="1"/>
  <c r="G56" i="11" s="1"/>
  <c r="H56" i="11" s="1"/>
  <c r="D30" i="11"/>
  <c r="E30" i="11" s="1"/>
  <c r="F30" i="11" s="1"/>
  <c r="G30" i="11" s="1"/>
  <c r="H30" i="11" s="1"/>
  <c r="D21" i="11"/>
  <c r="C17" i="11"/>
  <c r="H8" i="11"/>
  <c r="G8" i="11"/>
  <c r="F8" i="11"/>
  <c r="E8" i="11"/>
  <c r="D8" i="11"/>
  <c r="E59" i="24"/>
  <c r="E60" i="24" s="1" a="1"/>
  <c r="E60" i="24" s="1"/>
  <c r="E67" i="24" s="1"/>
  <c r="E79" i="24"/>
  <c r="V32" i="7" l="1"/>
  <c r="W32" i="7"/>
  <c r="V29" i="7"/>
  <c r="W29" i="7"/>
  <c r="V28" i="7"/>
  <c r="W28" i="7"/>
  <c r="I36" i="7"/>
  <c r="I33" i="7"/>
  <c r="I40" i="7"/>
  <c r="I31" i="7"/>
  <c r="I37" i="7"/>
  <c r="I38" i="7"/>
  <c r="I30" i="7"/>
  <c r="I39" i="7"/>
  <c r="I34" i="7"/>
  <c r="E39" i="7"/>
  <c r="E34" i="7"/>
  <c r="E21" i="11"/>
  <c r="F21" i="11" s="1"/>
  <c r="G21" i="11" s="1"/>
  <c r="H21" i="11" s="1"/>
  <c r="F79" i="24"/>
  <c r="F59" i="24"/>
  <c r="F60" i="24" s="1" a="1"/>
  <c r="F60" i="24" s="1"/>
  <c r="F67" i="24" s="1"/>
  <c r="I32" i="7" l="1"/>
  <c r="I28" i="7"/>
  <c r="I29" i="7"/>
  <c r="N37" i="7"/>
  <c r="M37" i="7"/>
  <c r="N31" i="7"/>
  <c r="M31" i="7"/>
  <c r="N30" i="7"/>
  <c r="M30" i="7"/>
  <c r="N34" i="7"/>
  <c r="M34" i="7"/>
  <c r="N39" i="7"/>
  <c r="M39" i="7"/>
  <c r="N40" i="7"/>
  <c r="M40" i="7"/>
  <c r="N36" i="7"/>
  <c r="M36" i="7"/>
  <c r="N38" i="7"/>
  <c r="M38" i="7"/>
  <c r="N33" i="7"/>
  <c r="M33" i="7"/>
  <c r="G79" i="24"/>
  <c r="G59" i="24"/>
  <c r="G60" i="24" s="1" a="1"/>
  <c r="G60" i="24" s="1"/>
  <c r="G67" i="24" s="1"/>
  <c r="H26" i="24"/>
  <c r="G26" i="24"/>
  <c r="F26" i="24"/>
  <c r="E26" i="24"/>
  <c r="D26" i="24"/>
  <c r="J79" i="3"/>
  <c r="J59" i="3"/>
  <c r="J39" i="3"/>
  <c r="J19" i="3"/>
  <c r="E52" i="1"/>
  <c r="M8" i="3"/>
  <c r="N81" i="3"/>
  <c r="M81" i="3"/>
  <c r="L81" i="3"/>
  <c r="K81" i="3"/>
  <c r="J81" i="3"/>
  <c r="G81" i="3"/>
  <c r="F81" i="3"/>
  <c r="E81" i="3"/>
  <c r="D81" i="3"/>
  <c r="C81" i="3"/>
  <c r="N61" i="3"/>
  <c r="M61" i="3"/>
  <c r="L61" i="3"/>
  <c r="K61" i="3"/>
  <c r="J61" i="3"/>
  <c r="G61" i="3"/>
  <c r="F61" i="3"/>
  <c r="E61" i="3"/>
  <c r="D61" i="3"/>
  <c r="C61" i="3"/>
  <c r="G41" i="3"/>
  <c r="F41" i="3"/>
  <c r="E41" i="3"/>
  <c r="D41" i="3"/>
  <c r="C41" i="3"/>
  <c r="N41" i="3"/>
  <c r="M41" i="3"/>
  <c r="L41" i="3"/>
  <c r="K41" i="3"/>
  <c r="J41" i="3"/>
  <c r="N21" i="3"/>
  <c r="M21" i="3"/>
  <c r="L21" i="3"/>
  <c r="K21" i="3"/>
  <c r="J21" i="3"/>
  <c r="G21" i="3"/>
  <c r="F21" i="3"/>
  <c r="E21" i="3"/>
  <c r="D21" i="3"/>
  <c r="C21" i="3"/>
  <c r="C79" i="3"/>
  <c r="C59" i="3"/>
  <c r="C39" i="3"/>
  <c r="C19" i="3"/>
  <c r="J81" i="20"/>
  <c r="B81" i="20"/>
  <c r="J62" i="20"/>
  <c r="B62" i="20"/>
  <c r="J43" i="20"/>
  <c r="B43" i="20"/>
  <c r="J24" i="20"/>
  <c r="B24" i="20"/>
  <c r="J80" i="20"/>
  <c r="B80" i="20"/>
  <c r="J61" i="20"/>
  <c r="B61" i="20"/>
  <c r="J42" i="20"/>
  <c r="B42" i="20"/>
  <c r="J23" i="20"/>
  <c r="B23" i="20"/>
  <c r="J79" i="20"/>
  <c r="B79" i="20"/>
  <c r="J60" i="20"/>
  <c r="B60" i="20"/>
  <c r="J41" i="20"/>
  <c r="B41" i="20"/>
  <c r="J22" i="20"/>
  <c r="B22" i="20"/>
  <c r="J78" i="20"/>
  <c r="B78" i="20"/>
  <c r="J59" i="20"/>
  <c r="B59" i="20"/>
  <c r="J40" i="20"/>
  <c r="B40" i="20"/>
  <c r="J21" i="20"/>
  <c r="B21" i="20"/>
  <c r="J77" i="20"/>
  <c r="B77" i="20"/>
  <c r="J58" i="20"/>
  <c r="B58" i="20"/>
  <c r="J39" i="20"/>
  <c r="B39" i="20"/>
  <c r="J20" i="20"/>
  <c r="B20" i="20"/>
  <c r="J76" i="20"/>
  <c r="B76" i="20"/>
  <c r="J57" i="20"/>
  <c r="B57" i="20"/>
  <c r="J38" i="20"/>
  <c r="B38" i="20"/>
  <c r="J19" i="20"/>
  <c r="B19" i="20"/>
  <c r="J75" i="20"/>
  <c r="B75" i="20"/>
  <c r="J56" i="20"/>
  <c r="B56" i="20"/>
  <c r="J37" i="20"/>
  <c r="B37" i="20"/>
  <c r="J18" i="20"/>
  <c r="B18" i="20"/>
  <c r="J74" i="20"/>
  <c r="B74" i="20"/>
  <c r="J55" i="20"/>
  <c r="B55" i="20"/>
  <c r="J36" i="20"/>
  <c r="B36" i="20"/>
  <c r="J17" i="20"/>
  <c r="B17" i="20"/>
  <c r="J73" i="20"/>
  <c r="B73" i="20"/>
  <c r="J54" i="20"/>
  <c r="B54" i="20"/>
  <c r="J35" i="20"/>
  <c r="B35" i="20"/>
  <c r="J16" i="20"/>
  <c r="B16" i="20"/>
  <c r="J72" i="20"/>
  <c r="B72" i="20"/>
  <c r="J53" i="20"/>
  <c r="B53" i="20"/>
  <c r="J34" i="20"/>
  <c r="B34" i="20"/>
  <c r="J15" i="20"/>
  <c r="B15" i="20"/>
  <c r="J71" i="20"/>
  <c r="B71" i="20"/>
  <c r="J52" i="20"/>
  <c r="B52" i="20"/>
  <c r="J33" i="20"/>
  <c r="B33" i="20"/>
  <c r="J14" i="20"/>
  <c r="B14" i="20"/>
  <c r="J70" i="20"/>
  <c r="B70" i="20"/>
  <c r="J51" i="20"/>
  <c r="B51" i="20"/>
  <c r="J32" i="20"/>
  <c r="B32" i="20"/>
  <c r="J13" i="20"/>
  <c r="B13" i="20"/>
  <c r="J69" i="20"/>
  <c r="B69" i="20"/>
  <c r="J50" i="20"/>
  <c r="B50" i="20"/>
  <c r="J31" i="20"/>
  <c r="B31" i="20"/>
  <c r="J12" i="20"/>
  <c r="B12" i="20"/>
  <c r="J68" i="20"/>
  <c r="B68" i="20"/>
  <c r="J49" i="20"/>
  <c r="B49" i="20"/>
  <c r="J30" i="20"/>
  <c r="B30" i="20"/>
  <c r="J11" i="20"/>
  <c r="B11" i="20"/>
  <c r="DB5" i="9"/>
  <c r="DB103" i="9" s="1"/>
  <c r="DB117" i="9" s="1"/>
  <c r="DB131" i="9" s="1"/>
  <c r="DB145" i="9" s="1"/>
  <c r="DB164" i="9" s="1"/>
  <c r="CT5" i="9"/>
  <c r="CT103" i="9" s="1"/>
  <c r="CT117" i="9" s="1"/>
  <c r="CT131" i="9" s="1"/>
  <c r="CT145" i="9" s="1"/>
  <c r="CT164" i="9" s="1"/>
  <c r="CL5" i="9"/>
  <c r="CL103" i="9" s="1"/>
  <c r="CL117" i="9" s="1"/>
  <c r="CL131" i="9" s="1"/>
  <c r="CL145" i="9" s="1"/>
  <c r="CL164" i="9" s="1"/>
  <c r="CD5" i="9"/>
  <c r="CD103" i="9" s="1"/>
  <c r="CD117" i="9" s="1"/>
  <c r="CD131" i="9" s="1"/>
  <c r="CD145" i="9" s="1"/>
  <c r="CD164" i="9" s="1"/>
  <c r="BV5" i="9"/>
  <c r="BV103" i="9" s="1"/>
  <c r="BV117" i="9" s="1"/>
  <c r="BV131" i="9" s="1"/>
  <c r="BV145" i="9" s="1"/>
  <c r="BV164" i="9" s="1"/>
  <c r="BN5" i="9"/>
  <c r="BN103" i="9" s="1"/>
  <c r="BN117" i="9" s="1"/>
  <c r="BN131" i="9" s="1"/>
  <c r="BN145" i="9" s="1"/>
  <c r="BN164" i="9" s="1"/>
  <c r="BF5" i="9"/>
  <c r="BF103" i="9" s="1"/>
  <c r="BF117" i="9" s="1"/>
  <c r="BF131" i="9" s="1"/>
  <c r="BF145" i="9" s="1"/>
  <c r="BF164" i="9" s="1"/>
  <c r="AX5" i="9"/>
  <c r="AX103" i="9" s="1"/>
  <c r="AX117" i="9" s="1"/>
  <c r="AX131" i="9" s="1"/>
  <c r="AX145" i="9" s="1"/>
  <c r="AX164" i="9" s="1"/>
  <c r="AP5" i="9"/>
  <c r="AP103" i="9" s="1"/>
  <c r="AP117" i="9" s="1"/>
  <c r="AP131" i="9" s="1"/>
  <c r="AP145" i="9" s="1"/>
  <c r="AP164" i="9" s="1"/>
  <c r="AH5" i="9"/>
  <c r="AH103" i="9" s="1"/>
  <c r="AH117" i="9" s="1"/>
  <c r="AH131" i="9" s="1"/>
  <c r="AH145" i="9" s="1"/>
  <c r="AH164" i="9" s="1"/>
  <c r="Z5" i="9"/>
  <c r="Z103" i="9" s="1"/>
  <c r="Z117" i="9" s="1"/>
  <c r="Z131" i="9" s="1"/>
  <c r="Z145" i="9" s="1"/>
  <c r="Z164" i="9" s="1"/>
  <c r="R5" i="9"/>
  <c r="R103" i="9" s="1"/>
  <c r="R117" i="9" s="1"/>
  <c r="R131" i="9" s="1"/>
  <c r="R145" i="9" s="1"/>
  <c r="R164" i="9" s="1"/>
  <c r="J5" i="9"/>
  <c r="J103" i="9" s="1"/>
  <c r="J117" i="9" s="1"/>
  <c r="J131" i="9" s="1"/>
  <c r="J145" i="9" s="1"/>
  <c r="J164" i="9" s="1"/>
  <c r="G33" i="7" l="1"/>
  <c r="G37" i="7"/>
  <c r="G39" i="7"/>
  <c r="G36" i="7"/>
  <c r="G30" i="7"/>
  <c r="G40" i="7"/>
  <c r="G38" i="7"/>
  <c r="G34" i="7"/>
  <c r="G31" i="7"/>
  <c r="N32" i="7"/>
  <c r="M32" i="7"/>
  <c r="N29" i="7"/>
  <c r="M29" i="7"/>
  <c r="N28" i="7"/>
  <c r="M28" i="7"/>
  <c r="H79" i="24"/>
  <c r="AH192" i="9"/>
  <c r="AH178" i="9"/>
  <c r="AH206" i="9"/>
  <c r="R192" i="9"/>
  <c r="R178" i="9"/>
  <c r="R206" i="9"/>
  <c r="Z178" i="9"/>
  <c r="Z192" i="9"/>
  <c r="Z206" i="9"/>
  <c r="J178" i="9"/>
  <c r="J192" i="9"/>
  <c r="J206" i="9"/>
  <c r="BN192" i="9"/>
  <c r="BN178" i="9"/>
  <c r="BN206" i="9"/>
  <c r="BV206" i="9"/>
  <c r="BV192" i="9"/>
  <c r="BV178" i="9"/>
  <c r="CD206" i="9"/>
  <c r="CD192" i="9"/>
  <c r="CD178" i="9"/>
  <c r="CL192" i="9"/>
  <c r="CL206" i="9"/>
  <c r="CL178" i="9"/>
  <c r="CT192" i="9"/>
  <c r="CT206" i="9"/>
  <c r="CT178" i="9"/>
  <c r="AP206" i="9"/>
  <c r="AP178" i="9"/>
  <c r="AP192" i="9"/>
  <c r="DB206" i="9"/>
  <c r="DB178" i="9"/>
  <c r="DB192" i="9"/>
  <c r="AX206" i="9"/>
  <c r="AX192" i="9"/>
  <c r="AX178" i="9"/>
  <c r="BF192" i="9"/>
  <c r="BF206" i="9"/>
  <c r="BF178" i="9"/>
  <c r="H59" i="24"/>
  <c r="H60" i="24" s="1" a="1"/>
  <c r="H60" i="24" s="1"/>
  <c r="H67" i="24" s="1"/>
  <c r="G28" i="7" l="1"/>
  <c r="E28" i="7" s="1"/>
  <c r="G32" i="7"/>
  <c r="E32" i="7" s="1"/>
  <c r="G29" i="7"/>
  <c r="E29" i="7" s="1"/>
  <c r="E15" i="7"/>
  <c r="I79" i="24"/>
  <c r="B1" i="1"/>
  <c r="B1" i="28" s="1"/>
  <c r="B1" i="3"/>
  <c r="B1" i="21" l="1"/>
  <c r="B1" i="27"/>
  <c r="B1" i="26"/>
  <c r="B1" i="20"/>
  <c r="B1" i="11"/>
  <c r="B1" i="15"/>
  <c r="B1" i="4"/>
  <c r="B1" i="24"/>
  <c r="B1" i="5"/>
  <c r="B1" i="7"/>
  <c r="E18" i="11" l="1"/>
  <c r="C18" i="11"/>
  <c r="B5" i="21" l="1"/>
  <c r="B103" i="9" l="1"/>
  <c r="B117" i="9" s="1"/>
  <c r="B131" i="9" s="1"/>
  <c r="B145" i="9" s="1"/>
  <c r="B164" i="9" s="1"/>
  <c r="B206" i="9" l="1"/>
  <c r="B178" i="9"/>
  <c r="B192" i="9"/>
  <c r="CX128" i="9" l="1"/>
  <c r="AZ110" i="9"/>
  <c r="BX124" i="9"/>
  <c r="BP96" i="9"/>
  <c r="AS126" i="9"/>
  <c r="AY108" i="9"/>
  <c r="CM94" i="9"/>
  <c r="CE122" i="9"/>
  <c r="BW136" i="9"/>
  <c r="BJ128" i="9"/>
  <c r="AI136" i="9"/>
  <c r="CP142" i="9"/>
  <c r="CH128" i="9"/>
  <c r="AS140" i="9"/>
  <c r="AT142" i="9"/>
  <c r="CW140" i="9"/>
  <c r="AL100" i="9"/>
  <c r="CO98" i="9"/>
  <c r="CG98" i="9"/>
  <c r="DF128" i="9"/>
  <c r="AD142" i="9"/>
  <c r="K94" i="9"/>
  <c r="S122" i="9"/>
  <c r="AD100" i="9"/>
  <c r="AB138" i="9"/>
  <c r="AA122" i="9"/>
  <c r="E140" i="9"/>
  <c r="F114" i="9"/>
  <c r="BA98" i="9"/>
  <c r="BI126" i="9"/>
  <c r="AK140" i="9"/>
  <c r="DF100" i="9"/>
  <c r="D138" i="9"/>
  <c r="K136" i="9"/>
  <c r="U98" i="9"/>
  <c r="AB110" i="9"/>
  <c r="T110" i="9"/>
  <c r="AB96" i="9"/>
  <c r="DC136" i="9"/>
  <c r="T138" i="9"/>
  <c r="T96" i="9"/>
  <c r="AC112" i="9"/>
  <c r="U112" i="9"/>
  <c r="M98" i="9"/>
  <c r="L124" i="9"/>
  <c r="K122" i="9"/>
  <c r="CX100" i="9"/>
  <c r="AZ96" i="9"/>
  <c r="BX110" i="9"/>
  <c r="AJ138" i="9"/>
  <c r="AK98" i="9"/>
  <c r="BI98" i="9"/>
  <c r="BG136" i="9"/>
  <c r="CE108" i="9"/>
  <c r="BW122" i="9"/>
  <c r="CU108" i="9"/>
  <c r="AI122" i="9"/>
  <c r="CP128" i="9"/>
  <c r="CH114" i="9"/>
  <c r="BH96" i="9"/>
  <c r="AT128" i="9"/>
  <c r="CW112" i="9"/>
  <c r="U140" i="9"/>
  <c r="AB124" i="9"/>
  <c r="D110" i="9"/>
  <c r="N100" i="9"/>
  <c r="N114" i="9"/>
  <c r="D124" i="9"/>
  <c r="U126" i="9"/>
  <c r="C108" i="9"/>
  <c r="CF138" i="9"/>
  <c r="BJ142" i="9"/>
  <c r="BX96" i="9"/>
  <c r="AJ124" i="9"/>
  <c r="CW126" i="9"/>
  <c r="CU136" i="9"/>
  <c r="AY122" i="9"/>
  <c r="CE94" i="9"/>
  <c r="BW108" i="9"/>
  <c r="CU122" i="9"/>
  <c r="AI108" i="9"/>
  <c r="CP114" i="9"/>
  <c r="CH100" i="9"/>
  <c r="DE140" i="9"/>
  <c r="AT114" i="9"/>
  <c r="BR142" i="9"/>
  <c r="BQ140" i="9"/>
  <c r="BQ126" i="9"/>
  <c r="CN138" i="9"/>
  <c r="N128" i="9"/>
  <c r="V100" i="9"/>
  <c r="K108" i="9"/>
  <c r="AA108" i="9"/>
  <c r="F128" i="9"/>
  <c r="E112" i="9"/>
  <c r="CF124" i="9"/>
  <c r="AS98" i="9"/>
  <c r="AR138" i="9"/>
  <c r="AJ96" i="9"/>
  <c r="CW98" i="9"/>
  <c r="DD124" i="9"/>
  <c r="BA140" i="9"/>
  <c r="AY136" i="9"/>
  <c r="BW94" i="9"/>
  <c r="CU94" i="9"/>
  <c r="AI94" i="9"/>
  <c r="CP100" i="9"/>
  <c r="BB142" i="9"/>
  <c r="DE112" i="9"/>
  <c r="AT100" i="9"/>
  <c r="BR128" i="9"/>
  <c r="DD138" i="9"/>
  <c r="CV138" i="9"/>
  <c r="DC108" i="9"/>
  <c r="CN124" i="9"/>
  <c r="AD128" i="9"/>
  <c r="M112" i="9"/>
  <c r="S94" i="9"/>
  <c r="L138" i="9"/>
  <c r="CF110" i="9"/>
  <c r="AK112" i="9"/>
  <c r="AR124" i="9"/>
  <c r="BG122" i="9"/>
  <c r="BP138" i="9"/>
  <c r="DD96" i="9"/>
  <c r="BH124" i="9"/>
  <c r="BA112" i="9"/>
  <c r="AQ136" i="9"/>
  <c r="BO136" i="9"/>
  <c r="BA126" i="9"/>
  <c r="BJ100" i="9"/>
  <c r="BB128" i="9"/>
  <c r="BZ142" i="9"/>
  <c r="AL114" i="9"/>
  <c r="BR114" i="9"/>
  <c r="DD110" i="9"/>
  <c r="CV110" i="9"/>
  <c r="BY140" i="9"/>
  <c r="CN110" i="9"/>
  <c r="N142" i="9"/>
  <c r="CF96" i="9"/>
  <c r="DE126" i="9"/>
  <c r="AR110" i="9"/>
  <c r="BG94" i="9"/>
  <c r="BP110" i="9"/>
  <c r="CM136" i="9"/>
  <c r="CV124" i="9"/>
  <c r="BQ98" i="9"/>
  <c r="AQ122" i="9"/>
  <c r="BO122" i="9"/>
  <c r="BQ112" i="9"/>
  <c r="CX142" i="9"/>
  <c r="BB114" i="9"/>
  <c r="BZ128" i="9"/>
  <c r="BI112" i="9"/>
  <c r="BR100" i="9"/>
  <c r="CO140" i="9"/>
  <c r="CG140" i="9"/>
  <c r="BY126" i="9"/>
  <c r="CN96" i="9"/>
  <c r="T124" i="9"/>
  <c r="V142" i="9"/>
  <c r="C94" i="9"/>
  <c r="E126" i="9"/>
  <c r="AC140" i="9"/>
  <c r="AZ138" i="9"/>
  <c r="DE98" i="9"/>
  <c r="AR96" i="9"/>
  <c r="AY94" i="9"/>
  <c r="AJ110" i="9"/>
  <c r="CM122" i="9"/>
  <c r="CV96" i="9"/>
  <c r="DC122" i="9"/>
  <c r="AQ108" i="9"/>
  <c r="BO108" i="9"/>
  <c r="DF142" i="9"/>
  <c r="CX114" i="9"/>
  <c r="BB100" i="9"/>
  <c r="BZ114" i="9"/>
  <c r="AS112" i="9"/>
  <c r="AL142" i="9"/>
  <c r="CO126" i="9"/>
  <c r="CG126" i="9"/>
  <c r="BY112" i="9"/>
  <c r="BH138" i="9"/>
  <c r="AC98" i="9"/>
  <c r="S136" i="9"/>
  <c r="V114" i="9"/>
  <c r="F100" i="9"/>
  <c r="AA136" i="9"/>
  <c r="C122" i="9"/>
  <c r="L110" i="9"/>
  <c r="M140" i="9"/>
  <c r="M126" i="9"/>
  <c r="AZ124" i="9"/>
  <c r="BX138" i="9"/>
  <c r="BP124" i="9"/>
  <c r="BJ114" i="9"/>
  <c r="BG108" i="9"/>
  <c r="CM108" i="9"/>
  <c r="CE136" i="9"/>
  <c r="DC94" i="9"/>
  <c r="AQ94" i="9"/>
  <c r="BO94" i="9"/>
  <c r="DF114" i="9"/>
  <c r="CH142" i="9"/>
  <c r="BI140" i="9"/>
  <c r="BZ100" i="9"/>
  <c r="AK126" i="9"/>
  <c r="AL128" i="9"/>
  <c r="CO112" i="9"/>
  <c r="CG112" i="9"/>
  <c r="BY98" i="9"/>
  <c r="BH110" i="9"/>
  <c r="AA94" i="9"/>
  <c r="V128" i="9"/>
  <c r="S108" i="9"/>
  <c r="E98" i="9"/>
  <c r="AC126" i="9"/>
  <c r="D96" i="9"/>
  <c r="F142" i="9"/>
  <c r="C136" i="9"/>
  <c r="L96" i="9"/>
  <c r="AD114" i="9"/>
  <c r="E81" i="24"/>
  <c r="F81" i="24" l="1"/>
  <c r="G81" i="24" s="1"/>
  <c r="E82" i="24"/>
  <c r="H81" i="24" l="1"/>
  <c r="I81" i="24" s="1"/>
  <c r="F82" i="24"/>
  <c r="G82" i="24" s="1"/>
  <c r="E83" i="24"/>
  <c r="E89" i="24" s="1"/>
  <c r="D9" i="11" s="1"/>
  <c r="H82" i="24" l="1"/>
  <c r="I82" i="24" s="1"/>
  <c r="CM7" i="29"/>
  <c r="AA7" i="29"/>
  <c r="AY7" i="29"/>
  <c r="C7" i="29"/>
  <c r="BW7" i="29"/>
  <c r="K7" i="29"/>
  <c r="CE7" i="29"/>
  <c r="CU7" i="29"/>
  <c r="AI7" i="29"/>
  <c r="S7" i="29"/>
  <c r="BG7" i="29"/>
  <c r="DC7" i="29"/>
  <c r="AQ7" i="29"/>
  <c r="BO7" i="29"/>
  <c r="CM7" i="9"/>
  <c r="AA7" i="9"/>
  <c r="DC7" i="9"/>
  <c r="AQ7" i="9"/>
  <c r="AQ8" i="9" s="1"/>
  <c r="AQ11" i="9" s="1"/>
  <c r="AQ14" i="9" s="1"/>
  <c r="AQ17" i="9" s="1"/>
  <c r="AQ20" i="9" s="1"/>
  <c r="BO7" i="9"/>
  <c r="AY7" i="9"/>
  <c r="BG7" i="9"/>
  <c r="BW7" i="9"/>
  <c r="S7" i="9"/>
  <c r="CE7" i="9"/>
  <c r="CU7" i="9"/>
  <c r="AI7" i="9"/>
  <c r="K7" i="9"/>
  <c r="J81" i="24"/>
  <c r="F83" i="24"/>
  <c r="G83" i="24" s="1"/>
  <c r="H83" i="24" l="1"/>
  <c r="I83" i="24" s="1"/>
  <c r="J83" i="24" s="1"/>
  <c r="J82" i="24"/>
  <c r="CE15" i="29"/>
  <c r="CE19" i="29"/>
  <c r="CE27" i="29"/>
  <c r="CE23" i="29"/>
  <c r="K15" i="29"/>
  <c r="K23" i="29"/>
  <c r="K19" i="29"/>
  <c r="K27" i="29"/>
  <c r="BW15" i="29"/>
  <c r="BW27" i="29"/>
  <c r="BW19" i="29"/>
  <c r="BW23" i="29"/>
  <c r="CU15" i="29"/>
  <c r="CU23" i="29"/>
  <c r="CU27" i="29"/>
  <c r="CU19" i="29"/>
  <c r="DC15" i="29"/>
  <c r="DC23" i="29"/>
  <c r="DC19" i="29"/>
  <c r="DC27" i="29"/>
  <c r="C19" i="29"/>
  <c r="C23" i="29"/>
  <c r="C15" i="29"/>
  <c r="C27" i="29"/>
  <c r="AQ15" i="29"/>
  <c r="AQ23" i="29"/>
  <c r="AQ19" i="29"/>
  <c r="AQ27" i="29"/>
  <c r="BG15" i="29"/>
  <c r="BG19" i="29"/>
  <c r="BG23" i="29"/>
  <c r="BG27" i="29"/>
  <c r="AY15" i="29"/>
  <c r="AY23" i="29"/>
  <c r="AY19" i="29"/>
  <c r="AY27" i="29"/>
  <c r="S15" i="29"/>
  <c r="S23" i="29"/>
  <c r="S19" i="29"/>
  <c r="S27" i="29"/>
  <c r="AA15" i="29"/>
  <c r="AA27" i="29"/>
  <c r="AA23" i="29"/>
  <c r="AA19" i="29"/>
  <c r="BO15" i="29"/>
  <c r="BO27" i="29"/>
  <c r="BO19" i="29"/>
  <c r="BO23" i="29"/>
  <c r="AI15" i="29"/>
  <c r="AI19" i="29"/>
  <c r="AI23" i="29"/>
  <c r="AI27" i="29"/>
  <c r="CM15" i="29"/>
  <c r="CM19" i="29"/>
  <c r="CM23" i="29"/>
  <c r="CM27" i="29"/>
  <c r="BO8" i="9"/>
  <c r="BO11" i="9" s="1"/>
  <c r="BO14" i="9" s="1"/>
  <c r="BO17" i="9" s="1"/>
  <c r="BW8" i="9"/>
  <c r="BW11" i="9" s="1"/>
  <c r="BW14" i="9" s="1"/>
  <c r="BW17" i="9" s="1"/>
  <c r="BG8" i="9"/>
  <c r="BG11" i="9" s="1"/>
  <c r="BG14" i="9" s="1"/>
  <c r="BG17" i="9" s="1"/>
  <c r="AY8" i="9"/>
  <c r="AY11" i="9" s="1"/>
  <c r="AY14" i="9" s="1"/>
  <c r="AY17" i="9" s="1"/>
  <c r="K18" i="9"/>
  <c r="K12" i="9"/>
  <c r="K15" i="9"/>
  <c r="CU8" i="9"/>
  <c r="CU11" i="9" s="1"/>
  <c r="CU14" i="9" s="1"/>
  <c r="CU17" i="9" s="1"/>
  <c r="DC8" i="9"/>
  <c r="DC11" i="9" s="1"/>
  <c r="DC14" i="9" s="1"/>
  <c r="DC17" i="9" s="1"/>
  <c r="S8" i="9"/>
  <c r="S11" i="9" s="1"/>
  <c r="S14" i="9" s="1"/>
  <c r="S17" i="9" s="1"/>
  <c r="CE8" i="9"/>
  <c r="CE11" i="9" s="1"/>
  <c r="CE14" i="9" s="1"/>
  <c r="CE17" i="9" s="1"/>
  <c r="AA8" i="9"/>
  <c r="AA11" i="9" s="1"/>
  <c r="AA14" i="9" s="1"/>
  <c r="AA17" i="9" s="1"/>
  <c r="CM8" i="9"/>
  <c r="CM11" i="9" s="1"/>
  <c r="CM14" i="9" s="1"/>
  <c r="CM17" i="9" s="1"/>
  <c r="G89" i="24"/>
  <c r="F89" i="24"/>
  <c r="E9" i="11" s="1"/>
  <c r="CM69" i="29" l="1"/>
  <c r="CM48" i="29"/>
  <c r="BO44" i="29"/>
  <c r="BO65" i="29"/>
  <c r="S69" i="29"/>
  <c r="S48" i="29"/>
  <c r="BG69" i="29"/>
  <c r="BG48" i="29"/>
  <c r="CU61" i="29"/>
  <c r="CU40" i="29"/>
  <c r="K48" i="29"/>
  <c r="K69" i="29"/>
  <c r="CM65" i="29"/>
  <c r="CM44" i="29"/>
  <c r="BO40" i="29"/>
  <c r="BO61" i="29"/>
  <c r="S40" i="29"/>
  <c r="S61" i="29"/>
  <c r="BG44" i="29"/>
  <c r="BG65" i="29"/>
  <c r="C36" i="29"/>
  <c r="C57" i="29"/>
  <c r="CU69" i="29"/>
  <c r="CU48" i="29"/>
  <c r="K61" i="29"/>
  <c r="K40" i="29"/>
  <c r="C48" i="29"/>
  <c r="C69" i="29"/>
  <c r="CM40" i="29"/>
  <c r="CM61" i="29"/>
  <c r="BO69" i="29"/>
  <c r="BO48" i="29"/>
  <c r="S65" i="29"/>
  <c r="S44" i="29"/>
  <c r="BG40" i="29"/>
  <c r="BG61" i="29"/>
  <c r="C44" i="29"/>
  <c r="C65" i="29"/>
  <c r="CU44" i="29"/>
  <c r="CU65" i="29"/>
  <c r="K44" i="29"/>
  <c r="K65" i="29"/>
  <c r="CM57" i="29"/>
  <c r="CM36" i="29"/>
  <c r="BO36" i="29"/>
  <c r="BO57" i="29"/>
  <c r="S57" i="29"/>
  <c r="S36" i="29"/>
  <c r="BG57" i="29"/>
  <c r="BG36" i="29"/>
  <c r="C61" i="29"/>
  <c r="C40" i="29"/>
  <c r="CU36" i="29"/>
  <c r="CU57" i="29"/>
  <c r="K36" i="29"/>
  <c r="K57" i="29"/>
  <c r="AI69" i="29"/>
  <c r="AI48" i="29"/>
  <c r="AA40" i="29"/>
  <c r="AA61" i="29"/>
  <c r="AY69" i="29"/>
  <c r="AY48" i="29"/>
  <c r="AQ48" i="29"/>
  <c r="AQ69" i="29"/>
  <c r="DC69" i="29"/>
  <c r="DC48" i="29"/>
  <c r="BW65" i="29"/>
  <c r="BW44" i="29"/>
  <c r="CE44" i="29"/>
  <c r="CE65" i="29"/>
  <c r="AI65" i="29"/>
  <c r="AI44" i="29"/>
  <c r="AA65" i="29"/>
  <c r="AA44" i="29"/>
  <c r="AY40" i="29"/>
  <c r="AY61" i="29"/>
  <c r="AQ40" i="29"/>
  <c r="AQ61" i="29"/>
  <c r="DC40" i="29"/>
  <c r="DC61" i="29"/>
  <c r="BW61" i="29"/>
  <c r="BW40" i="29"/>
  <c r="CE69" i="29"/>
  <c r="CE48" i="29"/>
  <c r="AI61" i="29"/>
  <c r="AI40" i="29"/>
  <c r="AA69" i="29"/>
  <c r="AA48" i="29"/>
  <c r="AY44" i="29"/>
  <c r="AY65" i="29"/>
  <c r="AQ65" i="29"/>
  <c r="AQ44" i="29"/>
  <c r="DC65" i="29"/>
  <c r="DC44" i="29"/>
  <c r="BW48" i="29"/>
  <c r="BW69" i="29"/>
  <c r="CE61" i="29"/>
  <c r="CE40" i="29"/>
  <c r="AI57" i="29"/>
  <c r="AI36" i="29"/>
  <c r="AA36" i="29"/>
  <c r="AA57" i="29"/>
  <c r="AY36" i="29"/>
  <c r="AY57" i="29"/>
  <c r="AQ36" i="29"/>
  <c r="AQ57" i="29"/>
  <c r="DC57" i="29"/>
  <c r="DC36" i="29"/>
  <c r="BW36" i="29"/>
  <c r="BW57" i="29"/>
  <c r="CE36" i="29"/>
  <c r="CE57" i="29"/>
  <c r="BH7" i="29"/>
  <c r="AZ7" i="29"/>
  <c r="CF7" i="29"/>
  <c r="T7" i="29"/>
  <c r="D7" i="29"/>
  <c r="DD7" i="29"/>
  <c r="AR7" i="29"/>
  <c r="BP7" i="29"/>
  <c r="CN7" i="29"/>
  <c r="AB7" i="29"/>
  <c r="BX7" i="29"/>
  <c r="L7" i="29"/>
  <c r="CV7" i="29"/>
  <c r="AJ7" i="29"/>
  <c r="AY20" i="9"/>
  <c r="BG20" i="9"/>
  <c r="DC20" i="9"/>
  <c r="CM20" i="9"/>
  <c r="BW20" i="9"/>
  <c r="CU20" i="9"/>
  <c r="AA20" i="9"/>
  <c r="S20" i="9"/>
  <c r="AZ7" i="9"/>
  <c r="AZ8" i="9" s="1"/>
  <c r="AZ11" i="9" s="1"/>
  <c r="AZ14" i="9" s="1"/>
  <c r="AZ20" i="9" s="1"/>
  <c r="CN7" i="9"/>
  <c r="AB7" i="9"/>
  <c r="BX7" i="9"/>
  <c r="T7" i="9"/>
  <c r="AR7" i="9"/>
  <c r="CV7" i="9"/>
  <c r="BH7" i="9"/>
  <c r="CF7" i="9"/>
  <c r="DD7" i="9"/>
  <c r="BP7" i="9"/>
  <c r="CE20" i="9"/>
  <c r="BO20" i="9"/>
  <c r="K46" i="3"/>
  <c r="K49" i="3"/>
  <c r="K68" i="3"/>
  <c r="K66" i="3"/>
  <c r="K87" i="3"/>
  <c r="K86" i="3"/>
  <c r="K67" i="3"/>
  <c r="K47" i="3"/>
  <c r="K48" i="3"/>
  <c r="K88" i="3"/>
  <c r="BP27" i="29" l="1"/>
  <c r="BP23" i="29"/>
  <c r="BP15" i="29"/>
  <c r="BP19" i="29"/>
  <c r="AR15" i="29"/>
  <c r="AR19" i="29"/>
  <c r="AR23" i="29"/>
  <c r="AR27" i="29"/>
  <c r="AJ15" i="29"/>
  <c r="AJ27" i="29"/>
  <c r="AJ23" i="29"/>
  <c r="AJ19" i="29"/>
  <c r="DD23" i="29"/>
  <c r="DD15" i="29"/>
  <c r="DD19" i="29"/>
  <c r="DD27" i="29"/>
  <c r="CV15" i="29"/>
  <c r="CV27" i="29"/>
  <c r="CV19" i="29"/>
  <c r="CV23" i="29"/>
  <c r="D15" i="29"/>
  <c r="D27" i="29"/>
  <c r="D23" i="29"/>
  <c r="D19" i="29"/>
  <c r="L15" i="29"/>
  <c r="L19" i="29"/>
  <c r="L23" i="29"/>
  <c r="L27" i="29"/>
  <c r="T15" i="29"/>
  <c r="T23" i="29"/>
  <c r="T27" i="29"/>
  <c r="T19" i="29"/>
  <c r="BX15" i="29"/>
  <c r="BX27" i="29"/>
  <c r="BX23" i="29"/>
  <c r="BX19" i="29"/>
  <c r="CF15" i="29"/>
  <c r="CF27" i="29"/>
  <c r="CF19" i="29"/>
  <c r="CF23" i="29"/>
  <c r="AB23" i="29"/>
  <c r="AB15" i="29"/>
  <c r="AB27" i="29"/>
  <c r="AB19" i="29"/>
  <c r="AZ15" i="29"/>
  <c r="AZ23" i="29"/>
  <c r="AZ19" i="29"/>
  <c r="AZ27" i="29"/>
  <c r="CN15" i="29"/>
  <c r="CN27" i="29"/>
  <c r="CN23" i="29"/>
  <c r="CN19" i="29"/>
  <c r="BH27" i="29"/>
  <c r="BH19" i="29"/>
  <c r="BH23" i="29"/>
  <c r="BH15" i="29"/>
  <c r="AJ9" i="9"/>
  <c r="AJ12" i="9"/>
  <c r="AJ15" i="9"/>
  <c r="BP8" i="9"/>
  <c r="BP11" i="9" s="1"/>
  <c r="BP14" i="9" s="1"/>
  <c r="AR8" i="9"/>
  <c r="AR11" i="9" s="1"/>
  <c r="AR14" i="9" s="1"/>
  <c r="BX8" i="9"/>
  <c r="BX11" i="9" s="1"/>
  <c r="BX14" i="9" s="1"/>
  <c r="CF8" i="9"/>
  <c r="CF11" i="9" s="1"/>
  <c r="CF14" i="9" s="1"/>
  <c r="CN8" i="9"/>
  <c r="CN11" i="9" s="1"/>
  <c r="CN14" i="9" s="1"/>
  <c r="T8" i="9"/>
  <c r="T11" i="9" s="1"/>
  <c r="T14" i="9" s="1"/>
  <c r="AB8" i="9"/>
  <c r="AB11" i="9" s="1"/>
  <c r="AB14" i="9" s="1"/>
  <c r="BH8" i="9"/>
  <c r="BH11" i="9" s="1"/>
  <c r="BH14" i="9" s="1"/>
  <c r="DD8" i="9"/>
  <c r="DD11" i="9" s="1"/>
  <c r="DD14" i="9" s="1"/>
  <c r="CV8" i="9"/>
  <c r="CV11" i="9" s="1"/>
  <c r="CV14" i="9" s="1"/>
  <c r="H89" i="24"/>
  <c r="G9" i="11" s="1"/>
  <c r="CV48" i="29" l="1"/>
  <c r="CV69" i="29"/>
  <c r="CN36" i="29"/>
  <c r="CN57" i="29"/>
  <c r="AB65" i="29"/>
  <c r="AB44" i="29"/>
  <c r="BX36" i="29"/>
  <c r="BX57" i="29"/>
  <c r="L57" i="29"/>
  <c r="L36" i="29"/>
  <c r="CV36" i="29"/>
  <c r="CV57" i="29"/>
  <c r="AJ36" i="29"/>
  <c r="AJ57" i="29"/>
  <c r="BP48" i="29"/>
  <c r="BP69" i="29"/>
  <c r="AJ69" i="29"/>
  <c r="AJ48" i="29"/>
  <c r="BH36" i="29"/>
  <c r="BH57" i="29"/>
  <c r="AZ48" i="29"/>
  <c r="AZ69" i="29"/>
  <c r="CF44" i="29"/>
  <c r="CF65" i="29"/>
  <c r="T61" i="29"/>
  <c r="T40" i="29"/>
  <c r="D61" i="29"/>
  <c r="D40" i="29"/>
  <c r="DD48" i="29"/>
  <c r="DD69" i="29"/>
  <c r="AR48" i="29"/>
  <c r="AR69" i="29"/>
  <c r="CN48" i="29"/>
  <c r="CN69" i="29"/>
  <c r="BP65" i="29"/>
  <c r="BP44" i="29"/>
  <c r="BH65" i="29"/>
  <c r="BH44" i="29"/>
  <c r="AZ61" i="29"/>
  <c r="AZ40" i="29"/>
  <c r="CF61" i="29"/>
  <c r="CF40" i="29"/>
  <c r="T48" i="29"/>
  <c r="T69" i="29"/>
  <c r="D65" i="29"/>
  <c r="D44" i="29"/>
  <c r="DD40" i="29"/>
  <c r="DD61" i="29"/>
  <c r="AR65" i="29"/>
  <c r="AR44" i="29"/>
  <c r="L61" i="29"/>
  <c r="L40" i="29"/>
  <c r="BH40" i="29"/>
  <c r="BH61" i="29"/>
  <c r="AZ65" i="29"/>
  <c r="AZ44" i="29"/>
  <c r="CF48" i="29"/>
  <c r="CF69" i="29"/>
  <c r="T44" i="29"/>
  <c r="T65" i="29"/>
  <c r="D48" i="29"/>
  <c r="D69" i="29"/>
  <c r="DD57" i="29"/>
  <c r="DD36" i="29"/>
  <c r="AR61" i="29"/>
  <c r="AR40" i="29"/>
  <c r="AB36" i="29"/>
  <c r="AB57" i="29"/>
  <c r="BH69" i="29"/>
  <c r="BH48" i="29"/>
  <c r="AZ57" i="29"/>
  <c r="AZ36" i="29"/>
  <c r="CF36" i="29"/>
  <c r="CF57" i="29"/>
  <c r="T57" i="29"/>
  <c r="T36" i="29"/>
  <c r="D36" i="29"/>
  <c r="D57" i="29"/>
  <c r="DD65" i="29"/>
  <c r="DD44" i="29"/>
  <c r="AR57" i="29"/>
  <c r="AR36" i="29"/>
  <c r="CN61" i="29"/>
  <c r="CN40" i="29"/>
  <c r="AB61" i="29"/>
  <c r="AB40" i="29"/>
  <c r="BX61" i="29"/>
  <c r="BX40" i="29"/>
  <c r="L69" i="29"/>
  <c r="L48" i="29"/>
  <c r="CV44" i="29"/>
  <c r="CV65" i="29"/>
  <c r="AJ61" i="29"/>
  <c r="AJ40" i="29"/>
  <c r="BP61" i="29"/>
  <c r="BP40" i="29"/>
  <c r="BX69" i="29"/>
  <c r="BX48" i="29"/>
  <c r="CN65" i="29"/>
  <c r="CN44" i="29"/>
  <c r="AB69" i="29"/>
  <c r="AB48" i="29"/>
  <c r="BX65" i="29"/>
  <c r="BX44" i="29"/>
  <c r="L65" i="29"/>
  <c r="L44" i="29"/>
  <c r="CV61" i="29"/>
  <c r="CV40" i="29"/>
  <c r="AJ44" i="29"/>
  <c r="AJ65" i="29"/>
  <c r="BP36" i="29"/>
  <c r="BP57" i="29"/>
  <c r="BZ7" i="29"/>
  <c r="N7" i="29"/>
  <c r="CX7" i="29"/>
  <c r="AL7" i="29"/>
  <c r="BR7" i="29"/>
  <c r="BJ7" i="29"/>
  <c r="CH7" i="29"/>
  <c r="V7" i="29"/>
  <c r="F7" i="29"/>
  <c r="DF7" i="29"/>
  <c r="AT7" i="29"/>
  <c r="CP7" i="29"/>
  <c r="AD7" i="29"/>
  <c r="BB7" i="29"/>
  <c r="CF20" i="9"/>
  <c r="AB20" i="9"/>
  <c r="BX20" i="9"/>
  <c r="T20" i="9"/>
  <c r="CV20" i="9"/>
  <c r="BH20" i="9"/>
  <c r="AR20" i="9"/>
  <c r="DD20" i="9"/>
  <c r="CN20" i="9"/>
  <c r="BP20" i="9"/>
  <c r="J87" i="3"/>
  <c r="J68" i="3"/>
  <c r="C7" i="9"/>
  <c r="J46" i="3"/>
  <c r="J47" i="3"/>
  <c r="J48" i="3"/>
  <c r="J88" i="3"/>
  <c r="J67" i="3"/>
  <c r="J66" i="3"/>
  <c r="J86" i="3"/>
  <c r="J49" i="3"/>
  <c r="M87" i="3"/>
  <c r="M66" i="3"/>
  <c r="M48" i="3"/>
  <c r="M67" i="3"/>
  <c r="M88" i="3"/>
  <c r="M86" i="3"/>
  <c r="M46" i="3"/>
  <c r="M49" i="3"/>
  <c r="M68" i="3"/>
  <c r="M47" i="3"/>
  <c r="V23" i="29" l="1"/>
  <c r="V19" i="29"/>
  <c r="V15" i="29"/>
  <c r="V27" i="29"/>
  <c r="DF27" i="29"/>
  <c r="DF23" i="29"/>
  <c r="DF15" i="29"/>
  <c r="DF19" i="29"/>
  <c r="N15" i="29"/>
  <c r="N23" i="29"/>
  <c r="N19" i="29"/>
  <c r="N27" i="29"/>
  <c r="F23" i="29"/>
  <c r="F27" i="29"/>
  <c r="F19" i="29"/>
  <c r="F15" i="29"/>
  <c r="BZ15" i="29"/>
  <c r="BZ27" i="29"/>
  <c r="BZ23" i="29"/>
  <c r="BZ19" i="29"/>
  <c r="CH15" i="29"/>
  <c r="CH27" i="29"/>
  <c r="CH23" i="29"/>
  <c r="CH19" i="29"/>
  <c r="BB15" i="29"/>
  <c r="BB19" i="29"/>
  <c r="BB23" i="29"/>
  <c r="BB27" i="29"/>
  <c r="BJ19" i="29"/>
  <c r="BJ23" i="29"/>
  <c r="BJ27" i="29"/>
  <c r="BJ15" i="29"/>
  <c r="AD15" i="29"/>
  <c r="AD27" i="29"/>
  <c r="AD19" i="29"/>
  <c r="AD23" i="29"/>
  <c r="BR15" i="29"/>
  <c r="BR27" i="29"/>
  <c r="BR19" i="29"/>
  <c r="BR23" i="29"/>
  <c r="CP15" i="29"/>
  <c r="CP23" i="29"/>
  <c r="CP27" i="29"/>
  <c r="CP19" i="29"/>
  <c r="AL23" i="29"/>
  <c r="AL27" i="29"/>
  <c r="AL15" i="29"/>
  <c r="AL19" i="29"/>
  <c r="AT27" i="29"/>
  <c r="AT19" i="29"/>
  <c r="AT15" i="29"/>
  <c r="AT23" i="29"/>
  <c r="CX15" i="29"/>
  <c r="CX27" i="29"/>
  <c r="CX19" i="29"/>
  <c r="CX23" i="29"/>
  <c r="BO58" i="9"/>
  <c r="BO68" i="9" s="1"/>
  <c r="BO73" i="9"/>
  <c r="BO83" i="9" s="1"/>
  <c r="BO43" i="9"/>
  <c r="BO53" i="9" s="1"/>
  <c r="BO28" i="9"/>
  <c r="BO38" i="9" s="1"/>
  <c r="CE73" i="9"/>
  <c r="CE83" i="9" s="1"/>
  <c r="CE28" i="9"/>
  <c r="CE38" i="9" s="1"/>
  <c r="CE43" i="9"/>
  <c r="CE53" i="9" s="1"/>
  <c r="CE58" i="9"/>
  <c r="CE68" i="9" s="1"/>
  <c r="K58" i="9"/>
  <c r="K68" i="9" s="1"/>
  <c r="K28" i="9"/>
  <c r="K38" i="9" s="1"/>
  <c r="K43" i="9"/>
  <c r="K53" i="9" s="1"/>
  <c r="K73" i="9"/>
  <c r="K83" i="9" s="1"/>
  <c r="AY28" i="9"/>
  <c r="AY38" i="9" s="1"/>
  <c r="AY58" i="9"/>
  <c r="AY68" i="9" s="1"/>
  <c r="AY73" i="9"/>
  <c r="AY83" i="9" s="1"/>
  <c r="AY43" i="9"/>
  <c r="AY53" i="9" s="1"/>
  <c r="BG43" i="9"/>
  <c r="BG53" i="9" s="1"/>
  <c r="BG58" i="9"/>
  <c r="BG68" i="9" s="1"/>
  <c r="BG73" i="9"/>
  <c r="BG83" i="9" s="1"/>
  <c r="BG28" i="9"/>
  <c r="BG38" i="9" s="1"/>
  <c r="AA28" i="9"/>
  <c r="AA38" i="9" s="1"/>
  <c r="AA43" i="9"/>
  <c r="AA53" i="9" s="1"/>
  <c r="AA73" i="9"/>
  <c r="AA83" i="9" s="1"/>
  <c r="AA58" i="9"/>
  <c r="AA68" i="9" s="1"/>
  <c r="DC43" i="9"/>
  <c r="DC53" i="9" s="1"/>
  <c r="DC73" i="9"/>
  <c r="DC83" i="9" s="1"/>
  <c r="DC58" i="9"/>
  <c r="DC68" i="9" s="1"/>
  <c r="DC28" i="9"/>
  <c r="DC38" i="9" s="1"/>
  <c r="CU73" i="9"/>
  <c r="CU83" i="9" s="1"/>
  <c r="CU28" i="9"/>
  <c r="CU38" i="9" s="1"/>
  <c r="CU43" i="9"/>
  <c r="CU53" i="9" s="1"/>
  <c r="CU58" i="9"/>
  <c r="CU68" i="9" s="1"/>
  <c r="S28" i="9"/>
  <c r="S38" i="9" s="1"/>
  <c r="S58" i="9"/>
  <c r="S68" i="9" s="1"/>
  <c r="S73" i="9"/>
  <c r="S83" i="9" s="1"/>
  <c r="S43" i="9"/>
  <c r="S53" i="9" s="1"/>
  <c r="BW28" i="9"/>
  <c r="BW38" i="9" s="1"/>
  <c r="BW43" i="9"/>
  <c r="BW53" i="9" s="1"/>
  <c r="BW58" i="9"/>
  <c r="BW68" i="9" s="1"/>
  <c r="BW73" i="9"/>
  <c r="BW83" i="9" s="1"/>
  <c r="AQ58" i="9"/>
  <c r="AQ68" i="9" s="1"/>
  <c r="AQ43" i="9"/>
  <c r="AQ53" i="9" s="1"/>
  <c r="AQ73" i="9"/>
  <c r="AQ83" i="9" s="1"/>
  <c r="AQ28" i="9"/>
  <c r="AQ38" i="9" s="1"/>
  <c r="AI28" i="9"/>
  <c r="AI38" i="9" s="1"/>
  <c r="AI73" i="9"/>
  <c r="AI83" i="9" s="1"/>
  <c r="AI43" i="9"/>
  <c r="AI53" i="9" s="1"/>
  <c r="AI58" i="9"/>
  <c r="AI68" i="9" s="1"/>
  <c r="CM73" i="9"/>
  <c r="CM83" i="9" s="1"/>
  <c r="CM28" i="9"/>
  <c r="CM38" i="9" s="1"/>
  <c r="CM58" i="9"/>
  <c r="CM68" i="9" s="1"/>
  <c r="CM43" i="9"/>
  <c r="CM53" i="9" s="1"/>
  <c r="F9" i="11"/>
  <c r="M82" i="3"/>
  <c r="CW7" i="29" l="1"/>
  <c r="AK7" i="29"/>
  <c r="BI7" i="29"/>
  <c r="CG7" i="29"/>
  <c r="U7" i="29"/>
  <c r="E7" i="29"/>
  <c r="DE7" i="29"/>
  <c r="AS7" i="29"/>
  <c r="CO7" i="29"/>
  <c r="BQ7" i="29"/>
  <c r="AC7" i="29"/>
  <c r="BA7" i="29"/>
  <c r="BY7" i="29"/>
  <c r="M7" i="29"/>
  <c r="BY7" i="9"/>
  <c r="U7" i="9"/>
  <c r="CO7" i="9"/>
  <c r="CW7" i="9"/>
  <c r="DE7" i="9"/>
  <c r="BI7" i="9"/>
  <c r="BQ7" i="9"/>
  <c r="CG7" i="9"/>
  <c r="AS7" i="9"/>
  <c r="AS8" i="9" s="1"/>
  <c r="AC7" i="9"/>
  <c r="BA7" i="9"/>
  <c r="BA8" i="9" s="1"/>
  <c r="L66" i="3"/>
  <c r="L86" i="3"/>
  <c r="L48" i="3"/>
  <c r="L67" i="3"/>
  <c r="L46" i="3"/>
  <c r="L88" i="3"/>
  <c r="L49" i="3"/>
  <c r="L68" i="3"/>
  <c r="L87" i="3"/>
  <c r="L47" i="3"/>
  <c r="AI84" i="9"/>
  <c r="AI196" i="9"/>
  <c r="AI135" i="9"/>
  <c r="AI145" i="9" s="1"/>
  <c r="C72" i="20" s="1"/>
  <c r="BW54" i="9"/>
  <c r="BW107" i="9"/>
  <c r="BW117" i="9" s="1"/>
  <c r="C39" i="20" s="1"/>
  <c r="BW168" i="9"/>
  <c r="CU54" i="9"/>
  <c r="CU168" i="9"/>
  <c r="CU107" i="9"/>
  <c r="CU117" i="9" s="1"/>
  <c r="C42" i="20" s="1"/>
  <c r="AA69" i="9"/>
  <c r="AA182" i="9"/>
  <c r="AA121" i="9"/>
  <c r="AY54" i="9"/>
  <c r="AY168" i="9"/>
  <c r="AY107" i="9"/>
  <c r="AY117" i="9" s="1"/>
  <c r="C36" i="20" s="1"/>
  <c r="CE69" i="9"/>
  <c r="CE182" i="9"/>
  <c r="CE121" i="9"/>
  <c r="CE131" i="9" s="1"/>
  <c r="C59" i="20" s="1"/>
  <c r="AI39" i="9"/>
  <c r="AI154" i="9"/>
  <c r="AI93" i="9"/>
  <c r="AI103" i="9" s="1"/>
  <c r="C15" i="20" s="1"/>
  <c r="CU39" i="9"/>
  <c r="CU154" i="9"/>
  <c r="CU93" i="9"/>
  <c r="CU103" i="9" s="1"/>
  <c r="C23" i="20" s="1"/>
  <c r="AY84" i="9"/>
  <c r="AY196" i="9"/>
  <c r="AY135" i="9"/>
  <c r="AY145" i="9" s="1"/>
  <c r="C74" i="20" s="1"/>
  <c r="CM69" i="9"/>
  <c r="CM182" i="9"/>
  <c r="CM121" i="9"/>
  <c r="CM131" i="9" s="1"/>
  <c r="C60" i="20" s="1"/>
  <c r="CU84" i="9"/>
  <c r="CU135" i="9"/>
  <c r="CU145" i="9" s="1"/>
  <c r="C80" i="20" s="1"/>
  <c r="CU196" i="9"/>
  <c r="CE39" i="9"/>
  <c r="CE154" i="9"/>
  <c r="CE93" i="9"/>
  <c r="CE103" i="9" s="1"/>
  <c r="C21" i="20" s="1"/>
  <c r="AQ84" i="9"/>
  <c r="AQ135" i="9"/>
  <c r="AQ145" i="9" s="1"/>
  <c r="C73" i="20" s="1"/>
  <c r="AQ196" i="9"/>
  <c r="DC39" i="9"/>
  <c r="DC154" i="9"/>
  <c r="DC93" i="9"/>
  <c r="DC103" i="9" s="1"/>
  <c r="C24" i="20" s="1"/>
  <c r="AY39" i="9"/>
  <c r="AY154" i="9"/>
  <c r="AY93" i="9"/>
  <c r="AY103" i="9" s="1"/>
  <c r="C17" i="20" s="1"/>
  <c r="CM84" i="9"/>
  <c r="CM196" i="9"/>
  <c r="CM135" i="9"/>
  <c r="CM145" i="9" s="1"/>
  <c r="C79" i="20" s="1"/>
  <c r="AQ54" i="9"/>
  <c r="AQ107" i="9"/>
  <c r="AQ117" i="9" s="1"/>
  <c r="C35" i="20" s="1"/>
  <c r="AQ168" i="9"/>
  <c r="S84" i="9"/>
  <c r="S135" i="9"/>
  <c r="S196" i="9"/>
  <c r="BG39" i="9"/>
  <c r="BG93" i="9"/>
  <c r="BG103" i="9" s="1"/>
  <c r="C18" i="20" s="1"/>
  <c r="BG154" i="9"/>
  <c r="K84" i="9"/>
  <c r="K135" i="9"/>
  <c r="K196" i="9"/>
  <c r="BO39" i="9"/>
  <c r="BO154" i="9"/>
  <c r="BO93" i="9"/>
  <c r="BO103" i="9" s="1"/>
  <c r="C19" i="20" s="1"/>
  <c r="S69" i="9"/>
  <c r="S182" i="9"/>
  <c r="S121" i="9"/>
  <c r="BG84" i="9"/>
  <c r="BG135" i="9"/>
  <c r="BG145" i="9" s="1"/>
  <c r="C75" i="20" s="1"/>
  <c r="BG196" i="9"/>
  <c r="K54" i="9"/>
  <c r="K168" i="9"/>
  <c r="K107" i="9"/>
  <c r="BO54" i="9"/>
  <c r="BO168" i="9"/>
  <c r="BO107" i="9"/>
  <c r="BO117" i="9" s="1"/>
  <c r="C38" i="20" s="1"/>
  <c r="BW39" i="9"/>
  <c r="BW93" i="9"/>
  <c r="BW103" i="9" s="1"/>
  <c r="C20" i="20" s="1"/>
  <c r="BW154" i="9"/>
  <c r="AA84" i="9"/>
  <c r="AA135" i="9"/>
  <c r="AA196" i="9"/>
  <c r="CE54" i="9"/>
  <c r="CE107" i="9"/>
  <c r="CE117" i="9" s="1"/>
  <c r="C40" i="20" s="1"/>
  <c r="CE168" i="9"/>
  <c r="AQ39" i="9"/>
  <c r="AQ93" i="9"/>
  <c r="AQ103" i="9" s="1"/>
  <c r="C16" i="20" s="1"/>
  <c r="AQ154" i="9"/>
  <c r="AA54" i="9"/>
  <c r="AA107" i="9"/>
  <c r="AA168" i="9"/>
  <c r="CE84" i="9"/>
  <c r="CE196" i="9"/>
  <c r="CE135" i="9"/>
  <c r="CE145" i="9" s="1"/>
  <c r="C78" i="20" s="1"/>
  <c r="AQ69" i="9"/>
  <c r="AQ182" i="9"/>
  <c r="AQ121" i="9"/>
  <c r="AQ131" i="9" s="1"/>
  <c r="C54" i="20" s="1"/>
  <c r="DC84" i="9"/>
  <c r="DC135" i="9"/>
  <c r="DC145" i="9" s="1"/>
  <c r="C81" i="20" s="1"/>
  <c r="DC196" i="9"/>
  <c r="AI69" i="9"/>
  <c r="AI182" i="9"/>
  <c r="AI121" i="9"/>
  <c r="AI131" i="9" s="1"/>
  <c r="C53" i="20" s="1"/>
  <c r="BW84" i="9"/>
  <c r="BW135" i="9"/>
  <c r="BW145" i="9" s="1"/>
  <c r="C77" i="20" s="1"/>
  <c r="BW196" i="9"/>
  <c r="S39" i="9"/>
  <c r="S93" i="9"/>
  <c r="S154" i="9"/>
  <c r="DC54" i="9"/>
  <c r="DC107" i="9"/>
  <c r="DC117" i="9" s="1"/>
  <c r="C43" i="20" s="1"/>
  <c r="DC168" i="9"/>
  <c r="BG69" i="9"/>
  <c r="BG121" i="9"/>
  <c r="BG131" i="9" s="1"/>
  <c r="C56" i="20" s="1"/>
  <c r="BG182" i="9"/>
  <c r="K39" i="9"/>
  <c r="K154" i="9"/>
  <c r="K93" i="9"/>
  <c r="BO84" i="9"/>
  <c r="BO135" i="9"/>
  <c r="BO145" i="9" s="1"/>
  <c r="C76" i="20" s="1"/>
  <c r="BO196" i="9"/>
  <c r="CM54" i="9"/>
  <c r="CM168" i="9"/>
  <c r="CM107" i="9"/>
  <c r="CM117" i="9" s="1"/>
  <c r="C41" i="20" s="1"/>
  <c r="AY69" i="9"/>
  <c r="AY121" i="9"/>
  <c r="AY131" i="9" s="1"/>
  <c r="C55" i="20" s="1"/>
  <c r="AY182" i="9"/>
  <c r="CM39" i="9"/>
  <c r="CM154" i="9"/>
  <c r="CM93" i="9"/>
  <c r="CM103" i="9" s="1"/>
  <c r="C22" i="20" s="1"/>
  <c r="S54" i="9"/>
  <c r="S107" i="9"/>
  <c r="S168" i="9"/>
  <c r="AA39" i="9"/>
  <c r="AA93" i="9"/>
  <c r="AA154" i="9"/>
  <c r="DC69" i="9"/>
  <c r="DC121" i="9"/>
  <c r="DC131" i="9" s="1"/>
  <c r="C62" i="20" s="1"/>
  <c r="DC182" i="9"/>
  <c r="AI54" i="9"/>
  <c r="AI107" i="9"/>
  <c r="AI117" i="9" s="1"/>
  <c r="C34" i="20" s="1"/>
  <c r="AI168" i="9"/>
  <c r="BW69" i="9"/>
  <c r="BW182" i="9"/>
  <c r="BW121" i="9"/>
  <c r="BW131" i="9" s="1"/>
  <c r="C58" i="20" s="1"/>
  <c r="CU69" i="9"/>
  <c r="CU121" i="9"/>
  <c r="CU131" i="9" s="1"/>
  <c r="C61" i="20" s="1"/>
  <c r="CU182" i="9"/>
  <c r="BG54" i="9"/>
  <c r="BG107" i="9"/>
  <c r="BG117" i="9" s="1"/>
  <c r="C37" i="20" s="1"/>
  <c r="BG168" i="9"/>
  <c r="K69" i="9"/>
  <c r="K182" i="9"/>
  <c r="K121" i="9"/>
  <c r="BO69" i="9"/>
  <c r="BO182" i="9"/>
  <c r="BO121" i="9"/>
  <c r="BO131" i="9" s="1"/>
  <c r="C57" i="20" s="1"/>
  <c r="K51" i="3"/>
  <c r="M32" i="3"/>
  <c r="M94" i="3"/>
  <c r="M28" i="3"/>
  <c r="M72" i="3"/>
  <c r="M42" i="3"/>
  <c r="M27" i="3"/>
  <c r="M55" i="3"/>
  <c r="M74" i="3"/>
  <c r="M24" i="3"/>
  <c r="M22" i="3"/>
  <c r="M92" i="3"/>
  <c r="M52" i="3"/>
  <c r="M85" i="3"/>
  <c r="M30" i="3"/>
  <c r="M25" i="3"/>
  <c r="M26" i="3"/>
  <c r="M34" i="3"/>
  <c r="M91" i="3"/>
  <c r="M33" i="3"/>
  <c r="M29" i="3"/>
  <c r="M53" i="3"/>
  <c r="M93" i="3"/>
  <c r="M90" i="3"/>
  <c r="M71" i="3"/>
  <c r="M51" i="3"/>
  <c r="M44" i="3"/>
  <c r="M63" i="3"/>
  <c r="M23" i="3"/>
  <c r="M35" i="3"/>
  <c r="M62" i="3"/>
  <c r="M50" i="3"/>
  <c r="M31" i="3"/>
  <c r="M43" i="3"/>
  <c r="M83" i="3"/>
  <c r="M65" i="3"/>
  <c r="M73" i="3"/>
  <c r="M45" i="3"/>
  <c r="M95" i="3"/>
  <c r="M75" i="3"/>
  <c r="M64" i="3"/>
  <c r="J32" i="3"/>
  <c r="M84" i="3"/>
  <c r="M69" i="3"/>
  <c r="M54" i="3"/>
  <c r="M89" i="3"/>
  <c r="M70" i="3"/>
  <c r="AC27" i="29" l="1"/>
  <c r="AC23" i="29"/>
  <c r="AC19" i="29"/>
  <c r="AC15" i="29"/>
  <c r="BI15" i="29"/>
  <c r="BI19" i="29"/>
  <c r="BI27" i="29"/>
  <c r="BI23" i="29"/>
  <c r="BA15" i="29"/>
  <c r="BA27" i="29"/>
  <c r="BA23" i="29"/>
  <c r="BA19" i="29"/>
  <c r="BQ15" i="29"/>
  <c r="BQ19" i="29"/>
  <c r="BQ27" i="29"/>
  <c r="BQ23" i="29"/>
  <c r="AK27" i="29"/>
  <c r="AK19" i="29"/>
  <c r="AK15" i="29"/>
  <c r="AK23" i="29"/>
  <c r="CO15" i="29"/>
  <c r="CO27" i="29"/>
  <c r="CO23" i="29"/>
  <c r="CO19" i="29"/>
  <c r="CW15" i="29"/>
  <c r="CW27" i="29"/>
  <c r="CW19" i="29"/>
  <c r="CW23" i="29"/>
  <c r="CG15" i="29"/>
  <c r="CG19" i="29"/>
  <c r="CG23" i="29"/>
  <c r="CG27" i="29"/>
  <c r="AS23" i="29"/>
  <c r="AS19" i="29"/>
  <c r="AS27" i="29"/>
  <c r="AS15" i="29"/>
  <c r="DE15" i="29"/>
  <c r="DE23" i="29"/>
  <c r="DE19" i="29"/>
  <c r="DE27" i="29"/>
  <c r="M15" i="29"/>
  <c r="M23" i="29"/>
  <c r="M27" i="29"/>
  <c r="M19" i="29"/>
  <c r="E27" i="29"/>
  <c r="E19" i="29"/>
  <c r="E23" i="29"/>
  <c r="E15" i="29"/>
  <c r="BY15" i="29"/>
  <c r="BY23" i="29"/>
  <c r="BY19" i="29"/>
  <c r="BY27" i="29"/>
  <c r="U15" i="29"/>
  <c r="U27" i="29"/>
  <c r="U19" i="29"/>
  <c r="U23" i="29"/>
  <c r="BA11" i="9"/>
  <c r="BA20" i="9" s="1"/>
  <c r="BB7" i="9"/>
  <c r="BB8" i="9" s="1"/>
  <c r="BB20" i="9" s="1"/>
  <c r="AS11" i="9"/>
  <c r="AS20" i="9" s="1"/>
  <c r="AT7" i="9"/>
  <c r="AT8" i="9" s="1"/>
  <c r="AT20" i="9" s="1"/>
  <c r="AK9" i="9"/>
  <c r="AK12" i="9"/>
  <c r="BQ8" i="9"/>
  <c r="CW8" i="9"/>
  <c r="BI8" i="9"/>
  <c r="DE8" i="9"/>
  <c r="AC8" i="9"/>
  <c r="CO8" i="9"/>
  <c r="U8" i="9"/>
  <c r="CG8" i="9"/>
  <c r="BY8" i="9"/>
  <c r="BO192" i="9"/>
  <c r="K57" i="20" s="1"/>
  <c r="DC206" i="9"/>
  <c r="K81" i="20" s="1"/>
  <c r="AQ178" i="9"/>
  <c r="K35" i="20" s="1"/>
  <c r="DC192" i="9"/>
  <c r="K62" i="20" s="1"/>
  <c r="BG178" i="9"/>
  <c r="K37" i="20" s="1"/>
  <c r="AA103" i="9"/>
  <c r="C14" i="20" s="1"/>
  <c r="AY192" i="9"/>
  <c r="K55" i="20" s="1"/>
  <c r="BW164" i="9"/>
  <c r="K20" i="20" s="1"/>
  <c r="BO164" i="9"/>
  <c r="K19" i="20" s="1"/>
  <c r="S206" i="9"/>
  <c r="K70" i="20" s="1"/>
  <c r="AY178" i="9"/>
  <c r="K36" i="20" s="1"/>
  <c r="BW178" i="9"/>
  <c r="K39" i="20" s="1"/>
  <c r="AI178" i="9"/>
  <c r="K34" i="20" s="1"/>
  <c r="K103" i="9"/>
  <c r="C12" i="20" s="1"/>
  <c r="AI192" i="9"/>
  <c r="K53" i="20" s="1"/>
  <c r="BG206" i="9"/>
  <c r="K75" i="20" s="1"/>
  <c r="S145" i="9"/>
  <c r="C70" i="20" s="1"/>
  <c r="CM192" i="9"/>
  <c r="K60" i="20" s="1"/>
  <c r="S178" i="9"/>
  <c r="K32" i="20" s="1"/>
  <c r="K164" i="9"/>
  <c r="K12" i="20" s="1"/>
  <c r="S164" i="9"/>
  <c r="K13" i="20" s="1"/>
  <c r="CE206" i="9"/>
  <c r="K78" i="20" s="1"/>
  <c r="CE178" i="9"/>
  <c r="K40" i="20" s="1"/>
  <c r="K206" i="9"/>
  <c r="K69" i="20" s="1"/>
  <c r="AY164" i="9"/>
  <c r="K17" i="20" s="1"/>
  <c r="AI164" i="9"/>
  <c r="K15" i="20" s="1"/>
  <c r="AA131" i="9"/>
  <c r="C52" i="20" s="1"/>
  <c r="CE164" i="9"/>
  <c r="K21" i="20" s="1"/>
  <c r="AA192" i="9"/>
  <c r="K52" i="20" s="1"/>
  <c r="AI206" i="9"/>
  <c r="K72" i="20" s="1"/>
  <c r="CU192" i="9"/>
  <c r="K61" i="20" s="1"/>
  <c r="S117" i="9"/>
  <c r="C32" i="20" s="1"/>
  <c r="S103" i="9"/>
  <c r="C13" i="20" s="1"/>
  <c r="K145" i="9"/>
  <c r="C69" i="20" s="1"/>
  <c r="CM178" i="9"/>
  <c r="K41" i="20" s="1"/>
  <c r="BG192" i="9"/>
  <c r="K56" i="20" s="1"/>
  <c r="AA178" i="9"/>
  <c r="K33" i="20" s="1"/>
  <c r="BO178" i="9"/>
  <c r="K38" i="20" s="1"/>
  <c r="S131" i="9"/>
  <c r="C51" i="20" s="1"/>
  <c r="AY206" i="9"/>
  <c r="K74" i="20" s="1"/>
  <c r="K131" i="9"/>
  <c r="C50" i="20" s="1"/>
  <c r="BW206" i="9"/>
  <c r="K77" i="20" s="1"/>
  <c r="AA117" i="9"/>
  <c r="C33" i="20" s="1"/>
  <c r="AA206" i="9"/>
  <c r="K71" i="20" s="1"/>
  <c r="S192" i="9"/>
  <c r="K51" i="20" s="1"/>
  <c r="BG164" i="9"/>
  <c r="K18" i="20" s="1"/>
  <c r="DC164" i="9"/>
  <c r="K24" i="20" s="1"/>
  <c r="CU206" i="9"/>
  <c r="K80" i="20" s="1"/>
  <c r="CE192" i="9"/>
  <c r="K59" i="20" s="1"/>
  <c r="K192" i="9"/>
  <c r="K50" i="20" s="1"/>
  <c r="CM164" i="9"/>
  <c r="K22" i="20" s="1"/>
  <c r="BO206" i="9"/>
  <c r="K76" i="20" s="1"/>
  <c r="AA145" i="9"/>
  <c r="C71" i="20" s="1"/>
  <c r="K117" i="9"/>
  <c r="C31" i="20" s="1"/>
  <c r="CU178" i="9"/>
  <c r="K42" i="20" s="1"/>
  <c r="BW192" i="9"/>
  <c r="K58" i="20" s="1"/>
  <c r="AA164" i="9"/>
  <c r="K14" i="20" s="1"/>
  <c r="DC178" i="9"/>
  <c r="K43" i="20" s="1"/>
  <c r="AQ192" i="9"/>
  <c r="K54" i="20" s="1"/>
  <c r="AQ164" i="9"/>
  <c r="K16" i="20" s="1"/>
  <c r="K178" i="9"/>
  <c r="K31" i="20" s="1"/>
  <c r="CM206" i="9"/>
  <c r="K79" i="20" s="1"/>
  <c r="AQ206" i="9"/>
  <c r="K73" i="20" s="1"/>
  <c r="CU164" i="9"/>
  <c r="K23" i="20" s="1"/>
  <c r="I89" i="24"/>
  <c r="L64" i="3"/>
  <c r="L25" i="3"/>
  <c r="L63" i="3"/>
  <c r="K72" i="3"/>
  <c r="K28" i="3"/>
  <c r="K23" i="3"/>
  <c r="K63" i="3"/>
  <c r="K71" i="3"/>
  <c r="K22" i="3"/>
  <c r="K91" i="3"/>
  <c r="K82" i="3"/>
  <c r="K73" i="3"/>
  <c r="K83" i="3"/>
  <c r="K24" i="3"/>
  <c r="K29" i="3"/>
  <c r="L31" i="3"/>
  <c r="L27" i="3"/>
  <c r="L90" i="3"/>
  <c r="K32" i="3"/>
  <c r="K31" i="3"/>
  <c r="K89" i="3"/>
  <c r="K55" i="3"/>
  <c r="L75" i="3"/>
  <c r="K44" i="3"/>
  <c r="K43" i="3"/>
  <c r="K90" i="3"/>
  <c r="L45" i="3"/>
  <c r="L85" i="3"/>
  <c r="K85" i="3"/>
  <c r="K84" i="3"/>
  <c r="K75" i="3"/>
  <c r="K34" i="3"/>
  <c r="K25" i="3"/>
  <c r="K95" i="3"/>
  <c r="L62" i="3"/>
  <c r="L93" i="3"/>
  <c r="L50" i="3"/>
  <c r="K52" i="3"/>
  <c r="L84" i="3"/>
  <c r="L71" i="3"/>
  <c r="K45" i="3"/>
  <c r="K50" i="3"/>
  <c r="K94" i="3"/>
  <c r="L51" i="3"/>
  <c r="L52" i="3"/>
  <c r="L74" i="3"/>
  <c r="L29" i="3"/>
  <c r="K26" i="3"/>
  <c r="K69" i="3"/>
  <c r="K93" i="3"/>
  <c r="K42" i="3"/>
  <c r="K27" i="3"/>
  <c r="L54" i="3"/>
  <c r="K70" i="3"/>
  <c r="K30" i="3"/>
  <c r="L32" i="3"/>
  <c r="L22" i="3"/>
  <c r="L73" i="3"/>
  <c r="K65" i="3"/>
  <c r="K35" i="3"/>
  <c r="K92" i="3"/>
  <c r="K62" i="3"/>
  <c r="L43" i="3"/>
  <c r="L72" i="3"/>
  <c r="K64" i="3"/>
  <c r="K33" i="3"/>
  <c r="K53" i="3"/>
  <c r="K54" i="3"/>
  <c r="K74" i="3"/>
  <c r="L42" i="3"/>
  <c r="L92" i="3"/>
  <c r="L95" i="3"/>
  <c r="L28" i="3"/>
  <c r="L91" i="3"/>
  <c r="L89" i="3"/>
  <c r="J25" i="3"/>
  <c r="L65" i="3"/>
  <c r="L55" i="3"/>
  <c r="L69" i="3"/>
  <c r="L35" i="3"/>
  <c r="L82" i="3"/>
  <c r="L23" i="3"/>
  <c r="J93" i="3"/>
  <c r="L70" i="3"/>
  <c r="L44" i="3"/>
  <c r="L94" i="3"/>
  <c r="L30" i="3"/>
  <c r="L83" i="3"/>
  <c r="L34" i="3"/>
  <c r="J53" i="3"/>
  <c r="L26" i="3"/>
  <c r="L53" i="3"/>
  <c r="L24" i="3"/>
  <c r="L33" i="3"/>
  <c r="J90" i="3"/>
  <c r="J31" i="3"/>
  <c r="J27" i="3"/>
  <c r="J69" i="3"/>
  <c r="J26" i="3"/>
  <c r="J92" i="3"/>
  <c r="J70" i="3"/>
  <c r="J94" i="3"/>
  <c r="J23" i="3"/>
  <c r="J55" i="3"/>
  <c r="J85" i="3"/>
  <c r="J84" i="3"/>
  <c r="J29" i="3"/>
  <c r="J82" i="3"/>
  <c r="J42" i="3"/>
  <c r="J33" i="3"/>
  <c r="J83" i="3"/>
  <c r="J71" i="3"/>
  <c r="J43" i="3"/>
  <c r="J30" i="3"/>
  <c r="J75" i="3"/>
  <c r="J50" i="3"/>
  <c r="J22" i="3"/>
  <c r="J45" i="3"/>
  <c r="J72" i="3"/>
  <c r="J73" i="3"/>
  <c r="J52" i="3"/>
  <c r="J34" i="3"/>
  <c r="J54" i="3"/>
  <c r="J95" i="3"/>
  <c r="J51" i="3"/>
  <c r="J65" i="3"/>
  <c r="J63" i="3"/>
  <c r="J62" i="3"/>
  <c r="J89" i="3"/>
  <c r="J64" i="3"/>
  <c r="J74" i="3"/>
  <c r="J28" i="3"/>
  <c r="J91" i="3"/>
  <c r="J44" i="3"/>
  <c r="J24" i="3"/>
  <c r="J35" i="3"/>
  <c r="E40" i="29" l="1"/>
  <c r="F40" i="29"/>
  <c r="BA61" i="29"/>
  <c r="BB61" i="29"/>
  <c r="BB40" i="29"/>
  <c r="BA40" i="29"/>
  <c r="BY61" i="29"/>
  <c r="BZ61" i="29"/>
  <c r="BY40" i="29"/>
  <c r="BZ40" i="29"/>
  <c r="M69" i="29"/>
  <c r="M48" i="29"/>
  <c r="N69" i="29"/>
  <c r="N48" i="29"/>
  <c r="AS69" i="29"/>
  <c r="AT48" i="29"/>
  <c r="AS48" i="29"/>
  <c r="AT69" i="29"/>
  <c r="CW61" i="29"/>
  <c r="CX40" i="29"/>
  <c r="CX61" i="29"/>
  <c r="CW40" i="29"/>
  <c r="AK36" i="29"/>
  <c r="AL36" i="29"/>
  <c r="AK57" i="29"/>
  <c r="AL57" i="29"/>
  <c r="BB44" i="29"/>
  <c r="BA65" i="29"/>
  <c r="BA44" i="29"/>
  <c r="BB65" i="29"/>
  <c r="AC61" i="29"/>
  <c r="AC40" i="29"/>
  <c r="AD40" i="29"/>
  <c r="AD61" i="29"/>
  <c r="BZ44" i="29"/>
  <c r="BY44" i="29"/>
  <c r="BY65" i="29"/>
  <c r="BZ65" i="29"/>
  <c r="M65" i="29"/>
  <c r="N65" i="29"/>
  <c r="N44" i="29"/>
  <c r="M44" i="29"/>
  <c r="AT61" i="29"/>
  <c r="AS61" i="29"/>
  <c r="AT40" i="29"/>
  <c r="AS40" i="29"/>
  <c r="CX69" i="29"/>
  <c r="CW48" i="29"/>
  <c r="CW69" i="29"/>
  <c r="CX48" i="29"/>
  <c r="AK61" i="29"/>
  <c r="AL61" i="29"/>
  <c r="AL40" i="29"/>
  <c r="AK40" i="29"/>
  <c r="BB48" i="29"/>
  <c r="BB69" i="29"/>
  <c r="BA69" i="29"/>
  <c r="BA48" i="29"/>
  <c r="AD44" i="29"/>
  <c r="AC65" i="29"/>
  <c r="AD65" i="29"/>
  <c r="AC44" i="29"/>
  <c r="BY48" i="29"/>
  <c r="BY69" i="29"/>
  <c r="BZ48" i="29"/>
  <c r="BZ69" i="29"/>
  <c r="N61" i="29"/>
  <c r="M40" i="29"/>
  <c r="N40" i="29"/>
  <c r="M61" i="29"/>
  <c r="AD57" i="29"/>
  <c r="AD36" i="29"/>
  <c r="AC36" i="29"/>
  <c r="AC57" i="29"/>
  <c r="BY36" i="29"/>
  <c r="BY57" i="29"/>
  <c r="BZ36" i="29"/>
  <c r="BZ57" i="29"/>
  <c r="N57" i="29"/>
  <c r="M36" i="29"/>
  <c r="N36" i="29"/>
  <c r="M57" i="29"/>
  <c r="AT44" i="29"/>
  <c r="AS44" i="29"/>
  <c r="AS65" i="29"/>
  <c r="AT65" i="29"/>
  <c r="CX36" i="29"/>
  <c r="CW57" i="29"/>
  <c r="CX57" i="29"/>
  <c r="CW36" i="29"/>
  <c r="AL69" i="29"/>
  <c r="AK48" i="29"/>
  <c r="AL48" i="29"/>
  <c r="AK69" i="29"/>
  <c r="BA57" i="29"/>
  <c r="BB57" i="29"/>
  <c r="BA36" i="29"/>
  <c r="BB36" i="29"/>
  <c r="AD48" i="29"/>
  <c r="AC48" i="29"/>
  <c r="AC69" i="29"/>
  <c r="AD69" i="29"/>
  <c r="AK44" i="29"/>
  <c r="AK65" i="29"/>
  <c r="AL44" i="29"/>
  <c r="AL65" i="29"/>
  <c r="V44" i="29"/>
  <c r="U65" i="29"/>
  <c r="V65" i="29"/>
  <c r="U44" i="29"/>
  <c r="F57" i="29"/>
  <c r="E57" i="29"/>
  <c r="E36" i="29"/>
  <c r="F36" i="29"/>
  <c r="DE48" i="29"/>
  <c r="DF48" i="29"/>
  <c r="DE69" i="29"/>
  <c r="DF69" i="29"/>
  <c r="CH69" i="29"/>
  <c r="CH48" i="29"/>
  <c r="CG48" i="29"/>
  <c r="CG69" i="29"/>
  <c r="CO40" i="29"/>
  <c r="CP61" i="29"/>
  <c r="CO61" i="29"/>
  <c r="CP40" i="29"/>
  <c r="BR44" i="29"/>
  <c r="BQ65" i="29"/>
  <c r="BQ44" i="29"/>
  <c r="BR65" i="29"/>
  <c r="BI65" i="29"/>
  <c r="BJ65" i="29"/>
  <c r="BJ44" i="29"/>
  <c r="BI44" i="29"/>
  <c r="U40" i="29"/>
  <c r="V61" i="29"/>
  <c r="V40" i="29"/>
  <c r="U61" i="29"/>
  <c r="E65" i="29"/>
  <c r="F65" i="29"/>
  <c r="E44" i="29"/>
  <c r="F44" i="29"/>
  <c r="DF40" i="29"/>
  <c r="DE61" i="29"/>
  <c r="DE40" i="29"/>
  <c r="DF61" i="29"/>
  <c r="CG65" i="29"/>
  <c r="CH65" i="29"/>
  <c r="CH44" i="29"/>
  <c r="CG44" i="29"/>
  <c r="CP44" i="29"/>
  <c r="CP65" i="29"/>
  <c r="CO65" i="29"/>
  <c r="CO44" i="29"/>
  <c r="BR48" i="29"/>
  <c r="BQ48" i="29"/>
  <c r="BQ69" i="29"/>
  <c r="BR69" i="29"/>
  <c r="BI48" i="29"/>
  <c r="BI69" i="29"/>
  <c r="BJ69" i="29"/>
  <c r="BJ48" i="29"/>
  <c r="AT57" i="29"/>
  <c r="AS36" i="29"/>
  <c r="AT36" i="29"/>
  <c r="AS57" i="29"/>
  <c r="V48" i="29"/>
  <c r="V69" i="29"/>
  <c r="U48" i="29"/>
  <c r="U69" i="29"/>
  <c r="E61" i="29"/>
  <c r="F61" i="29"/>
  <c r="DE44" i="29"/>
  <c r="DF44" i="29"/>
  <c r="DE65" i="29"/>
  <c r="DF65" i="29"/>
  <c r="CG61" i="29"/>
  <c r="CH40" i="29"/>
  <c r="CG40" i="29"/>
  <c r="CH61" i="29"/>
  <c r="CO69" i="29"/>
  <c r="CP48" i="29"/>
  <c r="CO48" i="29"/>
  <c r="CP69" i="29"/>
  <c r="BQ61" i="29"/>
  <c r="BQ40" i="29"/>
  <c r="BR61" i="29"/>
  <c r="BR40" i="29"/>
  <c r="BJ61" i="29"/>
  <c r="BJ40" i="29"/>
  <c r="BI40" i="29"/>
  <c r="BI61" i="29"/>
  <c r="CX65" i="29"/>
  <c r="CW44" i="29"/>
  <c r="CW65" i="29"/>
  <c r="CX44" i="29"/>
  <c r="U36" i="29"/>
  <c r="V36" i="29"/>
  <c r="V57" i="29"/>
  <c r="U57" i="29"/>
  <c r="F69" i="29"/>
  <c r="E69" i="29"/>
  <c r="F48" i="29"/>
  <c r="E48" i="29"/>
  <c r="DF36" i="29"/>
  <c r="DE57" i="29"/>
  <c r="DF57" i="29"/>
  <c r="DE36" i="29"/>
  <c r="CG57" i="29"/>
  <c r="CH57" i="29"/>
  <c r="CG36" i="29"/>
  <c r="CH36" i="29"/>
  <c r="CO36" i="29"/>
  <c r="CO57" i="29"/>
  <c r="CP57" i="29"/>
  <c r="CP36" i="29"/>
  <c r="BQ57" i="29"/>
  <c r="BQ36" i="29"/>
  <c r="BR36" i="29"/>
  <c r="BR57" i="29"/>
  <c r="BI57" i="29"/>
  <c r="BJ57" i="29"/>
  <c r="BJ36" i="29"/>
  <c r="BI36" i="29"/>
  <c r="BY11" i="9"/>
  <c r="BY20" i="9" s="1"/>
  <c r="BZ7" i="9"/>
  <c r="BZ8" i="9" s="1"/>
  <c r="BZ20" i="9" s="1"/>
  <c r="CW11" i="9"/>
  <c r="CW20" i="9" s="1"/>
  <c r="CX7" i="9"/>
  <c r="CX8" i="9" s="1"/>
  <c r="CX20" i="9" s="1"/>
  <c r="CG11" i="9"/>
  <c r="CG20" i="9" s="1"/>
  <c r="CH7" i="9"/>
  <c r="CH8" i="9" s="1"/>
  <c r="CH20" i="9" s="1"/>
  <c r="BQ11" i="9"/>
  <c r="BQ20" i="9" s="1"/>
  <c r="BR7" i="9"/>
  <c r="BR8" i="9" s="1"/>
  <c r="BR20" i="9" s="1"/>
  <c r="U11" i="9"/>
  <c r="U20" i="9" s="1"/>
  <c r="V7" i="9"/>
  <c r="V8" i="9" s="1"/>
  <c r="V20" i="9" s="1"/>
  <c r="CO11" i="9"/>
  <c r="CO20" i="9" s="1"/>
  <c r="CP7" i="9"/>
  <c r="CP8" i="9" s="1"/>
  <c r="CP20" i="9" s="1"/>
  <c r="AC11" i="9"/>
  <c r="AC20" i="9" s="1"/>
  <c r="AD7" i="9"/>
  <c r="AD8" i="9" s="1"/>
  <c r="AD20" i="9" s="1"/>
  <c r="DE11" i="9"/>
  <c r="DE20" i="9" s="1"/>
  <c r="DF7" i="9"/>
  <c r="DF8" i="9" s="1"/>
  <c r="DF20" i="9" s="1"/>
  <c r="BI11" i="9"/>
  <c r="BI20" i="9" s="1"/>
  <c r="BJ7" i="9"/>
  <c r="BJ8" i="9" s="1"/>
  <c r="BJ20" i="9" s="1"/>
  <c r="H9" i="11"/>
  <c r="C28" i="9"/>
  <c r="C73" i="9"/>
  <c r="C135" i="9" s="1"/>
  <c r="C43" i="9"/>
  <c r="C107" i="9" s="1"/>
  <c r="C58" i="9"/>
  <c r="BC7" i="29" l="1"/>
  <c r="CA7" i="29"/>
  <c r="O7" i="29"/>
  <c r="CY7" i="29"/>
  <c r="AM7" i="29"/>
  <c r="BK7" i="29"/>
  <c r="AU7" i="29"/>
  <c r="CI7" i="29"/>
  <c r="W7" i="29"/>
  <c r="G7" i="29"/>
  <c r="DG7" i="29"/>
  <c r="BS7" i="29"/>
  <c r="CQ7" i="29"/>
  <c r="AE7" i="29"/>
  <c r="N64" i="3"/>
  <c r="BK7" i="9"/>
  <c r="CI7" i="9"/>
  <c r="AE7" i="9"/>
  <c r="W7" i="9"/>
  <c r="CY7" i="9"/>
  <c r="DG7" i="9"/>
  <c r="AU7" i="9"/>
  <c r="CQ7" i="9"/>
  <c r="CA7" i="9"/>
  <c r="BS7" i="9"/>
  <c r="BC7" i="9"/>
  <c r="N29" i="3"/>
  <c r="N22" i="3"/>
  <c r="N50" i="3"/>
  <c r="N49" i="3"/>
  <c r="N53" i="3"/>
  <c r="N85" i="3"/>
  <c r="N95" i="3"/>
  <c r="N30" i="3"/>
  <c r="N74" i="3"/>
  <c r="N69" i="3"/>
  <c r="N86" i="3"/>
  <c r="N33" i="3"/>
  <c r="N31" i="3"/>
  <c r="N67" i="3"/>
  <c r="N94" i="3"/>
  <c r="N24" i="3"/>
  <c r="N51" i="3"/>
  <c r="N88" i="3"/>
  <c r="N72" i="3"/>
  <c r="N63" i="3"/>
  <c r="N35" i="3"/>
  <c r="N90" i="3"/>
  <c r="N34" i="3"/>
  <c r="N46" i="3"/>
  <c r="N92" i="3"/>
  <c r="N45" i="3"/>
  <c r="N73" i="3"/>
  <c r="N43" i="3"/>
  <c r="N54" i="3"/>
  <c r="N83" i="3"/>
  <c r="N32" i="3"/>
  <c r="N75" i="3"/>
  <c r="N26" i="3"/>
  <c r="N70" i="3"/>
  <c r="N82" i="3"/>
  <c r="K9" i="11"/>
  <c r="N87" i="3"/>
  <c r="N28" i="3"/>
  <c r="N93" i="3"/>
  <c r="N23" i="3"/>
  <c r="N91" i="3"/>
  <c r="N68" i="3"/>
  <c r="N55" i="3"/>
  <c r="N89" i="3"/>
  <c r="N48" i="3"/>
  <c r="N42" i="3"/>
  <c r="N44" i="3"/>
  <c r="N71" i="3"/>
  <c r="N27" i="3"/>
  <c r="N52" i="3"/>
  <c r="N66" i="3"/>
  <c r="N47" i="3"/>
  <c r="N84" i="3"/>
  <c r="N65" i="3"/>
  <c r="N25" i="3"/>
  <c r="N62" i="3"/>
  <c r="C69" i="9"/>
  <c r="C68" i="9"/>
  <c r="C54" i="9"/>
  <c r="C53" i="9"/>
  <c r="C84" i="9"/>
  <c r="C83" i="9"/>
  <c r="C39" i="9"/>
  <c r="C38" i="9"/>
  <c r="C182" i="9"/>
  <c r="C121" i="9"/>
  <c r="C131" i="9" s="1"/>
  <c r="C49" i="20" s="1"/>
  <c r="C168" i="9"/>
  <c r="C117" i="9"/>
  <c r="C30" i="20" s="1"/>
  <c r="C196" i="9"/>
  <c r="C145" i="9"/>
  <c r="C68" i="20" s="1"/>
  <c r="C93" i="9"/>
  <c r="C103" i="9" s="1"/>
  <c r="C11" i="20" s="1"/>
  <c r="C154" i="9"/>
  <c r="CI15" i="29" l="1"/>
  <c r="CI27" i="29"/>
  <c r="CI23" i="29"/>
  <c r="CI19" i="29"/>
  <c r="AU19" i="29"/>
  <c r="AU27" i="29"/>
  <c r="AU23" i="29"/>
  <c r="AU15" i="29"/>
  <c r="AE15" i="29"/>
  <c r="AE23" i="29"/>
  <c r="AE27" i="29"/>
  <c r="AE19" i="29"/>
  <c r="CQ15" i="29"/>
  <c r="CQ27" i="29"/>
  <c r="CQ23" i="29"/>
  <c r="CQ19" i="29"/>
  <c r="AM15" i="29"/>
  <c r="AM19" i="29"/>
  <c r="AM23" i="29"/>
  <c r="AM27" i="29"/>
  <c r="BS27" i="29"/>
  <c r="BS15" i="29"/>
  <c r="BS23" i="29"/>
  <c r="BS19" i="29"/>
  <c r="CY19" i="29"/>
  <c r="CY15" i="29"/>
  <c r="CY23" i="29"/>
  <c r="CY27" i="29"/>
  <c r="BK15" i="29"/>
  <c r="BK19" i="29"/>
  <c r="BK27" i="29"/>
  <c r="BK23" i="29"/>
  <c r="DG19" i="29"/>
  <c r="DG15" i="29"/>
  <c r="DG23" i="29"/>
  <c r="DG27" i="29"/>
  <c r="O19" i="29"/>
  <c r="O27" i="29"/>
  <c r="O23" i="29"/>
  <c r="O15" i="29"/>
  <c r="G15" i="29"/>
  <c r="G23" i="29"/>
  <c r="G19" i="29"/>
  <c r="G40" i="29" s="1"/>
  <c r="G27" i="29"/>
  <c r="CA27" i="29"/>
  <c r="CA23" i="29"/>
  <c r="CA15" i="29"/>
  <c r="CA19" i="29"/>
  <c r="W15" i="29"/>
  <c r="W19" i="29"/>
  <c r="W27" i="29"/>
  <c r="W23" i="29"/>
  <c r="BC15" i="29"/>
  <c r="BC27" i="29"/>
  <c r="BC19" i="29"/>
  <c r="BC23" i="29"/>
  <c r="C164" i="9"/>
  <c r="C206" i="9"/>
  <c r="C178" i="9"/>
  <c r="C192" i="9"/>
  <c r="C25" i="20"/>
  <c r="D22" i="11" s="1"/>
  <c r="C63" i="20"/>
  <c r="C44" i="20"/>
  <c r="C82" i="20"/>
  <c r="D74" i="11" s="1"/>
  <c r="K49" i="20" l="1"/>
  <c r="K63" i="20" s="1"/>
  <c r="D58" i="11" s="1"/>
  <c r="K30" i="20"/>
  <c r="K44" i="20" s="1"/>
  <c r="D32" i="11" s="1"/>
  <c r="AM5" i="28" s="1"/>
  <c r="K68" i="20"/>
  <c r="K82" i="20" s="1"/>
  <c r="D83" i="11" s="1"/>
  <c r="K11" i="20"/>
  <c r="K25" i="20" s="1"/>
  <c r="BC65" i="29"/>
  <c r="BC44" i="29"/>
  <c r="CA61" i="29"/>
  <c r="CA40" i="29"/>
  <c r="BK65" i="29"/>
  <c r="BK44" i="29"/>
  <c r="BS40" i="29"/>
  <c r="BS61" i="29"/>
  <c r="CQ61" i="29"/>
  <c r="CQ40" i="29"/>
  <c r="AU57" i="29"/>
  <c r="AU36" i="29"/>
  <c r="BC40" i="29"/>
  <c r="BC61" i="29"/>
  <c r="CA36" i="29"/>
  <c r="CA57" i="29"/>
  <c r="O65" i="29"/>
  <c r="O44" i="29"/>
  <c r="BK69" i="29"/>
  <c r="BK48" i="29"/>
  <c r="BS44" i="29"/>
  <c r="BS65" i="29"/>
  <c r="CQ44" i="29"/>
  <c r="CQ65" i="29"/>
  <c r="AU65" i="29"/>
  <c r="AU44" i="29"/>
  <c r="AU48" i="29"/>
  <c r="AU69" i="29"/>
  <c r="BC48" i="29"/>
  <c r="BC69" i="29"/>
  <c r="O48" i="29"/>
  <c r="O69" i="29"/>
  <c r="BK61" i="29"/>
  <c r="BK40" i="29"/>
  <c r="BS57" i="29"/>
  <c r="BS36" i="29"/>
  <c r="CQ48" i="29"/>
  <c r="CQ69" i="29"/>
  <c r="BC36" i="29"/>
  <c r="BC57" i="29"/>
  <c r="CA69" i="29"/>
  <c r="CA48" i="29"/>
  <c r="O61" i="29"/>
  <c r="O40" i="29"/>
  <c r="BK36" i="29"/>
  <c r="BK57" i="29"/>
  <c r="BS48" i="29"/>
  <c r="BS69" i="29"/>
  <c r="CQ36" i="29"/>
  <c r="CQ57" i="29"/>
  <c r="AU40" i="29"/>
  <c r="AU61" i="29"/>
  <c r="O36" i="29"/>
  <c r="O57" i="29"/>
  <c r="W44" i="29"/>
  <c r="W65" i="29"/>
  <c r="G69" i="29"/>
  <c r="G48" i="29"/>
  <c r="DG48" i="29"/>
  <c r="DG69" i="29"/>
  <c r="CY69" i="29"/>
  <c r="CY48" i="29"/>
  <c r="AM69" i="29"/>
  <c r="AM48" i="29"/>
  <c r="AE40" i="29"/>
  <c r="AE61" i="29"/>
  <c r="CI40" i="29"/>
  <c r="CI61" i="29"/>
  <c r="CA44" i="29"/>
  <c r="CA65" i="29"/>
  <c r="W48" i="29"/>
  <c r="W69" i="29"/>
  <c r="G61" i="29"/>
  <c r="DG65" i="29"/>
  <c r="DG44" i="29"/>
  <c r="CY44" i="29"/>
  <c r="CY65" i="29"/>
  <c r="AM44" i="29"/>
  <c r="AM65" i="29"/>
  <c r="AE48" i="29"/>
  <c r="AE69" i="29"/>
  <c r="CI44" i="29"/>
  <c r="CI65" i="29"/>
  <c r="W40" i="29"/>
  <c r="W61" i="29"/>
  <c r="G65" i="29"/>
  <c r="G44" i="29"/>
  <c r="DG57" i="29"/>
  <c r="DG36" i="29"/>
  <c r="CY36" i="29"/>
  <c r="CY57" i="29"/>
  <c r="AM61" i="29"/>
  <c r="AM40" i="29"/>
  <c r="AE44" i="29"/>
  <c r="AE65" i="29"/>
  <c r="CI69" i="29"/>
  <c r="CI48" i="29"/>
  <c r="W57" i="29"/>
  <c r="W36" i="29"/>
  <c r="G36" i="29"/>
  <c r="G57" i="29"/>
  <c r="DG40" i="29"/>
  <c r="DG61" i="29"/>
  <c r="CY40" i="29"/>
  <c r="CY61" i="29"/>
  <c r="AM36" i="29"/>
  <c r="AM57" i="29"/>
  <c r="AE36" i="29"/>
  <c r="AE57" i="29"/>
  <c r="CI57" i="29"/>
  <c r="CI36" i="29"/>
  <c r="D48" i="11"/>
  <c r="D73" i="11"/>
  <c r="D75" i="11" s="1"/>
  <c r="C5" i="28"/>
  <c r="D23" i="11"/>
  <c r="J5" i="28" s="1"/>
  <c r="D49" i="11"/>
  <c r="D31" i="11" l="1"/>
  <c r="AF5" i="28" s="1"/>
  <c r="AT5" i="28" s="1"/>
  <c r="D82" i="11"/>
  <c r="D84" i="11" s="1"/>
  <c r="D57" i="11"/>
  <c r="D59" i="11" s="1"/>
  <c r="D24" i="11"/>
  <c r="D50" i="11"/>
  <c r="D33" i="11" l="1"/>
  <c r="Q5" i="28"/>
  <c r="AW55" i="26" l="1"/>
  <c r="AT55" i="26"/>
  <c r="AS55" i="26"/>
  <c r="AR55" i="26"/>
  <c r="AQ55" i="26"/>
  <c r="AP55" i="26"/>
  <c r="AO55" i="26"/>
  <c r="AN55" i="26"/>
  <c r="AM55" i="26"/>
  <c r="AL55" i="26"/>
  <c r="AV55" i="26"/>
  <c r="AU55" i="26"/>
  <c r="AK55" i="26"/>
  <c r="AX55" i="26"/>
  <c r="AT47" i="26"/>
  <c r="AS47" i="26"/>
  <c r="AR47" i="26"/>
  <c r="AQ47" i="26"/>
  <c r="AV47" i="26"/>
  <c r="AP47" i="26"/>
  <c r="AO47" i="26"/>
  <c r="AU47" i="26"/>
  <c r="AN47" i="26"/>
  <c r="AW47" i="26"/>
  <c r="AM47" i="26"/>
  <c r="AL47" i="26"/>
  <c r="AX47" i="26"/>
  <c r="AK47" i="26"/>
  <c r="AT39" i="26"/>
  <c r="AS39" i="26"/>
  <c r="AR39" i="26"/>
  <c r="AP39" i="26"/>
  <c r="AN39" i="26"/>
  <c r="AM39" i="26"/>
  <c r="AQ39" i="26"/>
  <c r="AO39" i="26"/>
  <c r="AL39" i="26"/>
  <c r="AK39" i="26"/>
  <c r="AX39" i="26"/>
  <c r="AW39" i="26"/>
  <c r="AV39" i="26"/>
  <c r="AU39" i="26"/>
  <c r="AN38" i="26"/>
  <c r="AK38" i="26"/>
  <c r="AR38" i="26"/>
  <c r="AL38" i="26"/>
  <c r="AQ38" i="26"/>
  <c r="AP38" i="26"/>
  <c r="AO38" i="26"/>
  <c r="AM38" i="26"/>
  <c r="AX38" i="26"/>
  <c r="AW38" i="26"/>
  <c r="AV38" i="26"/>
  <c r="AU38" i="26"/>
  <c r="AT38" i="26"/>
  <c r="AS38" i="26"/>
  <c r="AR31" i="26"/>
  <c r="AP31" i="26"/>
  <c r="AT31" i="26"/>
  <c r="AN31" i="26"/>
  <c r="AM31" i="26"/>
  <c r="AS31" i="26"/>
  <c r="AQ31" i="26"/>
  <c r="AO31" i="26"/>
  <c r="AL31" i="26"/>
  <c r="AK31" i="26"/>
  <c r="AX31" i="26"/>
  <c r="AW31" i="26"/>
  <c r="AV31" i="26"/>
  <c r="AU31" i="26"/>
  <c r="AR30" i="26"/>
  <c r="AQ30" i="26"/>
  <c r="AP30" i="26"/>
  <c r="AN30" i="26"/>
  <c r="AL30" i="26"/>
  <c r="AK30" i="26"/>
  <c r="AO30" i="26"/>
  <c r="AM30" i="26"/>
  <c r="AX30" i="26"/>
  <c r="AW30" i="26"/>
  <c r="AV30" i="26"/>
  <c r="AU30" i="26"/>
  <c r="AT30" i="26"/>
  <c r="AS30" i="26"/>
  <c r="AL29" i="26"/>
  <c r="AP29" i="26"/>
  <c r="AO29" i="26"/>
  <c r="AN29" i="26"/>
  <c r="AM29" i="26"/>
  <c r="AK29" i="26"/>
  <c r="AX29" i="26"/>
  <c r="AW29" i="26"/>
  <c r="AV29" i="26"/>
  <c r="AU29" i="26"/>
  <c r="AT29" i="26"/>
  <c r="AS29" i="26"/>
  <c r="AR29" i="26"/>
  <c r="AQ29" i="26"/>
  <c r="AX28" i="26"/>
  <c r="AN28" i="26"/>
  <c r="AM28" i="26"/>
  <c r="AL28" i="26"/>
  <c r="AW28" i="26"/>
  <c r="AK28" i="26"/>
  <c r="AV28" i="26"/>
  <c r="AU28" i="26"/>
  <c r="AT28" i="26"/>
  <c r="AS28" i="26"/>
  <c r="AR28" i="26"/>
  <c r="AQ28" i="26"/>
  <c r="AP28" i="26"/>
  <c r="AO28" i="26"/>
  <c r="AT23" i="26"/>
  <c r="AS23" i="26"/>
  <c r="AR23" i="26"/>
  <c r="AN23" i="26"/>
  <c r="AQ23" i="26"/>
  <c r="AP23" i="26"/>
  <c r="AO23" i="26"/>
  <c r="AM23" i="26"/>
  <c r="AL23" i="26"/>
  <c r="AK23" i="26"/>
  <c r="AX23" i="26"/>
  <c r="AW23" i="26"/>
  <c r="AV23" i="26"/>
  <c r="AU23" i="26"/>
  <c r="AR22" i="26"/>
  <c r="AQ22" i="26"/>
  <c r="AP22" i="26"/>
  <c r="AL22" i="26"/>
  <c r="AO22" i="26"/>
  <c r="AN22" i="26"/>
  <c r="AM22" i="26"/>
  <c r="AK22" i="26"/>
  <c r="AX22" i="26"/>
  <c r="AW22" i="26"/>
  <c r="AV22" i="26"/>
  <c r="AU22" i="26"/>
  <c r="AT22" i="26"/>
  <c r="AS22" i="26"/>
  <c r="AP21" i="26"/>
  <c r="AO21" i="26"/>
  <c r="AN21" i="26"/>
  <c r="AM21" i="26"/>
  <c r="AL21" i="26"/>
  <c r="AK21" i="26"/>
  <c r="AX21" i="26"/>
  <c r="AW21" i="26"/>
  <c r="AV21" i="26"/>
  <c r="AU21" i="26"/>
  <c r="AT21" i="26"/>
  <c r="AS21" i="26"/>
  <c r="AR21" i="26"/>
  <c r="AQ21" i="26"/>
  <c r="AN20" i="26"/>
  <c r="AM20" i="26"/>
  <c r="AL20" i="26"/>
  <c r="AX20" i="26"/>
  <c r="AK20" i="26"/>
  <c r="AW20" i="26"/>
  <c r="AV20" i="26"/>
  <c r="AU20" i="26"/>
  <c r="AT20" i="26"/>
  <c r="AS20" i="26"/>
  <c r="AR20" i="26"/>
  <c r="AQ20" i="26"/>
  <c r="AP20" i="26"/>
  <c r="AO20" i="26"/>
  <c r="AN15" i="26"/>
  <c r="AT15" i="26"/>
  <c r="AS15" i="26"/>
  <c r="AR15" i="26"/>
  <c r="AQ15" i="26"/>
  <c r="AP15" i="26"/>
  <c r="AO15" i="26"/>
  <c r="AM15" i="26"/>
  <c r="AL15" i="26"/>
  <c r="AK15" i="26"/>
  <c r="AX15" i="26"/>
  <c r="AW15" i="26"/>
  <c r="AV15" i="26"/>
  <c r="AU15" i="26"/>
  <c r="AL14" i="26"/>
  <c r="AQ14" i="26"/>
  <c r="AR14" i="26"/>
  <c r="AP14" i="26"/>
  <c r="AO14" i="26"/>
  <c r="AN14" i="26"/>
  <c r="AM14" i="26"/>
  <c r="AK14" i="26"/>
  <c r="AX14" i="26"/>
  <c r="AW14" i="26"/>
  <c r="AV14" i="26"/>
  <c r="AU14" i="26"/>
  <c r="AT14" i="26"/>
  <c r="AS14" i="26"/>
  <c r="AP13" i="26"/>
  <c r="AO13" i="26"/>
  <c r="AN13" i="26"/>
  <c r="AM13" i="26"/>
  <c r="AL13" i="26"/>
  <c r="AK13" i="26"/>
  <c r="AX13" i="26"/>
  <c r="AW13" i="26"/>
  <c r="AV13" i="26"/>
  <c r="AU13" i="26"/>
  <c r="AT13" i="26"/>
  <c r="AS13" i="26"/>
  <c r="AR13" i="26"/>
  <c r="AQ13" i="26"/>
  <c r="AX12" i="26"/>
  <c r="AN12" i="26"/>
  <c r="AM12" i="26"/>
  <c r="AL12" i="26"/>
  <c r="AK12" i="26"/>
  <c r="AW12" i="26"/>
  <c r="AV12" i="26"/>
  <c r="AU12" i="26"/>
  <c r="AT12" i="26"/>
  <c r="AS12" i="26"/>
  <c r="AR12" i="26"/>
  <c r="AQ12" i="26"/>
  <c r="AP12" i="26"/>
  <c r="AO12" i="26"/>
  <c r="AX58" i="26"/>
  <c r="AW58" i="26"/>
  <c r="AM58" i="26"/>
  <c r="AV58" i="26"/>
  <c r="AU58" i="26"/>
  <c r="AT58" i="26"/>
  <c r="AS58" i="26"/>
  <c r="AR58" i="26"/>
  <c r="AQ58" i="26"/>
  <c r="AL58" i="26"/>
  <c r="AK58" i="26"/>
  <c r="AP58" i="26"/>
  <c r="AO58" i="26"/>
  <c r="AN58" i="26"/>
  <c r="AX57" i="26"/>
  <c r="AW57" i="26"/>
  <c r="AV57" i="26"/>
  <c r="AU57" i="26"/>
  <c r="AT57" i="26"/>
  <c r="AK57" i="26"/>
  <c r="AS57" i="26"/>
  <c r="AR57" i="26"/>
  <c r="AQ57" i="26"/>
  <c r="AP57" i="26"/>
  <c r="AO57" i="26"/>
  <c r="AN57" i="26"/>
  <c r="AM57" i="26"/>
  <c r="AL57" i="26"/>
  <c r="AV56" i="26"/>
  <c r="AU56" i="26"/>
  <c r="AT56" i="26"/>
  <c r="AS56" i="26"/>
  <c r="AX56" i="26"/>
  <c r="AR56" i="26"/>
  <c r="AQ56" i="26"/>
  <c r="AW56" i="26"/>
  <c r="AP56" i="26"/>
  <c r="AO56" i="26"/>
  <c r="AN56" i="26"/>
  <c r="AM56" i="26"/>
  <c r="AL56" i="26"/>
  <c r="AK56" i="26"/>
  <c r="AU54" i="26"/>
  <c r="AR54" i="26"/>
  <c r="AQ54" i="26"/>
  <c r="AP54" i="26"/>
  <c r="AO54" i="26"/>
  <c r="AN54" i="26"/>
  <c r="AT54" i="26"/>
  <c r="AM54" i="26"/>
  <c r="AL54" i="26"/>
  <c r="AK54" i="26"/>
  <c r="AX54" i="26"/>
  <c r="AS54" i="26"/>
  <c r="AW54" i="26"/>
  <c r="AV54" i="26"/>
  <c r="AP53" i="26"/>
  <c r="AO53" i="26"/>
  <c r="AR53" i="26"/>
  <c r="AN53" i="26"/>
  <c r="AM53" i="26"/>
  <c r="AL53" i="26"/>
  <c r="AK53" i="26"/>
  <c r="AX53" i="26"/>
  <c r="AW53" i="26"/>
  <c r="AQ53" i="26"/>
  <c r="AV53" i="26"/>
  <c r="AU53" i="26"/>
  <c r="AS53" i="26"/>
  <c r="AT53" i="26"/>
  <c r="AN52" i="26"/>
  <c r="AP52" i="26"/>
  <c r="AM52" i="26"/>
  <c r="AL52" i="26"/>
  <c r="AK52" i="26"/>
  <c r="AO52" i="26"/>
  <c r="AX52" i="26"/>
  <c r="AW52" i="26"/>
  <c r="AV52" i="26"/>
  <c r="AU52" i="26"/>
  <c r="AQ52" i="26"/>
  <c r="AT52" i="26"/>
  <c r="AS52" i="26"/>
  <c r="AR52" i="26"/>
  <c r="AL51" i="26"/>
  <c r="AK51" i="26"/>
  <c r="AX51" i="26"/>
  <c r="AW51" i="26"/>
  <c r="AV51" i="26"/>
  <c r="AU51" i="26"/>
  <c r="AM51" i="26"/>
  <c r="AT51" i="26"/>
  <c r="AO51" i="26"/>
  <c r="AS51" i="26"/>
  <c r="AR51" i="26"/>
  <c r="AQ51" i="26"/>
  <c r="AN51" i="26"/>
  <c r="AP51" i="26"/>
  <c r="AX50" i="26"/>
  <c r="AW50" i="26"/>
  <c r="AV50" i="26"/>
  <c r="AU50" i="26"/>
  <c r="AT50" i="26"/>
  <c r="AS50" i="26"/>
  <c r="AL50" i="26"/>
  <c r="AR50" i="26"/>
  <c r="AK50" i="26"/>
  <c r="AQ50" i="26"/>
  <c r="AP50" i="26"/>
  <c r="AM50" i="26"/>
  <c r="AO50" i="26"/>
  <c r="AN50" i="26"/>
  <c r="AX49" i="26"/>
  <c r="AW49" i="26"/>
  <c r="AK49" i="26"/>
  <c r="AV49" i="26"/>
  <c r="AU49" i="26"/>
  <c r="AT49" i="26"/>
  <c r="AS49" i="26"/>
  <c r="AR49" i="26"/>
  <c r="AQ49" i="26"/>
  <c r="AP49" i="26"/>
  <c r="AO49" i="26"/>
  <c r="AN49" i="26"/>
  <c r="AM49" i="26"/>
  <c r="AL49" i="26"/>
  <c r="AX48" i="26"/>
  <c r="AW48" i="26"/>
  <c r="AV48" i="26"/>
  <c r="AU48" i="26"/>
  <c r="AT48" i="26"/>
  <c r="AS48" i="26"/>
  <c r="AR48" i="26"/>
  <c r="AQ48" i="26"/>
  <c r="AP48" i="26"/>
  <c r="AO48" i="26"/>
  <c r="AN48" i="26"/>
  <c r="AM48" i="26"/>
  <c r="AL48" i="26"/>
  <c r="AK48" i="26"/>
  <c r="AQ46" i="26"/>
  <c r="AS46" i="26"/>
  <c r="AP46" i="26"/>
  <c r="AR46" i="26"/>
  <c r="AO46" i="26"/>
  <c r="AN46" i="26"/>
  <c r="AT46" i="26"/>
  <c r="AM46" i="26"/>
  <c r="AL46" i="26"/>
  <c r="AK46" i="26"/>
  <c r="AX46" i="26"/>
  <c r="AW46" i="26"/>
  <c r="AV46" i="26"/>
  <c r="AU46" i="26"/>
  <c r="AN45" i="26"/>
  <c r="AO45" i="26"/>
  <c r="AL45" i="26"/>
  <c r="AP45" i="26"/>
  <c r="AK45" i="26"/>
  <c r="AX45" i="26"/>
  <c r="AV45" i="26"/>
  <c r="AU45" i="26"/>
  <c r="AQ45" i="26"/>
  <c r="AT45" i="26"/>
  <c r="AS45" i="26"/>
  <c r="AR45" i="26"/>
  <c r="AM45" i="26"/>
  <c r="AW45" i="26"/>
  <c r="AX44" i="26"/>
  <c r="AW44" i="26"/>
  <c r="AV44" i="26"/>
  <c r="AT44" i="26"/>
  <c r="AS44" i="26"/>
  <c r="AM44" i="26"/>
  <c r="AR44" i="26"/>
  <c r="AL44" i="26"/>
  <c r="AQ44" i="26"/>
  <c r="AP44" i="26"/>
  <c r="AO44" i="26"/>
  <c r="AN44" i="26"/>
  <c r="AK44" i="26"/>
  <c r="AU44" i="26"/>
  <c r="AW43" i="26"/>
  <c r="AV43" i="26"/>
  <c r="AU43" i="26"/>
  <c r="AT43" i="26"/>
  <c r="AR43" i="26"/>
  <c r="AX43" i="26"/>
  <c r="AQ43" i="26"/>
  <c r="AP43" i="26"/>
  <c r="AO43" i="26"/>
  <c r="AN43" i="26"/>
  <c r="AM43" i="26"/>
  <c r="AL43" i="26"/>
  <c r="AK43" i="26"/>
  <c r="AS43" i="26"/>
  <c r="AS42" i="26"/>
  <c r="AP42" i="26"/>
  <c r="AO42" i="26"/>
  <c r="AN42" i="26"/>
  <c r="AM42" i="26"/>
  <c r="AU42" i="26"/>
  <c r="AL42" i="26"/>
  <c r="AV42" i="26"/>
  <c r="AK42" i="26"/>
  <c r="AT42" i="26"/>
  <c r="AX42" i="26"/>
  <c r="AW42" i="26"/>
  <c r="AR42" i="26"/>
  <c r="AQ42" i="26"/>
  <c r="AX41" i="26"/>
  <c r="AW41" i="26"/>
  <c r="AQ41" i="26"/>
  <c r="AV41" i="26"/>
  <c r="AT41" i="26"/>
  <c r="AS41" i="26"/>
  <c r="AR41" i="26"/>
  <c r="AU41" i="26"/>
  <c r="AP41" i="26"/>
  <c r="AO41" i="26"/>
  <c r="AN41" i="26"/>
  <c r="AM41" i="26"/>
  <c r="AL41" i="26"/>
  <c r="AK41" i="26"/>
  <c r="AT40" i="26"/>
  <c r="AR40" i="26"/>
  <c r="AP40" i="26"/>
  <c r="AU40" i="26"/>
  <c r="AO40" i="26"/>
  <c r="AV40" i="26"/>
  <c r="AS40" i="26"/>
  <c r="AQ40" i="26"/>
  <c r="AN40" i="26"/>
  <c r="AM40" i="26"/>
  <c r="AL40" i="26"/>
  <c r="AK40" i="26"/>
  <c r="AX40" i="26"/>
  <c r="AW40" i="26"/>
  <c r="AP37" i="26"/>
  <c r="AO37" i="26"/>
  <c r="AN37" i="26"/>
  <c r="AL37" i="26"/>
  <c r="AM37" i="26"/>
  <c r="AK37" i="26"/>
  <c r="AX37" i="26"/>
  <c r="AW37" i="26"/>
  <c r="AV37" i="26"/>
  <c r="AU37" i="26"/>
  <c r="AT37" i="26"/>
  <c r="AS37" i="26"/>
  <c r="AR37" i="26"/>
  <c r="AQ37" i="26"/>
  <c r="AX36" i="26"/>
  <c r="AW36" i="26"/>
  <c r="AN36" i="26"/>
  <c r="AM36" i="26"/>
  <c r="AL36" i="26"/>
  <c r="AK36" i="26"/>
  <c r="AV36" i="26"/>
  <c r="AU36" i="26"/>
  <c r="AT36" i="26"/>
  <c r="AS36" i="26"/>
  <c r="AR36" i="26"/>
  <c r="AQ36" i="26"/>
  <c r="AP36" i="26"/>
  <c r="AO36" i="26"/>
  <c r="AX35" i="26"/>
  <c r="AV35" i="26"/>
  <c r="AU35" i="26"/>
  <c r="AK35" i="26"/>
  <c r="AL35" i="26"/>
  <c r="AW35" i="26"/>
  <c r="AT35" i="26"/>
  <c r="AS35" i="26"/>
  <c r="AR35" i="26"/>
  <c r="AQ35" i="26"/>
  <c r="AP35" i="26"/>
  <c r="AO35" i="26"/>
  <c r="AN35" i="26"/>
  <c r="AM35" i="26"/>
  <c r="AT34" i="26"/>
  <c r="AX34" i="26"/>
  <c r="AS34" i="26"/>
  <c r="AV34" i="26"/>
  <c r="AW34" i="26"/>
  <c r="AU34" i="26"/>
  <c r="AR34" i="26"/>
  <c r="AQ34" i="26"/>
  <c r="AP34" i="26"/>
  <c r="AO34" i="26"/>
  <c r="AN34" i="26"/>
  <c r="AM34" i="26"/>
  <c r="AL34" i="26"/>
  <c r="AK34" i="26"/>
  <c r="AX33" i="26"/>
  <c r="AW33" i="26"/>
  <c r="AV33" i="26"/>
  <c r="AT33" i="26"/>
  <c r="AR33" i="26"/>
  <c r="AQ33" i="26"/>
  <c r="AU33" i="26"/>
  <c r="AS33" i="26"/>
  <c r="AP33" i="26"/>
  <c r="AO33" i="26"/>
  <c r="AN33" i="26"/>
  <c r="AM33" i="26"/>
  <c r="AL33" i="26"/>
  <c r="AK33" i="26"/>
  <c r="AV32" i="26"/>
  <c r="AU32" i="26"/>
  <c r="AT32" i="26"/>
  <c r="AO32" i="26"/>
  <c r="AR32" i="26"/>
  <c r="AP32" i="26"/>
  <c r="AS32" i="26"/>
  <c r="AQ32" i="26"/>
  <c r="AN32" i="26"/>
  <c r="AM32" i="26"/>
  <c r="AL32" i="26"/>
  <c r="AK32" i="26"/>
  <c r="AX32" i="26"/>
  <c r="AW32" i="26"/>
  <c r="AV27" i="26"/>
  <c r="AU27" i="26"/>
  <c r="AL27" i="26"/>
  <c r="AK27" i="26"/>
  <c r="AX27" i="26"/>
  <c r="AW27" i="26"/>
  <c r="AT27" i="26"/>
  <c r="AS27" i="26"/>
  <c r="AR27" i="26"/>
  <c r="AQ27" i="26"/>
  <c r="AP27" i="26"/>
  <c r="AO27" i="26"/>
  <c r="AN27" i="26"/>
  <c r="AM27" i="26"/>
  <c r="AX26" i="26"/>
  <c r="AT26" i="26"/>
  <c r="AW26" i="26"/>
  <c r="AV26" i="26"/>
  <c r="AU26" i="26"/>
  <c r="AS26" i="26"/>
  <c r="AR26" i="26"/>
  <c r="AQ26" i="26"/>
  <c r="AP26" i="26"/>
  <c r="AO26" i="26"/>
  <c r="AN26" i="26"/>
  <c r="AM26" i="26"/>
  <c r="AL26" i="26"/>
  <c r="AK26" i="26"/>
  <c r="AX25" i="26"/>
  <c r="AW25" i="26"/>
  <c r="AV25" i="26"/>
  <c r="AR25" i="26"/>
  <c r="AU25" i="26"/>
  <c r="AT25" i="26"/>
  <c r="AS25" i="26"/>
  <c r="AQ25" i="26"/>
  <c r="AP25" i="26"/>
  <c r="AO25" i="26"/>
  <c r="AN25" i="26"/>
  <c r="AM25" i="26"/>
  <c r="AL25" i="26"/>
  <c r="AK25" i="26"/>
  <c r="AT24" i="26"/>
  <c r="AP24" i="26"/>
  <c r="AV24" i="26"/>
  <c r="AU24" i="26"/>
  <c r="AS24" i="26"/>
  <c r="AR24" i="26"/>
  <c r="AQ24" i="26"/>
  <c r="AO24" i="26"/>
  <c r="AN24" i="26"/>
  <c r="AM24" i="26"/>
  <c r="AL24" i="26"/>
  <c r="AK24" i="26"/>
  <c r="AX24" i="26"/>
  <c r="AW24" i="26"/>
  <c r="AV19" i="26"/>
  <c r="AL19" i="26"/>
  <c r="AK19" i="26"/>
  <c r="AX19" i="26"/>
  <c r="AW19" i="26"/>
  <c r="AU19" i="26"/>
  <c r="AT19" i="26"/>
  <c r="AS19" i="26"/>
  <c r="AR19" i="26"/>
  <c r="AQ19" i="26"/>
  <c r="AP19" i="26"/>
  <c r="AO19" i="26"/>
  <c r="AN19" i="26"/>
  <c r="AM19" i="26"/>
  <c r="AX18" i="26"/>
  <c r="AT18" i="26"/>
  <c r="AW18" i="26"/>
  <c r="AV18" i="26"/>
  <c r="AU18" i="26"/>
  <c r="AS18" i="26"/>
  <c r="AR18" i="26"/>
  <c r="AQ18" i="26"/>
  <c r="AP18" i="26"/>
  <c r="AO18" i="26"/>
  <c r="AN18" i="26"/>
  <c r="AM18" i="26"/>
  <c r="AL18" i="26"/>
  <c r="AK18" i="26"/>
  <c r="AX17" i="26"/>
  <c r="AW17" i="26"/>
  <c r="AR17" i="26"/>
  <c r="AV17" i="26"/>
  <c r="AU17" i="26"/>
  <c r="AT17" i="26"/>
  <c r="AS17" i="26"/>
  <c r="AQ17" i="26"/>
  <c r="AP17" i="26"/>
  <c r="AO17" i="26"/>
  <c r="AN17" i="26"/>
  <c r="AM17" i="26"/>
  <c r="AL17" i="26"/>
  <c r="AK17" i="26"/>
  <c r="AV16" i="26"/>
  <c r="AU16" i="26"/>
  <c r="AP16" i="26"/>
  <c r="AT16" i="26"/>
  <c r="AS16" i="26"/>
  <c r="AR16" i="26"/>
  <c r="AQ16" i="26"/>
  <c r="AO16" i="26"/>
  <c r="AN16" i="26"/>
  <c r="AM16" i="26"/>
  <c r="AL16" i="26"/>
  <c r="AK16" i="26"/>
  <c r="AX16" i="26"/>
  <c r="AW16" i="26"/>
  <c r="AV11" i="26"/>
  <c r="AL11" i="26"/>
  <c r="AK11" i="26"/>
  <c r="AX11" i="26"/>
  <c r="AW11" i="26"/>
  <c r="AU11" i="26"/>
  <c r="AT11" i="26"/>
  <c r="AS11" i="26"/>
  <c r="AR11" i="26"/>
  <c r="AQ11" i="26"/>
  <c r="AP11" i="26"/>
  <c r="AO11" i="26"/>
  <c r="AN11" i="26"/>
  <c r="AM11" i="26"/>
  <c r="Y68" i="15" l="1"/>
  <c r="Y67" i="15"/>
  <c r="AA66" i="15"/>
  <c r="T66" i="15" s="1"/>
  <c r="AB79" i="15"/>
  <c r="Y66" i="15"/>
  <c r="R66" i="15" s="1"/>
  <c r="Y79" i="15"/>
  <c r="Y78" i="15"/>
  <c r="AA67" i="15"/>
  <c r="AB67" i="15"/>
  <c r="AA76" i="15"/>
  <c r="AA78" i="15"/>
  <c r="Y70" i="15"/>
  <c r="R70" i="15" s="1"/>
  <c r="Y65" i="15"/>
  <c r="R65" i="15" s="1"/>
  <c r="Y75" i="15"/>
  <c r="AA75" i="15"/>
  <c r="AB77" i="15"/>
  <c r="Z71" i="15"/>
  <c r="AA65" i="15"/>
  <c r="T65" i="15" s="1"/>
  <c r="AB65" i="15"/>
  <c r="U65" i="15" s="1"/>
  <c r="Z72" i="15"/>
  <c r="AB66" i="15"/>
  <c r="U66" i="15" s="1"/>
  <c r="Z73" i="15"/>
  <c r="Y77" i="15"/>
  <c r="AA68" i="15"/>
  <c r="AB75" i="15"/>
  <c r="AA70" i="15"/>
  <c r="T70" i="15" s="1"/>
  <c r="AB68" i="15"/>
  <c r="Z74" i="15"/>
  <c r="AA71" i="15"/>
  <c r="AB70" i="15"/>
  <c r="U70" i="15" s="1"/>
  <c r="Z75" i="15"/>
  <c r="AA72" i="15"/>
  <c r="AB73" i="15"/>
  <c r="Z76" i="15"/>
  <c r="AA73" i="15"/>
  <c r="AB71" i="15"/>
  <c r="Z77" i="15"/>
  <c r="AB74" i="15"/>
  <c r="Z78" i="15"/>
  <c r="AB72" i="15"/>
  <c r="Z79" i="15"/>
  <c r="Y71" i="15"/>
  <c r="AA77" i="15"/>
  <c r="Z65" i="15"/>
  <c r="S65" i="15" s="1"/>
  <c r="Y72" i="15"/>
  <c r="Y73" i="15"/>
  <c r="AA74" i="15"/>
  <c r="Z67" i="15"/>
  <c r="Y74" i="15"/>
  <c r="AA79" i="15"/>
  <c r="AB76" i="15"/>
  <c r="Z68" i="15"/>
  <c r="Z70" i="15"/>
  <c r="S70" i="15" s="1"/>
  <c r="Y76" i="15"/>
  <c r="AB78" i="15"/>
  <c r="Z66" i="15"/>
  <c r="S66" i="15" s="1"/>
  <c r="K8" i="9" l="1"/>
  <c r="AL10" i="9"/>
  <c r="AI8" i="9"/>
  <c r="AI10" i="9"/>
  <c r="V66" i="15"/>
  <c r="V65" i="15"/>
  <c r="V70" i="15"/>
  <c r="C18" i="9"/>
  <c r="C12" i="9"/>
  <c r="C15" i="9"/>
  <c r="C8" i="9"/>
  <c r="AR28" i="9"/>
  <c r="W43" i="9"/>
  <c r="CQ73" i="9"/>
  <c r="CY43" i="9"/>
  <c r="CA43" i="9"/>
  <c r="AS28" i="9"/>
  <c r="AU29" i="9"/>
  <c r="DG28" i="9"/>
  <c r="BS73" i="9"/>
  <c r="AT28" i="9"/>
  <c r="AE28" i="9"/>
  <c r="CI28" i="9"/>
  <c r="BC58" i="9"/>
  <c r="BK28" i="9"/>
  <c r="AJ7" i="9" l="1"/>
  <c r="AJ8" i="9" s="1"/>
  <c r="AJ11" i="9" s="1"/>
  <c r="K10" i="9"/>
  <c r="L7" i="9" s="1"/>
  <c r="AJ10" i="9"/>
  <c r="K11" i="9"/>
  <c r="K52" i="15"/>
  <c r="K53" i="15"/>
  <c r="AI11" i="9"/>
  <c r="AI13" i="9" s="1"/>
  <c r="C10" i="9"/>
  <c r="D7" i="9" s="1"/>
  <c r="C11" i="9"/>
  <c r="E43" i="9" s="1"/>
  <c r="CY73" i="9"/>
  <c r="CY196" i="9" s="1"/>
  <c r="CY28" i="9"/>
  <c r="CY93" i="9" s="1"/>
  <c r="CY58" i="9"/>
  <c r="CY121" i="9" s="1"/>
  <c r="BK43" i="9"/>
  <c r="BK107" i="9" s="1"/>
  <c r="BK73" i="9"/>
  <c r="BK135" i="9" s="1"/>
  <c r="DG73" i="9"/>
  <c r="DG196" i="9" s="1"/>
  <c r="BK58" i="9"/>
  <c r="BK182" i="9" s="1"/>
  <c r="DG43" i="9"/>
  <c r="DG107" i="9" s="1"/>
  <c r="DG58" i="9"/>
  <c r="DG121" i="9" s="1"/>
  <c r="CI58" i="9"/>
  <c r="CI121" i="9" s="1"/>
  <c r="W28" i="9"/>
  <c r="W154" i="9" s="1"/>
  <c r="CI43" i="9"/>
  <c r="CI168" i="9" s="1"/>
  <c r="W58" i="9"/>
  <c r="W182" i="9" s="1"/>
  <c r="CI73" i="9"/>
  <c r="CI135" i="9" s="1"/>
  <c r="CQ43" i="9"/>
  <c r="CQ107" i="9" s="1"/>
  <c r="CQ28" i="9"/>
  <c r="CQ93" i="9" s="1"/>
  <c r="CQ58" i="9"/>
  <c r="CQ121" i="9" s="1"/>
  <c r="W73" i="9"/>
  <c r="W196" i="9" s="1"/>
  <c r="CA58" i="9"/>
  <c r="CA182" i="9" s="1"/>
  <c r="AE43" i="9"/>
  <c r="AE168" i="9" s="1"/>
  <c r="CA73" i="9"/>
  <c r="CA196" i="9" s="1"/>
  <c r="AE73" i="9"/>
  <c r="AE196" i="9" s="1"/>
  <c r="CA28" i="9"/>
  <c r="CA154" i="9" s="1"/>
  <c r="BS28" i="9"/>
  <c r="BS154" i="9" s="1"/>
  <c r="BC28" i="9"/>
  <c r="BC154" i="9" s="1"/>
  <c r="AE58" i="9"/>
  <c r="AE121" i="9" s="1"/>
  <c r="BS58" i="9"/>
  <c r="BS182" i="9" s="1"/>
  <c r="BC43" i="9"/>
  <c r="BC107" i="9" s="1"/>
  <c r="BS43" i="9"/>
  <c r="BS107" i="9" s="1"/>
  <c r="BC73" i="9"/>
  <c r="BC196" i="9" s="1"/>
  <c r="AJ43" i="9"/>
  <c r="CH45" i="9"/>
  <c r="CX30" i="9"/>
  <c r="CY45" i="9"/>
  <c r="DG30" i="9"/>
  <c r="CP45" i="9"/>
  <c r="BZ45" i="9"/>
  <c r="CA45" i="9"/>
  <c r="BR75" i="9"/>
  <c r="BJ75" i="9"/>
  <c r="BK60" i="9"/>
  <c r="BB45" i="9"/>
  <c r="BC75" i="9"/>
  <c r="AU73" i="9"/>
  <c r="CV60" i="9"/>
  <c r="CV75" i="9"/>
  <c r="CV30" i="9"/>
  <c r="CV45" i="9"/>
  <c r="DD60" i="9"/>
  <c r="DD75" i="9"/>
  <c r="DD30" i="9"/>
  <c r="DD45" i="9"/>
  <c r="CN30" i="9"/>
  <c r="CN75" i="9"/>
  <c r="CN45" i="9"/>
  <c r="CN60" i="9"/>
  <c r="CF30" i="9"/>
  <c r="CF75" i="9"/>
  <c r="CF60" i="9"/>
  <c r="CF45" i="9"/>
  <c r="BP75" i="9"/>
  <c r="BP30" i="9"/>
  <c r="BP45" i="9"/>
  <c r="BP60" i="9"/>
  <c r="BX75" i="9"/>
  <c r="BX45" i="9"/>
  <c r="BX30" i="9"/>
  <c r="BX60" i="9"/>
  <c r="AU58" i="9"/>
  <c r="AU43" i="9"/>
  <c r="AB45" i="9"/>
  <c r="AB30" i="9"/>
  <c r="AB60" i="9"/>
  <c r="AB75" i="9"/>
  <c r="T75" i="9"/>
  <c r="T30" i="9"/>
  <c r="T60" i="9"/>
  <c r="T45" i="9"/>
  <c r="AU28" i="9"/>
  <c r="BH75" i="9"/>
  <c r="BH60" i="9"/>
  <c r="BH30" i="9"/>
  <c r="BH45" i="9"/>
  <c r="AZ45" i="9"/>
  <c r="AZ30" i="9"/>
  <c r="AZ60" i="9"/>
  <c r="AZ75" i="9"/>
  <c r="AU94" i="9"/>
  <c r="CQ135" i="9"/>
  <c r="CQ196" i="9"/>
  <c r="BS135" i="9"/>
  <c r="BS196" i="9"/>
  <c r="BC121" i="9"/>
  <c r="BC182" i="9"/>
  <c r="CA168" i="9"/>
  <c r="CA107" i="9"/>
  <c r="CY107" i="9"/>
  <c r="CY168" i="9"/>
  <c r="CI154" i="9"/>
  <c r="CI93" i="9"/>
  <c r="AS154" i="9"/>
  <c r="AS93" i="9"/>
  <c r="BK93" i="9"/>
  <c r="BK154" i="9"/>
  <c r="AT93" i="9"/>
  <c r="AT154" i="9"/>
  <c r="AR93" i="9"/>
  <c r="AR154" i="9"/>
  <c r="DG154" i="9"/>
  <c r="DG93" i="9"/>
  <c r="W168" i="9"/>
  <c r="W107" i="9"/>
  <c r="AE154" i="9"/>
  <c r="AE93" i="9"/>
  <c r="BR43" i="9"/>
  <c r="BR28" i="9"/>
  <c r="BR73" i="9"/>
  <c r="BR58" i="9"/>
  <c r="BH58" i="9"/>
  <c r="BH43" i="9"/>
  <c r="BH73" i="9"/>
  <c r="BH28" i="9"/>
  <c r="CW73" i="9"/>
  <c r="CW43" i="9"/>
  <c r="CW28" i="9"/>
  <c r="CW58" i="9"/>
  <c r="BA58" i="9"/>
  <c r="BA28" i="9"/>
  <c r="BA73" i="9"/>
  <c r="BA43" i="9"/>
  <c r="CP58" i="9"/>
  <c r="CP43" i="9"/>
  <c r="CP28" i="9"/>
  <c r="CP73" i="9"/>
  <c r="CQ44" i="9"/>
  <c r="CQ29" i="9"/>
  <c r="CQ74" i="9"/>
  <c r="CQ59" i="9"/>
  <c r="BC74" i="9"/>
  <c r="BC44" i="9"/>
  <c r="BC59" i="9"/>
  <c r="BC29" i="9"/>
  <c r="DE43" i="9"/>
  <c r="DE73" i="9"/>
  <c r="DE58" i="9"/>
  <c r="DE28" i="9"/>
  <c r="CN58" i="9"/>
  <c r="CN43" i="9"/>
  <c r="CN28" i="9"/>
  <c r="CN73" i="9"/>
  <c r="BS74" i="9"/>
  <c r="BS59" i="9"/>
  <c r="BS44" i="9"/>
  <c r="BS29" i="9"/>
  <c r="BY73" i="9"/>
  <c r="BY58" i="9"/>
  <c r="BY43" i="9"/>
  <c r="BY28" i="9"/>
  <c r="BP43" i="9"/>
  <c r="BP28" i="9"/>
  <c r="BP73" i="9"/>
  <c r="BP58" i="9"/>
  <c r="CX73" i="9"/>
  <c r="CX43" i="9"/>
  <c r="CX28" i="9"/>
  <c r="CX58" i="9"/>
  <c r="BB28" i="9"/>
  <c r="BB73" i="9"/>
  <c r="BB58" i="9"/>
  <c r="BB43" i="9"/>
  <c r="CO58" i="9"/>
  <c r="CO43" i="9"/>
  <c r="CO73" i="9"/>
  <c r="CO28" i="9"/>
  <c r="CY59" i="9"/>
  <c r="CY74" i="9"/>
  <c r="CY29" i="9"/>
  <c r="CY44" i="9"/>
  <c r="AZ58" i="9"/>
  <c r="AZ28" i="9"/>
  <c r="AZ73" i="9"/>
  <c r="AZ43" i="9"/>
  <c r="CV73" i="9"/>
  <c r="CV43" i="9"/>
  <c r="CV28" i="9"/>
  <c r="CV58" i="9"/>
  <c r="CA44" i="9"/>
  <c r="CA29" i="9"/>
  <c r="CA59" i="9"/>
  <c r="CA74" i="9"/>
  <c r="BJ43" i="9"/>
  <c r="BJ73" i="9"/>
  <c r="BJ28" i="9"/>
  <c r="BJ58" i="9"/>
  <c r="BZ58" i="9"/>
  <c r="BZ73" i="9"/>
  <c r="BZ43" i="9"/>
  <c r="BZ28" i="9"/>
  <c r="BK74" i="9"/>
  <c r="BK29" i="9"/>
  <c r="BK59" i="9"/>
  <c r="BK44" i="9"/>
  <c r="CH43" i="9"/>
  <c r="CH28" i="9"/>
  <c r="CH73" i="9"/>
  <c r="CH58" i="9"/>
  <c r="BQ43" i="9"/>
  <c r="BQ28" i="9"/>
  <c r="BQ73" i="9"/>
  <c r="BQ58" i="9"/>
  <c r="CF43" i="9"/>
  <c r="CF28" i="9"/>
  <c r="CF73" i="9"/>
  <c r="CF58" i="9"/>
  <c r="DG44" i="9"/>
  <c r="DG74" i="9"/>
  <c r="DG29" i="9"/>
  <c r="DG59" i="9"/>
  <c r="DD58" i="9"/>
  <c r="DD43" i="9"/>
  <c r="DD73" i="9"/>
  <c r="DD28" i="9"/>
  <c r="CG28" i="9"/>
  <c r="CG43" i="9"/>
  <c r="CG73" i="9"/>
  <c r="CG58" i="9"/>
  <c r="BI43" i="9"/>
  <c r="BI73" i="9"/>
  <c r="BI28" i="9"/>
  <c r="BI58" i="9"/>
  <c r="BX73" i="9"/>
  <c r="BX58" i="9"/>
  <c r="BX43" i="9"/>
  <c r="BX28" i="9"/>
  <c r="DF43" i="9"/>
  <c r="DF73" i="9"/>
  <c r="DF28" i="9"/>
  <c r="DF58" i="9"/>
  <c r="CI74" i="9"/>
  <c r="CI59" i="9"/>
  <c r="CI44" i="9"/>
  <c r="CI29" i="9"/>
  <c r="AE74" i="9"/>
  <c r="AE44" i="9"/>
  <c r="AE59" i="9"/>
  <c r="AE29" i="9"/>
  <c r="AC58" i="9"/>
  <c r="AC28" i="9"/>
  <c r="AC73" i="9"/>
  <c r="AC43" i="9"/>
  <c r="AD43" i="9"/>
  <c r="AD58" i="9"/>
  <c r="AD28" i="9"/>
  <c r="AD73" i="9"/>
  <c r="D58" i="9"/>
  <c r="D28" i="9"/>
  <c r="D43" i="9"/>
  <c r="D73" i="9"/>
  <c r="AB43" i="9"/>
  <c r="AB28" i="9"/>
  <c r="AB58" i="9"/>
  <c r="AB73" i="9"/>
  <c r="AT58" i="9"/>
  <c r="AT73" i="9"/>
  <c r="AT43" i="9"/>
  <c r="AR43" i="9"/>
  <c r="AR73" i="9"/>
  <c r="AR58" i="9"/>
  <c r="AS43" i="9"/>
  <c r="AS73" i="9"/>
  <c r="AS58" i="9"/>
  <c r="AU74" i="9"/>
  <c r="AU44" i="9"/>
  <c r="AU59" i="9"/>
  <c r="V58" i="9"/>
  <c r="V28" i="9"/>
  <c r="V73" i="9"/>
  <c r="V43" i="9"/>
  <c r="U28" i="9"/>
  <c r="U58" i="9"/>
  <c r="U43" i="9"/>
  <c r="U73" i="9"/>
  <c r="T43" i="9"/>
  <c r="T58" i="9"/>
  <c r="T28" i="9"/>
  <c r="T73" i="9"/>
  <c r="W29" i="9"/>
  <c r="W74" i="9"/>
  <c r="W59" i="9"/>
  <c r="W44" i="9"/>
  <c r="L15" i="9" l="1"/>
  <c r="L12" i="9"/>
  <c r="K14" i="9"/>
  <c r="N43" i="9" s="1"/>
  <c r="N168" i="9" s="1"/>
  <c r="K13" i="9"/>
  <c r="M74" i="9" s="1"/>
  <c r="AK7" i="9"/>
  <c r="AK8" i="9" s="1"/>
  <c r="AK11" i="9" s="1"/>
  <c r="L9" i="9"/>
  <c r="L8" i="9"/>
  <c r="AK10" i="9"/>
  <c r="M9" i="9"/>
  <c r="M58" i="9"/>
  <c r="M121" i="9" s="1"/>
  <c r="M28" i="9"/>
  <c r="M154" i="9" s="1"/>
  <c r="M73" i="9"/>
  <c r="M135" i="9" s="1"/>
  <c r="M43" i="9"/>
  <c r="M168" i="9" s="1"/>
  <c r="AK58" i="9"/>
  <c r="AK121" i="9" s="1"/>
  <c r="AK73" i="9"/>
  <c r="AK135" i="9" s="1"/>
  <c r="AK43" i="9"/>
  <c r="AK168" i="9" s="1"/>
  <c r="AJ14" i="9"/>
  <c r="AJ16" i="9" s="1"/>
  <c r="AJ13" i="9"/>
  <c r="AK13" i="9"/>
  <c r="AI14" i="9"/>
  <c r="AI16" i="9" s="1"/>
  <c r="AL29" i="9" s="1"/>
  <c r="AK28" i="9"/>
  <c r="E73" i="9"/>
  <c r="E196" i="9" s="1"/>
  <c r="E58" i="9"/>
  <c r="E182" i="9" s="1"/>
  <c r="E28" i="9"/>
  <c r="E154" i="9" s="1"/>
  <c r="C14" i="9"/>
  <c r="C13" i="9"/>
  <c r="E59" i="9" s="1"/>
  <c r="D12" i="9"/>
  <c r="D15" i="9"/>
  <c r="D9" i="9"/>
  <c r="D8" i="9"/>
  <c r="D11" i="9" s="1"/>
  <c r="D14" i="9" s="1"/>
  <c r="AR75" i="9"/>
  <c r="AR84" i="9" s="1"/>
  <c r="BI77" i="9"/>
  <c r="BI31" i="9"/>
  <c r="BI96" i="9" s="1"/>
  <c r="BB61" i="9"/>
  <c r="BB124" i="9" s="1"/>
  <c r="D60" i="9"/>
  <c r="D69" i="9" s="1"/>
  <c r="D75" i="9"/>
  <c r="D137" i="9" s="1"/>
  <c r="D30" i="9"/>
  <c r="D95" i="9" s="1"/>
  <c r="AE60" i="9"/>
  <c r="AE184" i="9" s="1"/>
  <c r="AD30" i="9"/>
  <c r="AD95" i="9" s="1"/>
  <c r="AD76" i="9"/>
  <c r="AD138" i="9" s="1"/>
  <c r="AC77" i="9"/>
  <c r="AC46" i="9"/>
  <c r="AC110" i="9" s="1"/>
  <c r="W45" i="9"/>
  <c r="W170" i="9" s="1"/>
  <c r="V30" i="9"/>
  <c r="V95" i="9" s="1"/>
  <c r="U76" i="9"/>
  <c r="U138" i="9" s="1"/>
  <c r="D45" i="9"/>
  <c r="D54" i="9" s="1"/>
  <c r="AR60" i="9"/>
  <c r="AR123" i="9" s="1"/>
  <c r="AS60" i="9"/>
  <c r="AS184" i="9" s="1"/>
  <c r="AR45" i="9"/>
  <c r="AR109" i="9" s="1"/>
  <c r="AU30" i="9"/>
  <c r="AU95" i="9" s="1"/>
  <c r="AR30" i="9"/>
  <c r="AR95" i="9" s="1"/>
  <c r="AT30" i="9"/>
  <c r="AT156" i="9" s="1"/>
  <c r="CY154" i="9"/>
  <c r="AJ29" i="9"/>
  <c r="AJ94" i="9" s="1"/>
  <c r="DG182" i="9"/>
  <c r="DG168" i="9"/>
  <c r="CY135" i="9"/>
  <c r="CY182" i="9"/>
  <c r="BK196" i="9"/>
  <c r="DG135" i="9"/>
  <c r="BK168" i="9"/>
  <c r="BK121" i="9"/>
  <c r="AJ28" i="9"/>
  <c r="AJ93" i="9" s="1"/>
  <c r="CI182" i="9"/>
  <c r="AE182" i="9"/>
  <c r="W121" i="9"/>
  <c r="W93" i="9"/>
  <c r="CQ182" i="9"/>
  <c r="BC93" i="9"/>
  <c r="CQ168" i="9"/>
  <c r="CI196" i="9"/>
  <c r="CQ154" i="9"/>
  <c r="CI107" i="9"/>
  <c r="W135" i="9"/>
  <c r="AJ58" i="9"/>
  <c r="AJ121" i="9" s="1"/>
  <c r="AE107" i="9"/>
  <c r="CA121" i="9"/>
  <c r="CA135" i="9"/>
  <c r="BC135" i="9"/>
  <c r="AJ73" i="9"/>
  <c r="AJ196" i="9" s="1"/>
  <c r="AE135" i="9"/>
  <c r="BS121" i="9"/>
  <c r="BS93" i="9"/>
  <c r="CA93" i="9"/>
  <c r="BS168" i="9"/>
  <c r="BC168" i="9"/>
  <c r="BS60" i="9"/>
  <c r="BS123" i="9" s="1"/>
  <c r="AU135" i="9"/>
  <c r="AU168" i="9"/>
  <c r="AU121" i="9"/>
  <c r="CP75" i="9"/>
  <c r="CP198" i="9" s="1"/>
  <c r="CX45" i="9"/>
  <c r="CX170" i="9" s="1"/>
  <c r="BQ60" i="9"/>
  <c r="BQ123" i="9" s="1"/>
  <c r="CG60" i="9"/>
  <c r="CG184" i="9" s="1"/>
  <c r="CY30" i="9"/>
  <c r="CY156" i="9" s="1"/>
  <c r="BS75" i="9"/>
  <c r="BS198" i="9" s="1"/>
  <c r="BQ75" i="9"/>
  <c r="BQ198" i="9" s="1"/>
  <c r="CH60" i="9"/>
  <c r="CH123" i="9" s="1"/>
  <c r="BI75" i="9"/>
  <c r="BI137" i="9" s="1"/>
  <c r="CV69" i="9"/>
  <c r="CY75" i="9"/>
  <c r="CY198" i="9" s="1"/>
  <c r="CY60" i="9"/>
  <c r="CY184" i="9" s="1"/>
  <c r="CH75" i="9"/>
  <c r="CH198" i="9" s="1"/>
  <c r="DF61" i="9"/>
  <c r="DF124" i="9" s="1"/>
  <c r="DD39" i="9"/>
  <c r="CF39" i="9"/>
  <c r="CG30" i="9"/>
  <c r="CG156" i="9" s="1"/>
  <c r="CX75" i="9"/>
  <c r="CX137" i="9" s="1"/>
  <c r="CX60" i="9"/>
  <c r="CX123" i="9" s="1"/>
  <c r="BS30" i="9"/>
  <c r="CW60" i="9"/>
  <c r="CW123" i="9" s="1"/>
  <c r="BC30" i="9"/>
  <c r="BC95" i="9" s="1"/>
  <c r="DF75" i="9"/>
  <c r="DF198" i="9" s="1"/>
  <c r="BK75" i="9"/>
  <c r="BK198" i="9" s="1"/>
  <c r="BK30" i="9"/>
  <c r="BK95" i="9" s="1"/>
  <c r="V60" i="9"/>
  <c r="V123" i="9" s="1"/>
  <c r="CG75" i="9"/>
  <c r="CG198" i="9" s="1"/>
  <c r="CO60" i="9"/>
  <c r="CO184" i="9" s="1"/>
  <c r="CG45" i="9"/>
  <c r="CG109" i="9" s="1"/>
  <c r="BS45" i="9"/>
  <c r="BS109" i="9" s="1"/>
  <c r="AU196" i="9"/>
  <c r="BK45" i="9"/>
  <c r="CV39" i="9"/>
  <c r="BJ30" i="9"/>
  <c r="BJ156" i="9" s="1"/>
  <c r="DF45" i="9"/>
  <c r="DF109" i="9" s="1"/>
  <c r="V75" i="9"/>
  <c r="V198" i="9" s="1"/>
  <c r="DF60" i="9"/>
  <c r="DF184" i="9" s="1"/>
  <c r="CW45" i="9"/>
  <c r="CW170" i="9" s="1"/>
  <c r="T69" i="9"/>
  <c r="CW75" i="9"/>
  <c r="CW198" i="9" s="1"/>
  <c r="CV84" i="9"/>
  <c r="DG46" i="9"/>
  <c r="DG110" i="9" s="1"/>
  <c r="CX61" i="9"/>
  <c r="CX124" i="9" s="1"/>
  <c r="DF30" i="9"/>
  <c r="DF95" i="9" s="1"/>
  <c r="CW61" i="9"/>
  <c r="CW124" i="9" s="1"/>
  <c r="V45" i="9"/>
  <c r="V170" i="9" s="1"/>
  <c r="CP60" i="9"/>
  <c r="CP184" i="9" s="1"/>
  <c r="BA60" i="9"/>
  <c r="BA184" i="9" s="1"/>
  <c r="BJ45" i="9"/>
  <c r="CW30" i="9"/>
  <c r="CW95" i="9" s="1"/>
  <c r="BQ45" i="9"/>
  <c r="BQ109" i="9" s="1"/>
  <c r="BA75" i="9"/>
  <c r="BA198" i="9" s="1"/>
  <c r="BJ60" i="9"/>
  <c r="BJ123" i="9" s="1"/>
  <c r="AZ54" i="9"/>
  <c r="CP30" i="9"/>
  <c r="CP95" i="9" s="1"/>
  <c r="DG45" i="9"/>
  <c r="DG109" i="9" s="1"/>
  <c r="BY60" i="9"/>
  <c r="BY184" i="9" s="1"/>
  <c r="BA45" i="9"/>
  <c r="BA109" i="9" s="1"/>
  <c r="DG75" i="9"/>
  <c r="DG137" i="9" s="1"/>
  <c r="BY75" i="9"/>
  <c r="BY198" i="9" s="1"/>
  <c r="AB54" i="9"/>
  <c r="BX84" i="9"/>
  <c r="DG60" i="9"/>
  <c r="BY30" i="9"/>
  <c r="BY95" i="9" s="1"/>
  <c r="BQ30" i="9"/>
  <c r="BQ156" i="9" s="1"/>
  <c r="BA30" i="9"/>
  <c r="BA95" i="9" s="1"/>
  <c r="BY45" i="9"/>
  <c r="BY170" i="9" s="1"/>
  <c r="BS61" i="9"/>
  <c r="BS124" i="9" s="1"/>
  <c r="AD75" i="9"/>
  <c r="AD198" i="9" s="1"/>
  <c r="BZ75" i="9"/>
  <c r="BZ198" i="9" s="1"/>
  <c r="BP54" i="9"/>
  <c r="BZ60" i="9"/>
  <c r="BZ184" i="9" s="1"/>
  <c r="AD60" i="9"/>
  <c r="AD184" i="9" s="1"/>
  <c r="BZ30" i="9"/>
  <c r="BZ156" i="9" s="1"/>
  <c r="BX69" i="9"/>
  <c r="AD45" i="9"/>
  <c r="AD170" i="9" s="1"/>
  <c r="CN39" i="9"/>
  <c r="CN69" i="9"/>
  <c r="CY61" i="9"/>
  <c r="CY124" i="9" s="1"/>
  <c r="BH84" i="9"/>
  <c r="V76" i="9"/>
  <c r="V138" i="9" s="1"/>
  <c r="CP61" i="9"/>
  <c r="CP124" i="9" s="1"/>
  <c r="CF84" i="9"/>
  <c r="AZ39" i="9"/>
  <c r="T84" i="9"/>
  <c r="BH54" i="9"/>
  <c r="T39" i="9"/>
  <c r="AB84" i="9"/>
  <c r="AE30" i="9"/>
  <c r="AE156" i="9" s="1"/>
  <c r="W31" i="9"/>
  <c r="W96" i="9" s="1"/>
  <c r="AE61" i="9"/>
  <c r="DD54" i="9"/>
  <c r="AE45" i="9"/>
  <c r="CV54" i="9"/>
  <c r="BP69" i="9"/>
  <c r="CH30" i="9"/>
  <c r="CH156" i="9" s="1"/>
  <c r="BI45" i="9"/>
  <c r="AE75" i="9"/>
  <c r="BI60" i="9"/>
  <c r="BI123" i="9" s="1"/>
  <c r="BQ46" i="9"/>
  <c r="BQ110" i="9" s="1"/>
  <c r="BR30" i="9"/>
  <c r="BR156" i="9" s="1"/>
  <c r="AB69" i="9"/>
  <c r="BR45" i="9"/>
  <c r="BR170" i="9" s="1"/>
  <c r="BH39" i="9"/>
  <c r="BR60" i="9"/>
  <c r="BR123" i="9" s="1"/>
  <c r="CQ76" i="9"/>
  <c r="CQ138" i="9" s="1"/>
  <c r="AB39" i="9"/>
  <c r="BH69" i="9"/>
  <c r="CI46" i="9"/>
  <c r="CI110" i="9" s="1"/>
  <c r="CH46" i="9"/>
  <c r="CH110" i="9" s="1"/>
  <c r="CQ60" i="9"/>
  <c r="DE45" i="9"/>
  <c r="DE109" i="9" s="1"/>
  <c r="CQ45" i="9"/>
  <c r="CQ170" i="9" s="1"/>
  <c r="CQ75" i="9"/>
  <c r="CQ137" i="9" s="1"/>
  <c r="DE60" i="9"/>
  <c r="DE123" i="9" s="1"/>
  <c r="CQ30" i="9"/>
  <c r="CQ156" i="9" s="1"/>
  <c r="DE30" i="9"/>
  <c r="DE156" i="9" s="1"/>
  <c r="AT61" i="9"/>
  <c r="AT124" i="9" s="1"/>
  <c r="DE75" i="9"/>
  <c r="DE137" i="9" s="1"/>
  <c r="AU107" i="9"/>
  <c r="BR46" i="9"/>
  <c r="BR110" i="9" s="1"/>
  <c r="CF184" i="9"/>
  <c r="CF123" i="9"/>
  <c r="CF54" i="9"/>
  <c r="BP170" i="9"/>
  <c r="BP109" i="9"/>
  <c r="DE77" i="9"/>
  <c r="DE32" i="9"/>
  <c r="DE62" i="9"/>
  <c r="DE47" i="9"/>
  <c r="BX170" i="9"/>
  <c r="BX109" i="9"/>
  <c r="U45" i="9"/>
  <c r="U109" i="9" s="1"/>
  <c r="CO30" i="9"/>
  <c r="CO156" i="9" s="1"/>
  <c r="BX137" i="9"/>
  <c r="BX198" i="9"/>
  <c r="CN95" i="9"/>
  <c r="CN156" i="9"/>
  <c r="BX156" i="9"/>
  <c r="BX95" i="9"/>
  <c r="CN198" i="9"/>
  <c r="CN137" i="9"/>
  <c r="U75" i="9"/>
  <c r="U198" i="9" s="1"/>
  <c r="CN84" i="9"/>
  <c r="CF198" i="9"/>
  <c r="CF137" i="9"/>
  <c r="CW77" i="9"/>
  <c r="CW32" i="9"/>
  <c r="CW47" i="9"/>
  <c r="CW62" i="9"/>
  <c r="DD84" i="9"/>
  <c r="BP137" i="9"/>
  <c r="BP198" i="9"/>
  <c r="CO45" i="9"/>
  <c r="CO170" i="9" s="1"/>
  <c r="U30" i="9"/>
  <c r="U156" i="9" s="1"/>
  <c r="BP84" i="9"/>
  <c r="BP39" i="9"/>
  <c r="CN54" i="9"/>
  <c r="CG77" i="9"/>
  <c r="CG62" i="9"/>
  <c r="CG47" i="9"/>
  <c r="CG32" i="9"/>
  <c r="DE61" i="9"/>
  <c r="DE124" i="9" s="1"/>
  <c r="BP156" i="9"/>
  <c r="BP95" i="9"/>
  <c r="DD69" i="9"/>
  <c r="CI75" i="9"/>
  <c r="CI198" i="9" s="1"/>
  <c r="CF156" i="9"/>
  <c r="CF95" i="9"/>
  <c r="DD170" i="9"/>
  <c r="DD109" i="9"/>
  <c r="CV170" i="9"/>
  <c r="CV109" i="9"/>
  <c r="DD198" i="9"/>
  <c r="DD137" i="9"/>
  <c r="CI30" i="9"/>
  <c r="CA60" i="9"/>
  <c r="DD95" i="9"/>
  <c r="DD156" i="9"/>
  <c r="DD184" i="9"/>
  <c r="DD123" i="9"/>
  <c r="W75" i="9"/>
  <c r="W198" i="9" s="1"/>
  <c r="CI45" i="9"/>
  <c r="CA75" i="9"/>
  <c r="BY31" i="9"/>
  <c r="BY96" i="9" s="1"/>
  <c r="CO76" i="9"/>
  <c r="CO138" i="9" s="1"/>
  <c r="CF109" i="9"/>
  <c r="CF170" i="9"/>
  <c r="CI60" i="9"/>
  <c r="CA30" i="9"/>
  <c r="CA61" i="9"/>
  <c r="CA124" i="9" s="1"/>
  <c r="BP184" i="9"/>
  <c r="BP123" i="9"/>
  <c r="CN109" i="9"/>
  <c r="CN170" i="9"/>
  <c r="W30" i="9"/>
  <c r="BX39" i="9"/>
  <c r="CF69" i="9"/>
  <c r="BY32" i="9"/>
  <c r="BY47" i="9"/>
  <c r="BY62" i="9"/>
  <c r="BY77" i="9"/>
  <c r="CG31" i="9"/>
  <c r="CG96" i="9" s="1"/>
  <c r="CV156" i="9"/>
  <c r="CV95" i="9"/>
  <c r="CO62" i="9"/>
  <c r="CO77" i="9"/>
  <c r="CO32" i="9"/>
  <c r="CO47" i="9"/>
  <c r="CO75" i="9"/>
  <c r="CO137" i="9" s="1"/>
  <c r="W60" i="9"/>
  <c r="BX54" i="9"/>
  <c r="AU182" i="9"/>
  <c r="BZ61" i="9"/>
  <c r="BZ124" i="9" s="1"/>
  <c r="BQ62" i="9"/>
  <c r="BQ32" i="9"/>
  <c r="BQ47" i="9"/>
  <c r="BQ77" i="9"/>
  <c r="CN123" i="9"/>
  <c r="CN184" i="9"/>
  <c r="CV198" i="9"/>
  <c r="CV137" i="9"/>
  <c r="U60" i="9"/>
  <c r="U123" i="9" s="1"/>
  <c r="BX184" i="9"/>
  <c r="BX123" i="9"/>
  <c r="CV123" i="9"/>
  <c r="CV184" i="9"/>
  <c r="BI30" i="9"/>
  <c r="BI95" i="9" s="1"/>
  <c r="AZ84" i="9"/>
  <c r="AU31" i="9"/>
  <c r="AU96" i="9" s="1"/>
  <c r="BK31" i="9"/>
  <c r="BK96" i="9" s="1"/>
  <c r="T54" i="9"/>
  <c r="AZ69" i="9"/>
  <c r="AB170" i="9"/>
  <c r="AB109" i="9"/>
  <c r="AC45" i="9"/>
  <c r="AC170" i="9" s="1"/>
  <c r="T170" i="9"/>
  <c r="T109" i="9"/>
  <c r="AC30" i="9"/>
  <c r="AC156" i="9" s="1"/>
  <c r="T123" i="9"/>
  <c r="T184" i="9"/>
  <c r="AC75" i="9"/>
  <c r="AC198" i="9" s="1"/>
  <c r="T156" i="9"/>
  <c r="T95" i="9"/>
  <c r="AC60" i="9"/>
  <c r="AC184" i="9" s="1"/>
  <c r="T137" i="9"/>
  <c r="T198" i="9"/>
  <c r="U32" i="9"/>
  <c r="U62" i="9"/>
  <c r="U47" i="9"/>
  <c r="U77" i="9"/>
  <c r="AB198" i="9"/>
  <c r="AB137" i="9"/>
  <c r="AB123" i="9"/>
  <c r="AB184" i="9"/>
  <c r="AB156" i="9"/>
  <c r="AB95" i="9"/>
  <c r="BJ61" i="9"/>
  <c r="BJ124" i="9" s="1"/>
  <c r="BB75" i="9"/>
  <c r="BB137" i="9" s="1"/>
  <c r="BB30" i="9"/>
  <c r="BB95" i="9" s="1"/>
  <c r="BB60" i="9"/>
  <c r="BB184" i="9" s="1"/>
  <c r="AU93" i="9"/>
  <c r="AU154" i="9"/>
  <c r="BA46" i="9"/>
  <c r="BA110" i="9" s="1"/>
  <c r="BC45" i="9"/>
  <c r="BC31" i="9"/>
  <c r="BH170" i="9"/>
  <c r="BH109" i="9"/>
  <c r="BH156" i="9"/>
  <c r="BH95" i="9"/>
  <c r="BH123" i="9"/>
  <c r="BH184" i="9"/>
  <c r="AZ198" i="9"/>
  <c r="AZ137" i="9"/>
  <c r="BH137" i="9"/>
  <c r="BH198" i="9"/>
  <c r="AZ184" i="9"/>
  <c r="AZ123" i="9"/>
  <c r="AZ95" i="9"/>
  <c r="AZ156" i="9"/>
  <c r="AZ109" i="9"/>
  <c r="AZ170" i="9"/>
  <c r="BC60" i="9"/>
  <c r="BA62" i="9"/>
  <c r="BA32" i="9"/>
  <c r="BA77" i="9"/>
  <c r="BA47" i="9"/>
  <c r="L75" i="9"/>
  <c r="L45" i="9"/>
  <c r="L60" i="9"/>
  <c r="L30" i="9"/>
  <c r="CY136" i="9"/>
  <c r="DG136" i="9"/>
  <c r="CY122" i="9"/>
  <c r="DG122" i="9"/>
  <c r="DG108" i="9"/>
  <c r="CY108" i="9"/>
  <c r="DG94" i="9"/>
  <c r="CY94" i="9"/>
  <c r="CA94" i="9"/>
  <c r="CQ94" i="9"/>
  <c r="BS94" i="9"/>
  <c r="CI94" i="9"/>
  <c r="CA108" i="9"/>
  <c r="CQ108" i="9"/>
  <c r="BS108" i="9"/>
  <c r="CI108" i="9"/>
  <c r="CA122" i="9"/>
  <c r="BS122" i="9"/>
  <c r="CQ122" i="9"/>
  <c r="CI122" i="9"/>
  <c r="CI136" i="9"/>
  <c r="CQ136" i="9"/>
  <c r="CA136" i="9"/>
  <c r="BS136" i="9"/>
  <c r="BC136" i="9"/>
  <c r="BK136" i="9"/>
  <c r="AU136" i="9"/>
  <c r="BC122" i="9"/>
  <c r="BK122" i="9"/>
  <c r="AU122" i="9"/>
  <c r="BC108" i="9"/>
  <c r="BK108" i="9"/>
  <c r="AU108" i="9"/>
  <c r="BC94" i="9"/>
  <c r="BK94" i="9"/>
  <c r="W136" i="9"/>
  <c r="AE136" i="9"/>
  <c r="W122" i="9"/>
  <c r="AE122" i="9"/>
  <c r="AE108" i="9"/>
  <c r="W108" i="9"/>
  <c r="W94" i="9"/>
  <c r="AE94" i="9"/>
  <c r="CF196" i="9"/>
  <c r="CF135" i="9"/>
  <c r="AS135" i="9"/>
  <c r="AS196" i="9"/>
  <c r="BR198" i="9"/>
  <c r="BR137" i="9"/>
  <c r="CV135" i="9"/>
  <c r="CV196" i="9"/>
  <c r="BB135" i="9"/>
  <c r="BB196" i="9"/>
  <c r="CH135" i="9"/>
  <c r="CH196" i="9"/>
  <c r="BY196" i="9"/>
  <c r="BY135" i="9"/>
  <c r="CW196" i="9"/>
  <c r="CW135" i="9"/>
  <c r="BQ135" i="9"/>
  <c r="BQ196" i="9"/>
  <c r="BI196" i="9"/>
  <c r="BI135" i="9"/>
  <c r="AZ196" i="9"/>
  <c r="AZ135" i="9"/>
  <c r="CO135" i="9"/>
  <c r="CO196" i="9"/>
  <c r="CG135" i="9"/>
  <c r="CG196" i="9"/>
  <c r="AT196" i="9"/>
  <c r="AT135" i="9"/>
  <c r="BX196" i="9"/>
  <c r="BX135" i="9"/>
  <c r="BZ196" i="9"/>
  <c r="BZ135" i="9"/>
  <c r="BA196" i="9"/>
  <c r="BA135" i="9"/>
  <c r="DE135" i="9"/>
  <c r="DE196" i="9"/>
  <c r="AR135" i="9"/>
  <c r="AR196" i="9"/>
  <c r="DD135" i="9"/>
  <c r="DD196" i="9"/>
  <c r="BC137" i="9"/>
  <c r="BC198" i="9"/>
  <c r="CX135" i="9"/>
  <c r="CX196" i="9"/>
  <c r="DF196" i="9"/>
  <c r="DF135" i="9"/>
  <c r="CN135" i="9"/>
  <c r="CN196" i="9"/>
  <c r="BJ137" i="9"/>
  <c r="BJ198" i="9"/>
  <c r="CP135" i="9"/>
  <c r="CP196" i="9"/>
  <c r="BJ196" i="9"/>
  <c r="BJ135" i="9"/>
  <c r="BP135" i="9"/>
  <c r="BP196" i="9"/>
  <c r="BH135" i="9"/>
  <c r="BH196" i="9"/>
  <c r="BR135" i="9"/>
  <c r="BR196" i="9"/>
  <c r="AT182" i="9"/>
  <c r="AT121" i="9"/>
  <c r="DF121" i="9"/>
  <c r="DF182" i="9"/>
  <c r="CX182" i="9"/>
  <c r="CX121" i="9"/>
  <c r="CN121" i="9"/>
  <c r="CN182" i="9"/>
  <c r="CP121" i="9"/>
  <c r="CP182" i="9"/>
  <c r="BH121" i="9"/>
  <c r="BH182" i="9"/>
  <c r="BY121" i="9"/>
  <c r="BY182" i="9"/>
  <c r="BZ182" i="9"/>
  <c r="BZ121" i="9"/>
  <c r="DD182" i="9"/>
  <c r="DD121" i="9"/>
  <c r="BJ182" i="9"/>
  <c r="BJ121" i="9"/>
  <c r="AZ121" i="9"/>
  <c r="AZ182" i="9"/>
  <c r="CO182" i="9"/>
  <c r="CO121" i="9"/>
  <c r="DE182" i="9"/>
  <c r="DE121" i="9"/>
  <c r="BI121" i="9"/>
  <c r="BI182" i="9"/>
  <c r="CG182" i="9"/>
  <c r="CG121" i="9"/>
  <c r="CF121" i="9"/>
  <c r="CF182" i="9"/>
  <c r="CV121" i="9"/>
  <c r="CV182" i="9"/>
  <c r="BK123" i="9"/>
  <c r="BK184" i="9"/>
  <c r="BQ182" i="9"/>
  <c r="BQ121" i="9"/>
  <c r="CH121" i="9"/>
  <c r="CH182" i="9"/>
  <c r="BP182" i="9"/>
  <c r="BP121" i="9"/>
  <c r="BA182" i="9"/>
  <c r="BA121" i="9"/>
  <c r="AR182" i="9"/>
  <c r="AR121" i="9"/>
  <c r="AS121" i="9"/>
  <c r="AS182" i="9"/>
  <c r="BX182" i="9"/>
  <c r="BX121" i="9"/>
  <c r="BB182" i="9"/>
  <c r="BB121" i="9"/>
  <c r="CW121" i="9"/>
  <c r="CW182" i="9"/>
  <c r="BR121" i="9"/>
  <c r="BR182" i="9"/>
  <c r="CP109" i="9"/>
  <c r="CP170" i="9"/>
  <c r="CA109" i="9"/>
  <c r="CA170" i="9"/>
  <c r="BZ170" i="9"/>
  <c r="BZ109" i="9"/>
  <c r="CY170" i="9"/>
  <c r="CY109" i="9"/>
  <c r="CH109" i="9"/>
  <c r="CH170" i="9"/>
  <c r="BB109" i="9"/>
  <c r="BB170" i="9"/>
  <c r="BY168" i="9"/>
  <c r="BY107" i="9"/>
  <c r="CF168" i="9"/>
  <c r="CF107" i="9"/>
  <c r="CV168" i="9"/>
  <c r="CV107" i="9"/>
  <c r="AS107" i="9"/>
  <c r="AS168" i="9"/>
  <c r="BQ168" i="9"/>
  <c r="BQ107" i="9"/>
  <c r="CH107" i="9"/>
  <c r="CH168" i="9"/>
  <c r="BZ168" i="9"/>
  <c r="BZ107" i="9"/>
  <c r="AZ107" i="9"/>
  <c r="AZ168" i="9"/>
  <c r="BP168" i="9"/>
  <c r="BP107" i="9"/>
  <c r="CN168" i="9"/>
  <c r="CN107" i="9"/>
  <c r="CP107" i="9"/>
  <c r="CP168" i="9"/>
  <c r="CW107" i="9"/>
  <c r="CW168" i="9"/>
  <c r="BH168" i="9"/>
  <c r="BH107" i="9"/>
  <c r="AT107" i="9"/>
  <c r="AT168" i="9"/>
  <c r="BR107" i="9"/>
  <c r="BR168" i="9"/>
  <c r="CO168" i="9"/>
  <c r="CO107" i="9"/>
  <c r="BA107" i="9"/>
  <c r="BA168" i="9"/>
  <c r="CX168" i="9"/>
  <c r="CX107" i="9"/>
  <c r="CG107" i="9"/>
  <c r="CG168" i="9"/>
  <c r="BJ107" i="9"/>
  <c r="BJ168" i="9"/>
  <c r="DD107" i="9"/>
  <c r="DD168" i="9"/>
  <c r="BX107" i="9"/>
  <c r="BX168" i="9"/>
  <c r="BI107" i="9"/>
  <c r="BI168" i="9"/>
  <c r="DF168" i="9"/>
  <c r="DF107" i="9"/>
  <c r="AR168" i="9"/>
  <c r="AR107" i="9"/>
  <c r="BB107" i="9"/>
  <c r="BB168" i="9"/>
  <c r="DE168" i="9"/>
  <c r="DE107" i="9"/>
  <c r="AJ107" i="9"/>
  <c r="AJ168" i="9"/>
  <c r="DG156" i="9"/>
  <c r="DG95" i="9"/>
  <c r="CX95" i="9"/>
  <c r="CX156" i="9"/>
  <c r="BP93" i="9"/>
  <c r="BP154" i="9"/>
  <c r="CN154" i="9"/>
  <c r="CN93" i="9"/>
  <c r="CP93" i="9"/>
  <c r="CP154" i="9"/>
  <c r="CW93" i="9"/>
  <c r="CW154" i="9"/>
  <c r="CO154" i="9"/>
  <c r="CO93" i="9"/>
  <c r="BB93" i="9"/>
  <c r="BB154" i="9"/>
  <c r="BX154" i="9"/>
  <c r="BX93" i="9"/>
  <c r="AZ154" i="9"/>
  <c r="AZ93" i="9"/>
  <c r="BR154" i="9"/>
  <c r="BR93" i="9"/>
  <c r="BI154" i="9"/>
  <c r="BI93" i="9"/>
  <c r="BJ93" i="9"/>
  <c r="BJ154" i="9"/>
  <c r="CX93" i="9"/>
  <c r="CX154" i="9"/>
  <c r="DE93" i="9"/>
  <c r="DE154" i="9"/>
  <c r="CF93" i="9"/>
  <c r="CF154" i="9"/>
  <c r="CV154" i="9"/>
  <c r="CV93" i="9"/>
  <c r="BA93" i="9"/>
  <c r="BA154" i="9"/>
  <c r="CG93" i="9"/>
  <c r="CG154" i="9"/>
  <c r="BQ154" i="9"/>
  <c r="BQ93" i="9"/>
  <c r="CH154" i="9"/>
  <c r="CH93" i="9"/>
  <c r="BZ154" i="9"/>
  <c r="BZ93" i="9"/>
  <c r="BY154" i="9"/>
  <c r="BY93" i="9"/>
  <c r="DF154" i="9"/>
  <c r="DF93" i="9"/>
  <c r="DD154" i="9"/>
  <c r="DD93" i="9"/>
  <c r="BH93" i="9"/>
  <c r="BH154" i="9"/>
  <c r="T196" i="9"/>
  <c r="T135" i="9"/>
  <c r="V196" i="9"/>
  <c r="V135" i="9"/>
  <c r="D182" i="9"/>
  <c r="D121" i="9"/>
  <c r="E168" i="9"/>
  <c r="E107" i="9"/>
  <c r="T154" i="9"/>
  <c r="T93" i="9"/>
  <c r="AD196" i="9"/>
  <c r="AD135" i="9"/>
  <c r="AC168" i="9"/>
  <c r="AC107" i="9"/>
  <c r="T182" i="9"/>
  <c r="T121" i="9"/>
  <c r="V154" i="9"/>
  <c r="V93" i="9"/>
  <c r="T168" i="9"/>
  <c r="T107" i="9"/>
  <c r="AB196" i="9"/>
  <c r="AB135" i="9"/>
  <c r="D196" i="9"/>
  <c r="D135" i="9"/>
  <c r="AD154" i="9"/>
  <c r="AD93" i="9"/>
  <c r="AC196" i="9"/>
  <c r="AC135" i="9"/>
  <c r="AC154" i="9"/>
  <c r="AC93" i="9"/>
  <c r="V168" i="9"/>
  <c r="V107" i="9"/>
  <c r="AB182" i="9"/>
  <c r="AB121" i="9"/>
  <c r="AD182" i="9"/>
  <c r="AD121" i="9"/>
  <c r="AC182" i="9"/>
  <c r="AC121" i="9"/>
  <c r="V182" i="9"/>
  <c r="V121" i="9"/>
  <c r="U196" i="9"/>
  <c r="U135" i="9"/>
  <c r="U168" i="9"/>
  <c r="U107" i="9"/>
  <c r="U182" i="9"/>
  <c r="U121" i="9"/>
  <c r="U154" i="9"/>
  <c r="U93" i="9"/>
  <c r="AB154" i="9"/>
  <c r="AB93" i="9"/>
  <c r="D168" i="9"/>
  <c r="D107" i="9"/>
  <c r="AD168" i="9"/>
  <c r="AD107" i="9"/>
  <c r="AB168" i="9"/>
  <c r="AB107" i="9"/>
  <c r="D154" i="9"/>
  <c r="D93" i="9"/>
  <c r="DD44" i="9"/>
  <c r="DD74" i="9"/>
  <c r="DD85" i="9" s="1"/>
  <c r="DD29" i="9"/>
  <c r="DD40" i="9" s="1"/>
  <c r="DD59" i="9"/>
  <c r="DD70" i="9" s="1"/>
  <c r="BX59" i="9"/>
  <c r="BX70" i="9" s="1"/>
  <c r="BX44" i="9"/>
  <c r="BX29" i="9"/>
  <c r="BX74" i="9"/>
  <c r="CO44" i="9"/>
  <c r="CO59" i="9"/>
  <c r="CO29" i="9"/>
  <c r="CO74" i="9"/>
  <c r="CF29" i="9"/>
  <c r="CF40" i="9" s="1"/>
  <c r="CF74" i="9"/>
  <c r="CF59" i="9"/>
  <c r="CF44" i="9"/>
  <c r="CV44" i="9"/>
  <c r="CV29" i="9"/>
  <c r="CV40" i="9" s="1"/>
  <c r="CV59" i="9"/>
  <c r="CV70" i="9" s="1"/>
  <c r="CV74" i="9"/>
  <c r="CV85" i="9" s="1"/>
  <c r="DF44" i="9"/>
  <c r="DF74" i="9"/>
  <c r="DF29" i="9"/>
  <c r="DF59" i="9"/>
  <c r="BJ74" i="9"/>
  <c r="BJ44" i="9"/>
  <c r="BJ29" i="9"/>
  <c r="BJ59" i="9"/>
  <c r="CW29" i="9"/>
  <c r="CW44" i="9"/>
  <c r="CW59" i="9"/>
  <c r="CW74" i="9"/>
  <c r="CX29" i="9"/>
  <c r="CX44" i="9"/>
  <c r="CX59" i="9"/>
  <c r="CX74" i="9"/>
  <c r="BA74" i="9"/>
  <c r="BA44" i="9"/>
  <c r="BA29" i="9"/>
  <c r="BA59" i="9"/>
  <c r="AS29" i="9"/>
  <c r="AZ74" i="9"/>
  <c r="AZ85" i="9" s="1"/>
  <c r="AZ44" i="9"/>
  <c r="AZ55" i="9" s="1"/>
  <c r="AZ29" i="9"/>
  <c r="AZ40" i="9" s="1"/>
  <c r="AZ59" i="9"/>
  <c r="CH74" i="9"/>
  <c r="CH29" i="9"/>
  <c r="CH59" i="9"/>
  <c r="CH44" i="9"/>
  <c r="AT29" i="9"/>
  <c r="BB74" i="9"/>
  <c r="BB44" i="9"/>
  <c r="BB59" i="9"/>
  <c r="BB29" i="9"/>
  <c r="BQ29" i="9"/>
  <c r="BQ74" i="9"/>
  <c r="BQ59" i="9"/>
  <c r="BQ44" i="9"/>
  <c r="CN44" i="9"/>
  <c r="CN55" i="9" s="1"/>
  <c r="CN59" i="9"/>
  <c r="CN70" i="9" s="1"/>
  <c r="CN29" i="9"/>
  <c r="CN74" i="9"/>
  <c r="CP44" i="9"/>
  <c r="CP29" i="9"/>
  <c r="CP74" i="9"/>
  <c r="CP59" i="9"/>
  <c r="BH44" i="9"/>
  <c r="BH55" i="9" s="1"/>
  <c r="BH74" i="9"/>
  <c r="BH85" i="9" s="1"/>
  <c r="BH29" i="9"/>
  <c r="BH59" i="9"/>
  <c r="BR29" i="9"/>
  <c r="BR74" i="9"/>
  <c r="BR59" i="9"/>
  <c r="BR44" i="9"/>
  <c r="BY59" i="9"/>
  <c r="BY44" i="9"/>
  <c r="BY29" i="9"/>
  <c r="BY74" i="9"/>
  <c r="BZ59" i="9"/>
  <c r="BZ44" i="9"/>
  <c r="BZ29" i="9"/>
  <c r="BZ74" i="9"/>
  <c r="AR29" i="9"/>
  <c r="BI44" i="9"/>
  <c r="BI74" i="9"/>
  <c r="BI29" i="9"/>
  <c r="BI59" i="9"/>
  <c r="CG29" i="9"/>
  <c r="CG74" i="9"/>
  <c r="CG59" i="9"/>
  <c r="CG44" i="9"/>
  <c r="AK29" i="9"/>
  <c r="DE44" i="9"/>
  <c r="DE74" i="9"/>
  <c r="DE29" i="9"/>
  <c r="DE59" i="9"/>
  <c r="BP29" i="9"/>
  <c r="BP40" i="9" s="1"/>
  <c r="BP74" i="9"/>
  <c r="BP85" i="9" s="1"/>
  <c r="BP44" i="9"/>
  <c r="BP55" i="9" s="1"/>
  <c r="BP59" i="9"/>
  <c r="BP70" i="9" s="1"/>
  <c r="D59" i="9"/>
  <c r="D29" i="9"/>
  <c r="D74" i="9"/>
  <c r="D44" i="9"/>
  <c r="AC29" i="9"/>
  <c r="AC74" i="9"/>
  <c r="AC44" i="9"/>
  <c r="AC59" i="9"/>
  <c r="AB29" i="9"/>
  <c r="AB74" i="9"/>
  <c r="AB44" i="9"/>
  <c r="AB59" i="9"/>
  <c r="AD44" i="9"/>
  <c r="AD29" i="9"/>
  <c r="AD74" i="9"/>
  <c r="AD59" i="9"/>
  <c r="AT59" i="9"/>
  <c r="AT74" i="9"/>
  <c r="AT44" i="9"/>
  <c r="AR74" i="9"/>
  <c r="AR44" i="9"/>
  <c r="AR55" i="9" s="1"/>
  <c r="AR59" i="9"/>
  <c r="AR70" i="9" s="1"/>
  <c r="AS59" i="9"/>
  <c r="AS74" i="9"/>
  <c r="AS44" i="9"/>
  <c r="AK59" i="9"/>
  <c r="AK44" i="9"/>
  <c r="AK74" i="9"/>
  <c r="V59" i="9"/>
  <c r="V29" i="9"/>
  <c r="V74" i="9"/>
  <c r="V44" i="9"/>
  <c r="T59" i="9"/>
  <c r="T70" i="9" s="1"/>
  <c r="T29" i="9"/>
  <c r="T40" i="9" s="1"/>
  <c r="T74" i="9"/>
  <c r="T44" i="9"/>
  <c r="U59" i="9"/>
  <c r="U29" i="9"/>
  <c r="U74" i="9"/>
  <c r="U44" i="9"/>
  <c r="L44" i="9"/>
  <c r="L74" i="9"/>
  <c r="L29" i="9"/>
  <c r="L59" i="9"/>
  <c r="L58" i="9"/>
  <c r="L73" i="9"/>
  <c r="L28" i="9"/>
  <c r="L43" i="9"/>
  <c r="L10" i="9" l="1"/>
  <c r="M29" i="9"/>
  <c r="M182" i="9"/>
  <c r="M44" i="9"/>
  <c r="M108" i="9" s="1"/>
  <c r="M59" i="9"/>
  <c r="M122" i="9" s="1"/>
  <c r="N58" i="9"/>
  <c r="N182" i="9" s="1"/>
  <c r="N73" i="9"/>
  <c r="N196" i="9" s="1"/>
  <c r="K17" i="9"/>
  <c r="K16" i="9"/>
  <c r="N28" i="9"/>
  <c r="N93" i="9" s="1"/>
  <c r="M107" i="9"/>
  <c r="AL7" i="9"/>
  <c r="AL8" i="9" s="1"/>
  <c r="M7" i="9"/>
  <c r="M12" i="9" s="1"/>
  <c r="L11" i="9"/>
  <c r="AK20" i="9"/>
  <c r="AL9" i="9"/>
  <c r="N107" i="9"/>
  <c r="M93" i="9"/>
  <c r="M196" i="9"/>
  <c r="AK196" i="9"/>
  <c r="AK107" i="9"/>
  <c r="AK182" i="9"/>
  <c r="AJ20" i="9"/>
  <c r="AL59" i="9"/>
  <c r="AL122" i="9" s="1"/>
  <c r="AL44" i="9"/>
  <c r="AL108" i="9" s="1"/>
  <c r="AL74" i="9"/>
  <c r="AL136" i="9" s="1"/>
  <c r="F73" i="9"/>
  <c r="F196" i="9" s="1"/>
  <c r="C17" i="9"/>
  <c r="C19" i="9" s="1"/>
  <c r="G29" i="9" s="1"/>
  <c r="G94" i="9" s="1"/>
  <c r="E93" i="9"/>
  <c r="E135" i="9"/>
  <c r="E121" i="9"/>
  <c r="AK93" i="9"/>
  <c r="AK154" i="9"/>
  <c r="AI17" i="9"/>
  <c r="AL28" i="9"/>
  <c r="AL58" i="9"/>
  <c r="AL43" i="9"/>
  <c r="AL73" i="9"/>
  <c r="E44" i="9"/>
  <c r="E108" i="9" s="1"/>
  <c r="F43" i="9"/>
  <c r="F168" i="9" s="1"/>
  <c r="F58" i="9"/>
  <c r="F182" i="9" s="1"/>
  <c r="E29" i="9"/>
  <c r="E94" i="9" s="1"/>
  <c r="E74" i="9"/>
  <c r="E136" i="9" s="1"/>
  <c r="D10" i="9"/>
  <c r="E7" i="9" s="1"/>
  <c r="D16" i="9"/>
  <c r="G46" i="9" s="1"/>
  <c r="G110" i="9" s="1"/>
  <c r="C16" i="9"/>
  <c r="F28" i="9"/>
  <c r="D13" i="9"/>
  <c r="F61" i="9" s="1"/>
  <c r="F124" i="9" s="1"/>
  <c r="AR198" i="9"/>
  <c r="AR206" i="9" s="1"/>
  <c r="L73" i="20" s="1"/>
  <c r="AR137" i="9"/>
  <c r="BI62" i="9"/>
  <c r="BI69" i="9" s="1"/>
  <c r="BJ32" i="9"/>
  <c r="BI47" i="9"/>
  <c r="BI172" i="9" s="1"/>
  <c r="BI32" i="9"/>
  <c r="BI38" i="9" s="1"/>
  <c r="AS31" i="9"/>
  <c r="AS96" i="9" s="1"/>
  <c r="AS75" i="9"/>
  <c r="AS137" i="9" s="1"/>
  <c r="E45" i="9"/>
  <c r="E109" i="9" s="1"/>
  <c r="D39" i="9"/>
  <c r="D156" i="9"/>
  <c r="D164" i="9" s="1"/>
  <c r="L11" i="20" s="1"/>
  <c r="D184" i="9"/>
  <c r="D192" i="9" s="1"/>
  <c r="L49" i="20" s="1"/>
  <c r="E30" i="9"/>
  <c r="E156" i="9" s="1"/>
  <c r="D123" i="9"/>
  <c r="E75" i="9"/>
  <c r="E137" i="9" s="1"/>
  <c r="E60" i="9"/>
  <c r="E184" i="9" s="1"/>
  <c r="D84" i="9"/>
  <c r="D198" i="9"/>
  <c r="D206" i="9" s="1"/>
  <c r="L68" i="20" s="1"/>
  <c r="D109" i="9"/>
  <c r="D170" i="9"/>
  <c r="D178" i="9" s="1"/>
  <c r="L30" i="20" s="1"/>
  <c r="AE123" i="9"/>
  <c r="AS123" i="9"/>
  <c r="AD156" i="9"/>
  <c r="AC62" i="9"/>
  <c r="AC186" i="9" s="1"/>
  <c r="AC47" i="9"/>
  <c r="AC111" i="9" s="1"/>
  <c r="AE33" i="9"/>
  <c r="AE98" i="9" s="1"/>
  <c r="AD33" i="9"/>
  <c r="AD98" i="9" s="1"/>
  <c r="AD47" i="9"/>
  <c r="AC32" i="9"/>
  <c r="AC97" i="9" s="1"/>
  <c r="AE62" i="9"/>
  <c r="AJ74" i="9"/>
  <c r="AJ85" i="9" s="1"/>
  <c r="AJ59" i="9"/>
  <c r="AJ70" i="9" s="1"/>
  <c r="AR184" i="9"/>
  <c r="AR192" i="9" s="1"/>
  <c r="L54" i="20" s="1"/>
  <c r="AJ44" i="9"/>
  <c r="AJ108" i="9" s="1"/>
  <c r="AR69" i="9"/>
  <c r="V156" i="9"/>
  <c r="AS45" i="9"/>
  <c r="AS109" i="9" s="1"/>
  <c r="AJ40" i="9"/>
  <c r="AS30" i="9"/>
  <c r="AS156" i="9" s="1"/>
  <c r="AJ45" i="9"/>
  <c r="AJ170" i="9" s="1"/>
  <c r="AJ178" i="9" s="1"/>
  <c r="L34" i="20" s="1"/>
  <c r="AJ75" i="9"/>
  <c r="AJ137" i="9" s="1"/>
  <c r="AK75" i="9"/>
  <c r="AK198" i="9" s="1"/>
  <c r="AJ30" i="9"/>
  <c r="AJ39" i="9" s="1"/>
  <c r="AJ60" i="9"/>
  <c r="W109" i="9"/>
  <c r="G60" i="9"/>
  <c r="AT95" i="9"/>
  <c r="AT75" i="9"/>
  <c r="AT198" i="9" s="1"/>
  <c r="AM75" i="9"/>
  <c r="AR156" i="9"/>
  <c r="AR164" i="9" s="1"/>
  <c r="L16" i="20" s="1"/>
  <c r="AR39" i="9"/>
  <c r="AU60" i="9"/>
  <c r="AU184" i="9" s="1"/>
  <c r="AU75" i="9"/>
  <c r="AU137" i="9" s="1"/>
  <c r="AT60" i="9"/>
  <c r="AT184" i="9" s="1"/>
  <c r="AL45" i="9"/>
  <c r="AL170" i="9" s="1"/>
  <c r="AR170" i="9"/>
  <c r="AR178" i="9" s="1"/>
  <c r="L35" i="20" s="1"/>
  <c r="AU45" i="9"/>
  <c r="AU170" i="9" s="1"/>
  <c r="AR54" i="9"/>
  <c r="AT45" i="9"/>
  <c r="AT170" i="9" s="1"/>
  <c r="AU156" i="9"/>
  <c r="AJ154" i="9"/>
  <c r="AJ135" i="9"/>
  <c r="AJ182" i="9"/>
  <c r="BS184" i="9"/>
  <c r="T178" i="9"/>
  <c r="L32" i="20" s="1"/>
  <c r="BX164" i="9"/>
  <c r="L20" i="20" s="1"/>
  <c r="CV164" i="9"/>
  <c r="L23" i="20" s="1"/>
  <c r="CV178" i="9"/>
  <c r="L42" i="20" s="1"/>
  <c r="T192" i="9"/>
  <c r="L51" i="20" s="1"/>
  <c r="AB192" i="9"/>
  <c r="L52" i="20" s="1"/>
  <c r="BH164" i="9"/>
  <c r="L18" i="20" s="1"/>
  <c r="CF192" i="9"/>
  <c r="L59" i="20" s="1"/>
  <c r="AZ206" i="9"/>
  <c r="L74" i="20" s="1"/>
  <c r="BH192" i="9"/>
  <c r="L56" i="20" s="1"/>
  <c r="BP192" i="9"/>
  <c r="L57" i="20" s="1"/>
  <c r="BX178" i="9"/>
  <c r="L39" i="20" s="1"/>
  <c r="BP206" i="9"/>
  <c r="L76" i="20" s="1"/>
  <c r="CN206" i="9"/>
  <c r="L79" i="20" s="1"/>
  <c r="CV192" i="9"/>
  <c r="L61" i="20" s="1"/>
  <c r="CF206" i="9"/>
  <c r="L78" i="20" s="1"/>
  <c r="DD164" i="9"/>
  <c r="L24" i="20" s="1"/>
  <c r="L83" i="9"/>
  <c r="AB178" i="9"/>
  <c r="L33" i="20" s="1"/>
  <c r="CN164" i="9"/>
  <c r="L22" i="20" s="1"/>
  <c r="CW68" i="9"/>
  <c r="T164" i="9"/>
  <c r="L13" i="20" s="1"/>
  <c r="U84" i="9"/>
  <c r="BH178" i="9"/>
  <c r="L37" i="20" s="1"/>
  <c r="BY38" i="9"/>
  <c r="CF164" i="9"/>
  <c r="L21" i="20" s="1"/>
  <c r="AZ192" i="9"/>
  <c r="L55" i="20" s="1"/>
  <c r="L68" i="9"/>
  <c r="BH206" i="9"/>
  <c r="L75" i="20" s="1"/>
  <c r="DE68" i="9"/>
  <c r="CG38" i="9"/>
  <c r="AZ164" i="9"/>
  <c r="L17" i="20" s="1"/>
  <c r="DD192" i="9"/>
  <c r="L62" i="20" s="1"/>
  <c r="BX206" i="9"/>
  <c r="L77" i="20" s="1"/>
  <c r="CN192" i="9"/>
  <c r="L60" i="20" s="1"/>
  <c r="DD206" i="9"/>
  <c r="L81" i="20" s="1"/>
  <c r="BQ53" i="9"/>
  <c r="AB55" i="9"/>
  <c r="AB53" i="9"/>
  <c r="BX85" i="9"/>
  <c r="BX83" i="9"/>
  <c r="W123" i="9"/>
  <c r="AR85" i="9"/>
  <c r="AR83" i="9"/>
  <c r="AB70" i="9"/>
  <c r="AB68" i="9"/>
  <c r="D55" i="9"/>
  <c r="D53" i="9"/>
  <c r="CV55" i="9"/>
  <c r="CV53" i="9"/>
  <c r="DD55" i="9"/>
  <c r="DD53" i="9"/>
  <c r="AB206" i="9"/>
  <c r="L71" i="20" s="1"/>
  <c r="W156" i="9"/>
  <c r="CA156" i="9"/>
  <c r="CA198" i="9"/>
  <c r="CI123" i="9"/>
  <c r="D40" i="9"/>
  <c r="D38" i="9"/>
  <c r="CN85" i="9"/>
  <c r="CN83" i="9"/>
  <c r="CF70" i="9"/>
  <c r="CF68" i="9"/>
  <c r="BC96" i="9"/>
  <c r="AB40" i="9"/>
  <c r="AB38" i="9"/>
  <c r="BH40" i="9"/>
  <c r="BH38" i="9"/>
  <c r="AZ70" i="9"/>
  <c r="AZ68" i="9"/>
  <c r="CO83" i="9"/>
  <c r="D85" i="9"/>
  <c r="D83" i="9"/>
  <c r="CF55" i="9"/>
  <c r="CF53" i="9"/>
  <c r="BC184" i="9"/>
  <c r="AB85" i="9"/>
  <c r="AB83" i="9"/>
  <c r="BH70" i="9"/>
  <c r="BH68" i="9"/>
  <c r="BA53" i="9"/>
  <c r="CF85" i="9"/>
  <c r="CF83" i="9"/>
  <c r="T55" i="9"/>
  <c r="T53" i="9"/>
  <c r="BX40" i="9"/>
  <c r="BX38" i="9"/>
  <c r="T85" i="9"/>
  <c r="T83" i="9"/>
  <c r="D70" i="9"/>
  <c r="D68" i="9"/>
  <c r="CN40" i="9"/>
  <c r="CN38" i="9"/>
  <c r="BX55" i="9"/>
  <c r="BX53" i="9"/>
  <c r="U83" i="9"/>
  <c r="BC109" i="9"/>
  <c r="L38" i="9"/>
  <c r="AZ178" i="9"/>
  <c r="L36" i="20" s="1"/>
  <c r="CV206" i="9"/>
  <c r="L80" i="20" s="1"/>
  <c r="AR53" i="9"/>
  <c r="CN53" i="9"/>
  <c r="BP53" i="9"/>
  <c r="BP68" i="9"/>
  <c r="BX68" i="9"/>
  <c r="T38" i="9"/>
  <c r="AZ83" i="9"/>
  <c r="CA123" i="9"/>
  <c r="T68" i="9"/>
  <c r="CV68" i="9"/>
  <c r="CI95" i="9"/>
  <c r="AE198" i="9"/>
  <c r="AE109" i="9"/>
  <c r="BH53" i="9"/>
  <c r="AR68" i="9"/>
  <c r="BP83" i="9"/>
  <c r="AZ38" i="9"/>
  <c r="CV38" i="9"/>
  <c r="CN178" i="9"/>
  <c r="L41" i="20" s="1"/>
  <c r="CF178" i="9"/>
  <c r="L40" i="20" s="1"/>
  <c r="BX192" i="9"/>
  <c r="L58" i="20" s="1"/>
  <c r="AE124" i="9"/>
  <c r="CN68" i="9"/>
  <c r="DD68" i="9"/>
  <c r="DD83" i="9"/>
  <c r="BH83" i="9"/>
  <c r="CQ123" i="9"/>
  <c r="BP164" i="9"/>
  <c r="L19" i="20" s="1"/>
  <c r="DD178" i="9"/>
  <c r="L43" i="20" s="1"/>
  <c r="AZ53" i="9"/>
  <c r="CV83" i="9"/>
  <c r="CF38" i="9"/>
  <c r="AR40" i="9"/>
  <c r="AR38" i="9"/>
  <c r="L53" i="9"/>
  <c r="AB164" i="9"/>
  <c r="L14" i="20" s="1"/>
  <c r="T206" i="9"/>
  <c r="L70" i="20" s="1"/>
  <c r="BP178" i="9"/>
  <c r="L38" i="20" s="1"/>
  <c r="DG123" i="9"/>
  <c r="BS95" i="9"/>
  <c r="DD38" i="9"/>
  <c r="BP38" i="9"/>
  <c r="BJ170" i="9"/>
  <c r="BK170" i="9"/>
  <c r="BI109" i="9"/>
  <c r="CP137" i="9"/>
  <c r="CY137" i="9"/>
  <c r="BY156" i="9"/>
  <c r="BQ69" i="9"/>
  <c r="BQ184" i="9"/>
  <c r="CW184" i="9"/>
  <c r="CH95" i="9"/>
  <c r="CX109" i="9"/>
  <c r="BS137" i="9"/>
  <c r="CY95" i="9"/>
  <c r="BC156" i="9"/>
  <c r="CG123" i="9"/>
  <c r="CG69" i="9"/>
  <c r="BR61" i="9"/>
  <c r="BR124" i="9" s="1"/>
  <c r="BS156" i="9"/>
  <c r="BJ109" i="9"/>
  <c r="BI198" i="9"/>
  <c r="BQ84" i="9"/>
  <c r="CH184" i="9"/>
  <c r="BQ137" i="9"/>
  <c r="BI84" i="9"/>
  <c r="CY46" i="9"/>
  <c r="CG54" i="9"/>
  <c r="CX31" i="9"/>
  <c r="CX96" i="9" s="1"/>
  <c r="CX46" i="9"/>
  <c r="CX110" i="9" s="1"/>
  <c r="AE46" i="9"/>
  <c r="AE110" i="9" s="1"/>
  <c r="CX76" i="9"/>
  <c r="CX138" i="9" s="1"/>
  <c r="DF170" i="9"/>
  <c r="AE76" i="9"/>
  <c r="AE138" i="9" s="1"/>
  <c r="CH137" i="9"/>
  <c r="DF156" i="9"/>
  <c r="CQ184" i="9"/>
  <c r="AT31" i="9"/>
  <c r="AT96" i="9" s="1"/>
  <c r="CG170" i="9"/>
  <c r="BA137" i="9"/>
  <c r="V137" i="9"/>
  <c r="DF137" i="9"/>
  <c r="DF31" i="9"/>
  <c r="DF96" i="9" s="1"/>
  <c r="DF76" i="9"/>
  <c r="DF138" i="9" s="1"/>
  <c r="DF46" i="9"/>
  <c r="DF110" i="9" s="1"/>
  <c r="CY123" i="9"/>
  <c r="DE31" i="9"/>
  <c r="DE96" i="9" s="1"/>
  <c r="BJ184" i="9"/>
  <c r="U95" i="9"/>
  <c r="L39" i="9"/>
  <c r="BS170" i="9"/>
  <c r="AD123" i="9"/>
  <c r="BK137" i="9"/>
  <c r="CW31" i="9"/>
  <c r="CW96" i="9" s="1"/>
  <c r="CW46" i="9"/>
  <c r="CW76" i="9"/>
  <c r="CW138" i="9" s="1"/>
  <c r="BZ48" i="9"/>
  <c r="BZ112" i="9" s="1"/>
  <c r="BK156" i="9"/>
  <c r="V184" i="9"/>
  <c r="CG95" i="9"/>
  <c r="CI31" i="9"/>
  <c r="CI96" i="9" s="1"/>
  <c r="BY123" i="9"/>
  <c r="DG61" i="9"/>
  <c r="DG124" i="9" s="1"/>
  <c r="CW156" i="9"/>
  <c r="CQ95" i="9"/>
  <c r="BZ137" i="9"/>
  <c r="BA76" i="9"/>
  <c r="BA138" i="9" s="1"/>
  <c r="CW69" i="9"/>
  <c r="W61" i="9"/>
  <c r="W124" i="9" s="1"/>
  <c r="CG46" i="9"/>
  <c r="BJ95" i="9"/>
  <c r="CI61" i="9"/>
  <c r="CI124" i="9" s="1"/>
  <c r="CX198" i="9"/>
  <c r="U170" i="9"/>
  <c r="BQ170" i="9"/>
  <c r="CW137" i="9"/>
  <c r="CX184" i="9"/>
  <c r="CG137" i="9"/>
  <c r="BR109" i="9"/>
  <c r="BK76" i="9"/>
  <c r="BK138" i="9" s="1"/>
  <c r="BZ76" i="9"/>
  <c r="BZ138" i="9" s="1"/>
  <c r="BK46" i="9"/>
  <c r="BK110" i="9" s="1"/>
  <c r="AE95" i="9"/>
  <c r="CO123" i="9"/>
  <c r="BZ46" i="9"/>
  <c r="BZ110" i="9" s="1"/>
  <c r="DG170" i="9"/>
  <c r="BZ31" i="9"/>
  <c r="BK61" i="9"/>
  <c r="AD137" i="9"/>
  <c r="CO69" i="9"/>
  <c r="CG84" i="9"/>
  <c r="BR76" i="9"/>
  <c r="BR138" i="9" s="1"/>
  <c r="CP31" i="9"/>
  <c r="CP96" i="9" s="1"/>
  <c r="CI137" i="9"/>
  <c r="CP78" i="9"/>
  <c r="CP140" i="9" s="1"/>
  <c r="BR31" i="9"/>
  <c r="BR96" i="9" s="1"/>
  <c r="CP76" i="9"/>
  <c r="CP138" i="9" s="1"/>
  <c r="DG184" i="9"/>
  <c r="CW84" i="9"/>
  <c r="CA76" i="9"/>
  <c r="U184" i="9"/>
  <c r="DE170" i="9"/>
  <c r="DG198" i="9"/>
  <c r="BA39" i="9"/>
  <c r="V31" i="9"/>
  <c r="V96" i="9" s="1"/>
  <c r="BI61" i="9"/>
  <c r="BI124" i="9" s="1"/>
  <c r="W184" i="9"/>
  <c r="DF123" i="9"/>
  <c r="BK109" i="9"/>
  <c r="BC46" i="9"/>
  <c r="BC110" i="9" s="1"/>
  <c r="AE170" i="9"/>
  <c r="CW109" i="9"/>
  <c r="BR184" i="9"/>
  <c r="BQ76" i="9"/>
  <c r="BA156" i="9"/>
  <c r="DE198" i="9"/>
  <c r="CQ31" i="9"/>
  <c r="W46" i="9"/>
  <c r="AC61" i="9"/>
  <c r="AC124" i="9" s="1"/>
  <c r="CG61" i="9"/>
  <c r="CG124" i="9" s="1"/>
  <c r="CQ46" i="9"/>
  <c r="CQ110" i="9" s="1"/>
  <c r="BA31" i="9"/>
  <c r="BY109" i="9"/>
  <c r="BY39" i="9"/>
  <c r="BB123" i="9"/>
  <c r="CI76" i="9"/>
  <c r="BA61" i="9"/>
  <c r="BA124" i="9" s="1"/>
  <c r="BY84" i="9"/>
  <c r="V61" i="9"/>
  <c r="DG31" i="9"/>
  <c r="BS31" i="9"/>
  <c r="BS96" i="9" s="1"/>
  <c r="CP156" i="9"/>
  <c r="CA95" i="9"/>
  <c r="CP123" i="9"/>
  <c r="BI184" i="9"/>
  <c r="BY137" i="9"/>
  <c r="BY69" i="9"/>
  <c r="BS76" i="9"/>
  <c r="BS138" i="9" s="1"/>
  <c r="U31" i="9"/>
  <c r="U96" i="9" s="1"/>
  <c r="W76" i="9"/>
  <c r="W138" i="9" s="1"/>
  <c r="DG76" i="9"/>
  <c r="DG138" i="9" s="1"/>
  <c r="CG76" i="9"/>
  <c r="CG138" i="9" s="1"/>
  <c r="BS46" i="9"/>
  <c r="BS110" i="9" s="1"/>
  <c r="V109" i="9"/>
  <c r="CI184" i="9"/>
  <c r="BY54" i="9"/>
  <c r="CW54" i="9"/>
  <c r="U61" i="9"/>
  <c r="U124" i="9" s="1"/>
  <c r="CW39" i="9"/>
  <c r="DE84" i="9"/>
  <c r="DE184" i="9"/>
  <c r="BA69" i="9"/>
  <c r="CP46" i="9"/>
  <c r="CP110" i="9" s="1"/>
  <c r="BI170" i="9"/>
  <c r="AU46" i="9"/>
  <c r="AU110" i="9" s="1"/>
  <c r="DE54" i="9"/>
  <c r="BR95" i="9"/>
  <c r="BA123" i="9"/>
  <c r="AD109" i="9"/>
  <c r="DE95" i="9"/>
  <c r="CY31" i="9"/>
  <c r="CY96" i="9" s="1"/>
  <c r="AE31" i="9"/>
  <c r="CH61" i="9"/>
  <c r="BQ95" i="9"/>
  <c r="BA170" i="9"/>
  <c r="AT46" i="9"/>
  <c r="AT110" i="9" s="1"/>
  <c r="CO31" i="9"/>
  <c r="CO96" i="9" s="1"/>
  <c r="CH76" i="9"/>
  <c r="CH138" i="9" s="1"/>
  <c r="BC170" i="9"/>
  <c r="AT76" i="9"/>
  <c r="CO46" i="9"/>
  <c r="CO110" i="9" s="1"/>
  <c r="CH31" i="9"/>
  <c r="CH96" i="9" s="1"/>
  <c r="CO54" i="9"/>
  <c r="CY76" i="9"/>
  <c r="CY138" i="9" s="1"/>
  <c r="CO61" i="9"/>
  <c r="AC123" i="9"/>
  <c r="CO95" i="9"/>
  <c r="CO109" i="9"/>
  <c r="BZ123" i="9"/>
  <c r="BA54" i="9"/>
  <c r="U46" i="9"/>
  <c r="U110" i="9" s="1"/>
  <c r="V46" i="9"/>
  <c r="V110" i="9" s="1"/>
  <c r="AC76" i="9"/>
  <c r="AC138" i="9" s="1"/>
  <c r="CQ61" i="9"/>
  <c r="CQ124" i="9" s="1"/>
  <c r="CO84" i="9"/>
  <c r="AC31" i="9"/>
  <c r="CA137" i="9"/>
  <c r="AD61" i="9"/>
  <c r="AD124" i="9" s="1"/>
  <c r="AD46" i="9"/>
  <c r="AD110" i="9" s="1"/>
  <c r="BC123" i="9"/>
  <c r="U69" i="9"/>
  <c r="BQ61" i="9"/>
  <c r="BZ95" i="9"/>
  <c r="CA184" i="9"/>
  <c r="AD31" i="9"/>
  <c r="AD96" i="9" s="1"/>
  <c r="BQ31" i="9"/>
  <c r="BQ96" i="9" s="1"/>
  <c r="CQ109" i="9"/>
  <c r="CA78" i="9"/>
  <c r="CA140" i="9" s="1"/>
  <c r="AU76" i="9"/>
  <c r="BI76" i="9"/>
  <c r="BI138" i="9" s="1"/>
  <c r="CI156" i="9"/>
  <c r="CO198" i="9"/>
  <c r="AU61" i="9"/>
  <c r="AU124" i="9" s="1"/>
  <c r="BI46" i="9"/>
  <c r="BI110" i="9" s="1"/>
  <c r="W137" i="9"/>
  <c r="DE69" i="9"/>
  <c r="AE137" i="9"/>
  <c r="CX78" i="9"/>
  <c r="CX140" i="9" s="1"/>
  <c r="CA46" i="9"/>
  <c r="DE76" i="9"/>
  <c r="DE138" i="9" s="1"/>
  <c r="AC95" i="9"/>
  <c r="BI156" i="9"/>
  <c r="CA31" i="9"/>
  <c r="DE46" i="9"/>
  <c r="U137" i="9"/>
  <c r="AC137" i="9"/>
  <c r="U39" i="9"/>
  <c r="CY33" i="9"/>
  <c r="CY98" i="9" s="1"/>
  <c r="BC76" i="9"/>
  <c r="CQ198" i="9"/>
  <c r="BR78" i="9"/>
  <c r="BR140" i="9" s="1"/>
  <c r="U54" i="9"/>
  <c r="CO97" i="9"/>
  <c r="CO158" i="9"/>
  <c r="CI77" i="9"/>
  <c r="CI47" i="9"/>
  <c r="CI62" i="9"/>
  <c r="CI32" i="9"/>
  <c r="DG62" i="9"/>
  <c r="DG47" i="9"/>
  <c r="DG77" i="9"/>
  <c r="DG32" i="9"/>
  <c r="BQ139" i="9"/>
  <c r="BQ200" i="9"/>
  <c r="BQ206" i="9" s="1"/>
  <c r="M76" i="20" s="1"/>
  <c r="DE158" i="9"/>
  <c r="DE164" i="9" s="1"/>
  <c r="M24" i="20" s="1"/>
  <c r="DE97" i="9"/>
  <c r="CG97" i="9"/>
  <c r="CG158" i="9"/>
  <c r="BQ186" i="9"/>
  <c r="BQ125" i="9"/>
  <c r="CG172" i="9"/>
  <c r="CG111" i="9"/>
  <c r="DE139" i="9"/>
  <c r="DE200" i="9"/>
  <c r="BQ172" i="9"/>
  <c r="BQ111" i="9"/>
  <c r="CG186" i="9"/>
  <c r="CG125" i="9"/>
  <c r="CX47" i="9"/>
  <c r="CX32" i="9"/>
  <c r="CX62" i="9"/>
  <c r="CX77" i="9"/>
  <c r="DF62" i="9"/>
  <c r="DF32" i="9"/>
  <c r="DF77" i="9"/>
  <c r="DF47" i="9"/>
  <c r="CO200" i="9"/>
  <c r="CO139" i="9"/>
  <c r="BY46" i="9"/>
  <c r="BY110" i="9" s="1"/>
  <c r="CG139" i="9"/>
  <c r="CG200" i="9"/>
  <c r="CG206" i="9" s="1"/>
  <c r="M78" i="20" s="1"/>
  <c r="CW186" i="9"/>
  <c r="CW125" i="9"/>
  <c r="CH32" i="9"/>
  <c r="CH77" i="9"/>
  <c r="CH62" i="9"/>
  <c r="CH47" i="9"/>
  <c r="BY61" i="9"/>
  <c r="BY124" i="9" s="1"/>
  <c r="DE39" i="9"/>
  <c r="BY76" i="9"/>
  <c r="BY138" i="9" s="1"/>
  <c r="CI109" i="9"/>
  <c r="CG39" i="9"/>
  <c r="CI170" i="9"/>
  <c r="BQ54" i="9"/>
  <c r="BY200" i="9"/>
  <c r="BY206" i="9" s="1"/>
  <c r="M77" i="20" s="1"/>
  <c r="BY139" i="9"/>
  <c r="CW172" i="9"/>
  <c r="CW111" i="9"/>
  <c r="BQ97" i="9"/>
  <c r="BQ158" i="9"/>
  <c r="CW97" i="9"/>
  <c r="CW158" i="9"/>
  <c r="W95" i="9"/>
  <c r="BQ39" i="9"/>
  <c r="CP47" i="9"/>
  <c r="CP32" i="9"/>
  <c r="CP77" i="9"/>
  <c r="CP62" i="9"/>
  <c r="BZ47" i="9"/>
  <c r="BZ32" i="9"/>
  <c r="BZ77" i="9"/>
  <c r="BZ62" i="9"/>
  <c r="CY32" i="9"/>
  <c r="CY62" i="9"/>
  <c r="CY77" i="9"/>
  <c r="CY47" i="9"/>
  <c r="CO186" i="9"/>
  <c r="CO125" i="9"/>
  <c r="CO39" i="9"/>
  <c r="BY186" i="9"/>
  <c r="BY125" i="9"/>
  <c r="CW200" i="9"/>
  <c r="CW206" i="9" s="1"/>
  <c r="M80" i="20" s="1"/>
  <c r="CW139" i="9"/>
  <c r="BS47" i="9"/>
  <c r="BS32" i="9"/>
  <c r="BS77" i="9"/>
  <c r="BS62" i="9"/>
  <c r="CQ47" i="9"/>
  <c r="CQ32" i="9"/>
  <c r="CQ77" i="9"/>
  <c r="CQ62" i="9"/>
  <c r="BY172" i="9"/>
  <c r="BY178" i="9" s="1"/>
  <c r="M39" i="20" s="1"/>
  <c r="BY111" i="9"/>
  <c r="DE186" i="9"/>
  <c r="DE125" i="9"/>
  <c r="BR47" i="9"/>
  <c r="BR32" i="9"/>
  <c r="BR77" i="9"/>
  <c r="BR62" i="9"/>
  <c r="CA77" i="9"/>
  <c r="CA62" i="9"/>
  <c r="CA47" i="9"/>
  <c r="CA32" i="9"/>
  <c r="CO111" i="9"/>
  <c r="CO172" i="9"/>
  <c r="CO178" i="9" s="1"/>
  <c r="M41" i="20" s="1"/>
  <c r="BY97" i="9"/>
  <c r="BY158" i="9"/>
  <c r="DE172" i="9"/>
  <c r="DE111" i="9"/>
  <c r="L84" i="9"/>
  <c r="BB46" i="9"/>
  <c r="BB110" i="9" s="1"/>
  <c r="BB76" i="9"/>
  <c r="BB138" i="9" s="1"/>
  <c r="BB31" i="9"/>
  <c r="BB96" i="9" s="1"/>
  <c r="L54" i="9"/>
  <c r="L69" i="9"/>
  <c r="AC109" i="9"/>
  <c r="BJ76" i="9"/>
  <c r="BJ138" i="9" s="1"/>
  <c r="BJ46" i="9"/>
  <c r="BJ110" i="9" s="1"/>
  <c r="BJ31" i="9"/>
  <c r="BJ96" i="9" s="1"/>
  <c r="AC84" i="9"/>
  <c r="BC61" i="9"/>
  <c r="BC124" i="9" s="1"/>
  <c r="V77" i="9"/>
  <c r="V62" i="9"/>
  <c r="V32" i="9"/>
  <c r="V47" i="9"/>
  <c r="U139" i="9"/>
  <c r="U200" i="9"/>
  <c r="U172" i="9"/>
  <c r="U111" i="9"/>
  <c r="U125" i="9"/>
  <c r="U186" i="9"/>
  <c r="U158" i="9"/>
  <c r="U164" i="9" s="1"/>
  <c r="M13" i="20" s="1"/>
  <c r="U97" i="9"/>
  <c r="AC139" i="9"/>
  <c r="AC200" i="9"/>
  <c r="BB156" i="9"/>
  <c r="BB198" i="9"/>
  <c r="AS77" i="9"/>
  <c r="AS47" i="9"/>
  <c r="AS62" i="9"/>
  <c r="AS32" i="9"/>
  <c r="BB33" i="9"/>
  <c r="BK47" i="9"/>
  <c r="BK77" i="9"/>
  <c r="BK32" i="9"/>
  <c r="BK62" i="9"/>
  <c r="BA111" i="9"/>
  <c r="BA172" i="9"/>
  <c r="BA139" i="9"/>
  <c r="BA200" i="9"/>
  <c r="BA158" i="9"/>
  <c r="BA97" i="9"/>
  <c r="BA125" i="9"/>
  <c r="BA186" i="9"/>
  <c r="BC62" i="9"/>
  <c r="BC32" i="9"/>
  <c r="BC77" i="9"/>
  <c r="BC47" i="9"/>
  <c r="BA84" i="9"/>
  <c r="BI139" i="9"/>
  <c r="BI200" i="9"/>
  <c r="BB62" i="9"/>
  <c r="BB32" i="9"/>
  <c r="BB77" i="9"/>
  <c r="BB47" i="9"/>
  <c r="M75" i="9"/>
  <c r="M30" i="9"/>
  <c r="M45" i="9"/>
  <c r="M60" i="9"/>
  <c r="L95" i="9"/>
  <c r="L156" i="9"/>
  <c r="L123" i="9"/>
  <c r="L184" i="9"/>
  <c r="L109" i="9"/>
  <c r="L170" i="9"/>
  <c r="L137" i="9"/>
  <c r="L198" i="9"/>
  <c r="DE136" i="9"/>
  <c r="CW136" i="9"/>
  <c r="CX136" i="9"/>
  <c r="DF136" i="9"/>
  <c r="CW122" i="9"/>
  <c r="CW70" i="9"/>
  <c r="CX122" i="9"/>
  <c r="DF122" i="9"/>
  <c r="DE122" i="9"/>
  <c r="DE70" i="9"/>
  <c r="DF108" i="9"/>
  <c r="DE108" i="9"/>
  <c r="CW108" i="9"/>
  <c r="CX108" i="9"/>
  <c r="CW94" i="9"/>
  <c r="CX94" i="9"/>
  <c r="DF94" i="9"/>
  <c r="DE94" i="9"/>
  <c r="CP94" i="9"/>
  <c r="CG94" i="9"/>
  <c r="CG40" i="9"/>
  <c r="CO94" i="9"/>
  <c r="CH94" i="9"/>
  <c r="BR94" i="9"/>
  <c r="BY94" i="9"/>
  <c r="BY40" i="9"/>
  <c r="BZ94" i="9"/>
  <c r="BQ94" i="9"/>
  <c r="CO108" i="9"/>
  <c r="BY108" i="9"/>
  <c r="BQ108" i="9"/>
  <c r="BQ55" i="9"/>
  <c r="BZ108" i="9"/>
  <c r="CG108" i="9"/>
  <c r="CH108" i="9"/>
  <c r="BR108" i="9"/>
  <c r="CP108" i="9"/>
  <c r="BY122" i="9"/>
  <c r="BQ122" i="9"/>
  <c r="BZ122" i="9"/>
  <c r="CG122" i="9"/>
  <c r="CH122" i="9"/>
  <c r="BR122" i="9"/>
  <c r="CO122" i="9"/>
  <c r="CP122" i="9"/>
  <c r="CG136" i="9"/>
  <c r="CO136" i="9"/>
  <c r="CO85" i="9"/>
  <c r="CP136" i="9"/>
  <c r="BR136" i="9"/>
  <c r="CH136" i="9"/>
  <c r="BY136" i="9"/>
  <c r="BZ136" i="9"/>
  <c r="BQ136" i="9"/>
  <c r="BI136" i="9"/>
  <c r="BB136" i="9"/>
  <c r="BJ136" i="9"/>
  <c r="BA136" i="9"/>
  <c r="AK136" i="9"/>
  <c r="AT136" i="9"/>
  <c r="AS136" i="9"/>
  <c r="AK122" i="9"/>
  <c r="BI122" i="9"/>
  <c r="BB122" i="9"/>
  <c r="BJ122" i="9"/>
  <c r="BA122" i="9"/>
  <c r="AT122" i="9"/>
  <c r="AS122" i="9"/>
  <c r="AK108" i="9"/>
  <c r="BB108" i="9"/>
  <c r="BI108" i="9"/>
  <c r="BJ108" i="9"/>
  <c r="BA108" i="9"/>
  <c r="BA55" i="9"/>
  <c r="AT108" i="9"/>
  <c r="AS108" i="9"/>
  <c r="BB94" i="9"/>
  <c r="BJ94" i="9"/>
  <c r="BI94" i="9"/>
  <c r="BI40" i="9"/>
  <c r="AT94" i="9"/>
  <c r="BA94" i="9"/>
  <c r="AK94" i="9"/>
  <c r="AS94" i="9"/>
  <c r="AD136" i="9"/>
  <c r="U136" i="9"/>
  <c r="U85" i="9"/>
  <c r="AC136" i="9"/>
  <c r="V136" i="9"/>
  <c r="AC122" i="9"/>
  <c r="V122" i="9"/>
  <c r="AD122" i="9"/>
  <c r="U122" i="9"/>
  <c r="AD108" i="9"/>
  <c r="AC108" i="9"/>
  <c r="AC55" i="9"/>
  <c r="V108" i="9"/>
  <c r="U108" i="9"/>
  <c r="V94" i="9"/>
  <c r="AD94" i="9"/>
  <c r="U94" i="9"/>
  <c r="AC94" i="9"/>
  <c r="L94" i="9"/>
  <c r="L40" i="9"/>
  <c r="M94" i="9"/>
  <c r="L108" i="9"/>
  <c r="L55" i="9"/>
  <c r="M136" i="9"/>
  <c r="L136" i="9"/>
  <c r="L85" i="9"/>
  <c r="L122" i="9"/>
  <c r="L70" i="9"/>
  <c r="E122" i="9"/>
  <c r="CN136" i="9"/>
  <c r="CN145" i="9" s="1"/>
  <c r="D79" i="20" s="1"/>
  <c r="BH136" i="9"/>
  <c r="BP136" i="9"/>
  <c r="AZ136" i="9"/>
  <c r="AZ145" i="9" s="1"/>
  <c r="D74" i="20" s="1"/>
  <c r="DD136" i="9"/>
  <c r="AR136" i="9"/>
  <c r="CF136" i="9"/>
  <c r="CV136" i="9"/>
  <c r="CV145" i="9" s="1"/>
  <c r="D80" i="20" s="1"/>
  <c r="BX136" i="9"/>
  <c r="BX145" i="9" s="1"/>
  <c r="D77" i="20" s="1"/>
  <c r="CV122" i="9"/>
  <c r="CV131" i="9" s="1"/>
  <c r="D61" i="20" s="1"/>
  <c r="BP122" i="9"/>
  <c r="BP131" i="9" s="1"/>
  <c r="D57" i="20" s="1"/>
  <c r="DD122" i="9"/>
  <c r="BX122" i="9"/>
  <c r="AR122" i="9"/>
  <c r="CF122" i="9"/>
  <c r="CF131" i="9" s="1"/>
  <c r="D59" i="20" s="1"/>
  <c r="BH122" i="9"/>
  <c r="BH131" i="9" s="1"/>
  <c r="D56" i="20" s="1"/>
  <c r="CN122" i="9"/>
  <c r="CN131" i="9" s="1"/>
  <c r="D60" i="20" s="1"/>
  <c r="AZ122" i="9"/>
  <c r="AZ131" i="9" s="1"/>
  <c r="D55" i="20" s="1"/>
  <c r="BH108" i="9"/>
  <c r="BH117" i="9" s="1"/>
  <c r="D37" i="20" s="1"/>
  <c r="AZ108" i="9"/>
  <c r="DD108" i="9"/>
  <c r="BP108" i="9"/>
  <c r="CV108" i="9"/>
  <c r="CV117" i="9" s="1"/>
  <c r="D42" i="20" s="1"/>
  <c r="BX108" i="9"/>
  <c r="BX117" i="9" s="1"/>
  <c r="D39" i="20" s="1"/>
  <c r="AR108" i="9"/>
  <c r="AR117" i="9" s="1"/>
  <c r="D35" i="20" s="1"/>
  <c r="CN108" i="9"/>
  <c r="CN117" i="9" s="1"/>
  <c r="D41" i="20" s="1"/>
  <c r="CF108" i="9"/>
  <c r="CF117" i="9" s="1"/>
  <c r="D40" i="20" s="1"/>
  <c r="BX94" i="9"/>
  <c r="AR94" i="9"/>
  <c r="CN94" i="9"/>
  <c r="CF94" i="9"/>
  <c r="CF103" i="9" s="1"/>
  <c r="D21" i="20" s="1"/>
  <c r="CV94" i="9"/>
  <c r="BH94" i="9"/>
  <c r="BP94" i="9"/>
  <c r="BP103" i="9" s="1"/>
  <c r="D19" i="20" s="1"/>
  <c r="AZ94" i="9"/>
  <c r="AZ103" i="9" s="1"/>
  <c r="D17" i="20" s="1"/>
  <c r="DD94" i="9"/>
  <c r="AL94" i="9"/>
  <c r="AB122" i="9"/>
  <c r="AB131" i="9" s="1"/>
  <c r="D52" i="20" s="1"/>
  <c r="L182" i="9"/>
  <c r="L121" i="9"/>
  <c r="L168" i="9"/>
  <c r="L107" i="9"/>
  <c r="T136" i="9"/>
  <c r="L154" i="9"/>
  <c r="L93" i="9"/>
  <c r="T94" i="9"/>
  <c r="T103" i="9" s="1"/>
  <c r="D13" i="20" s="1"/>
  <c r="AB108" i="9"/>
  <c r="AB117" i="9" s="1"/>
  <c r="D33" i="20" s="1"/>
  <c r="AB136" i="9"/>
  <c r="AB145" i="9" s="1"/>
  <c r="D71" i="20" s="1"/>
  <c r="AB94" i="9"/>
  <c r="AB103" i="9" s="1"/>
  <c r="D14" i="20" s="1"/>
  <c r="T122" i="9"/>
  <c r="T131" i="9" s="1"/>
  <c r="D51" i="20" s="1"/>
  <c r="L196" i="9"/>
  <c r="L135" i="9"/>
  <c r="T108" i="9"/>
  <c r="T117" i="9" s="1"/>
  <c r="D32" i="20" s="1"/>
  <c r="D136" i="9"/>
  <c r="D145" i="9" s="1"/>
  <c r="D68" i="20" s="1"/>
  <c r="D122" i="9"/>
  <c r="D108" i="9"/>
  <c r="D94" i="9"/>
  <c r="D103" i="9" s="1"/>
  <c r="N121" i="9" l="1"/>
  <c r="N135" i="9"/>
  <c r="N154" i="9"/>
  <c r="M8" i="9"/>
  <c r="M10" i="9" s="1"/>
  <c r="N74" i="9"/>
  <c r="N136" i="9" s="1"/>
  <c r="N44" i="9"/>
  <c r="N108" i="9" s="1"/>
  <c r="N29" i="9"/>
  <c r="N94" i="9" s="1"/>
  <c r="N59" i="9"/>
  <c r="N122" i="9" s="1"/>
  <c r="N45" i="9"/>
  <c r="N170" i="9" s="1"/>
  <c r="L13" i="9"/>
  <c r="N61" i="9" s="1"/>
  <c r="N124" i="9" s="1"/>
  <c r="O28" i="9"/>
  <c r="K19" i="9"/>
  <c r="K20" i="9" s="1"/>
  <c r="O58" i="9"/>
  <c r="O43" i="9"/>
  <c r="O73" i="9"/>
  <c r="N75" i="9"/>
  <c r="N137" i="9" s="1"/>
  <c r="N7" i="9"/>
  <c r="M11" i="9"/>
  <c r="L14" i="9"/>
  <c r="O75" i="9" s="1"/>
  <c r="O137" i="9" s="1"/>
  <c r="AL20" i="9"/>
  <c r="N9" i="9"/>
  <c r="G59" i="9"/>
  <c r="G122" i="9" s="1"/>
  <c r="F135" i="9"/>
  <c r="AI19" i="9"/>
  <c r="AM7" i="9" s="1"/>
  <c r="G74" i="9"/>
  <c r="G136" i="9" s="1"/>
  <c r="C20" i="9"/>
  <c r="G44" i="9"/>
  <c r="G108" i="9" s="1"/>
  <c r="G58" i="9"/>
  <c r="G28" i="9"/>
  <c r="G73" i="9"/>
  <c r="G43" i="9"/>
  <c r="AL135" i="9"/>
  <c r="AL196" i="9"/>
  <c r="AL107" i="9"/>
  <c r="AL168" i="9"/>
  <c r="AL182" i="9"/>
  <c r="AL121" i="9"/>
  <c r="AL93" i="9"/>
  <c r="AL154" i="9"/>
  <c r="AM43" i="9"/>
  <c r="AM73" i="9"/>
  <c r="AM28" i="9"/>
  <c r="AM58" i="9"/>
  <c r="F121" i="9"/>
  <c r="F107" i="9"/>
  <c r="E76" i="9"/>
  <c r="E85" i="9" s="1"/>
  <c r="F93" i="9"/>
  <c r="F154" i="9"/>
  <c r="F44" i="9"/>
  <c r="F108" i="9" s="1"/>
  <c r="F29" i="9"/>
  <c r="F94" i="9" s="1"/>
  <c r="F74" i="9"/>
  <c r="F136" i="9" s="1"/>
  <c r="F59" i="9"/>
  <c r="F122" i="9" s="1"/>
  <c r="BI125" i="9"/>
  <c r="BI131" i="9" s="1"/>
  <c r="E56" i="20" s="1"/>
  <c r="BJ77" i="9"/>
  <c r="BJ200" i="9" s="1"/>
  <c r="BJ47" i="9"/>
  <c r="BJ111" i="9" s="1"/>
  <c r="BJ62" i="9"/>
  <c r="BJ125" i="9" s="1"/>
  <c r="BI186" i="9"/>
  <c r="BI192" i="9" s="1"/>
  <c r="M56" i="20" s="1"/>
  <c r="E9" i="9"/>
  <c r="E12" i="9"/>
  <c r="BI111" i="9"/>
  <c r="BI117" i="9" s="1"/>
  <c r="E37" i="20" s="1"/>
  <c r="BI54" i="9"/>
  <c r="BI39" i="9"/>
  <c r="AS76" i="9"/>
  <c r="AS138" i="9" s="1"/>
  <c r="AS40" i="9"/>
  <c r="BI158" i="9"/>
  <c r="BI164" i="9" s="1"/>
  <c r="M18" i="20" s="1"/>
  <c r="BI97" i="9"/>
  <c r="BI103" i="9" s="1"/>
  <c r="E18" i="20" s="1"/>
  <c r="E8" i="9"/>
  <c r="E11" i="9" s="1"/>
  <c r="AS46" i="9"/>
  <c r="AS55" i="9" s="1"/>
  <c r="AS61" i="9"/>
  <c r="AS124" i="9" s="1"/>
  <c r="F46" i="9"/>
  <c r="F110" i="9" s="1"/>
  <c r="E46" i="9"/>
  <c r="E55" i="9" s="1"/>
  <c r="F31" i="9"/>
  <c r="F96" i="9" s="1"/>
  <c r="G61" i="9"/>
  <c r="G124" i="9" s="1"/>
  <c r="F76" i="9"/>
  <c r="F138" i="9" s="1"/>
  <c r="AS38" i="9"/>
  <c r="AS95" i="9"/>
  <c r="E31" i="9"/>
  <c r="E96" i="9" s="1"/>
  <c r="E61" i="9"/>
  <c r="E70" i="9" s="1"/>
  <c r="AS198" i="9"/>
  <c r="E170" i="9"/>
  <c r="E198" i="9"/>
  <c r="G76" i="9"/>
  <c r="G138" i="9" s="1"/>
  <c r="AD62" i="9"/>
  <c r="AD186" i="9" s="1"/>
  <c r="G31" i="9"/>
  <c r="G96" i="9" s="1"/>
  <c r="AE77" i="9"/>
  <c r="AE139" i="9" s="1"/>
  <c r="E77" i="9"/>
  <c r="E139" i="9" s="1"/>
  <c r="E62" i="9"/>
  <c r="E125" i="9" s="1"/>
  <c r="AJ136" i="9"/>
  <c r="AJ145" i="9" s="1"/>
  <c r="D72" i="20" s="1"/>
  <c r="AC53" i="9"/>
  <c r="AC172" i="9"/>
  <c r="AC178" i="9" s="1"/>
  <c r="M33" i="20" s="1"/>
  <c r="E47" i="9"/>
  <c r="E172" i="9" s="1"/>
  <c r="E32" i="9"/>
  <c r="E97" i="9" s="1"/>
  <c r="AK31" i="9"/>
  <c r="AK96" i="9" s="1"/>
  <c r="AC54" i="9"/>
  <c r="AJ156" i="9"/>
  <c r="AJ164" i="9" s="1"/>
  <c r="L15" i="20" s="1"/>
  <c r="AK62" i="9"/>
  <c r="AK186" i="9" s="1"/>
  <c r="AE32" i="9"/>
  <c r="AE158" i="9" s="1"/>
  <c r="AC69" i="9"/>
  <c r="D20" i="9"/>
  <c r="E95" i="9"/>
  <c r="AD77" i="9"/>
  <c r="AD200" i="9" s="1"/>
  <c r="AK137" i="9"/>
  <c r="AC158" i="9"/>
  <c r="AC164" i="9" s="1"/>
  <c r="M14" i="20" s="1"/>
  <c r="AC39" i="9"/>
  <c r="D131" i="9"/>
  <c r="D49" i="20" s="1"/>
  <c r="E123" i="9"/>
  <c r="AE47" i="9"/>
  <c r="AE172" i="9" s="1"/>
  <c r="D117" i="9"/>
  <c r="D30" i="20" s="1"/>
  <c r="AC125" i="9"/>
  <c r="AC131" i="9" s="1"/>
  <c r="E52" i="20" s="1"/>
  <c r="AJ68" i="9"/>
  <c r="AD32" i="9"/>
  <c r="AD158" i="9" s="1"/>
  <c r="G75" i="9"/>
  <c r="AJ95" i="9"/>
  <c r="AJ103" i="9" s="1"/>
  <c r="D15" i="20" s="1"/>
  <c r="AT137" i="9"/>
  <c r="AJ55" i="9"/>
  <c r="AJ109" i="9"/>
  <c r="AJ117" i="9" s="1"/>
  <c r="D34" i="20" s="1"/>
  <c r="AJ122" i="9"/>
  <c r="AJ38" i="9"/>
  <c r="AJ123" i="9"/>
  <c r="AJ54" i="9"/>
  <c r="AU109" i="9"/>
  <c r="AK60" i="9"/>
  <c r="AK123" i="9" s="1"/>
  <c r="AJ53" i="9"/>
  <c r="AJ184" i="9"/>
  <c r="AJ192" i="9" s="1"/>
  <c r="L53" i="20" s="1"/>
  <c r="AS170" i="9"/>
  <c r="AJ83" i="9"/>
  <c r="AJ198" i="9"/>
  <c r="AJ206" i="9" s="1"/>
  <c r="L72" i="20" s="1"/>
  <c r="N30" i="9"/>
  <c r="N95" i="9" s="1"/>
  <c r="N60" i="9"/>
  <c r="N123" i="9" s="1"/>
  <c r="W77" i="9"/>
  <c r="W200" i="9" s="1"/>
  <c r="W32" i="9"/>
  <c r="W97" i="9" s="1"/>
  <c r="W47" i="9"/>
  <c r="W111" i="9" s="1"/>
  <c r="W62" i="9"/>
  <c r="W186" i="9" s="1"/>
  <c r="AJ69" i="9"/>
  <c r="AK30" i="9"/>
  <c r="AK95" i="9" s="1"/>
  <c r="AJ84" i="9"/>
  <c r="AK45" i="9"/>
  <c r="AK109" i="9" s="1"/>
  <c r="AL30" i="9"/>
  <c r="AL156" i="9" s="1"/>
  <c r="G123" i="9"/>
  <c r="G184" i="9"/>
  <c r="F75" i="9"/>
  <c r="F45" i="9"/>
  <c r="F30" i="9"/>
  <c r="F60" i="9"/>
  <c r="G30" i="9"/>
  <c r="G45" i="9"/>
  <c r="AT109" i="9"/>
  <c r="AM31" i="9"/>
  <c r="AM96" i="9" s="1"/>
  <c r="AM60" i="9"/>
  <c r="AM123" i="9" s="1"/>
  <c r="AM30" i="9"/>
  <c r="AM95" i="9" s="1"/>
  <c r="AM45" i="9"/>
  <c r="AM170" i="9" s="1"/>
  <c r="AU198" i="9"/>
  <c r="AU123" i="9"/>
  <c r="AL31" i="9"/>
  <c r="AL96" i="9" s="1"/>
  <c r="AT123" i="9"/>
  <c r="AL75" i="9"/>
  <c r="AL198" i="9" s="1"/>
  <c r="AL60" i="9"/>
  <c r="AL184" i="9" s="1"/>
  <c r="AL109" i="9"/>
  <c r="U192" i="9"/>
  <c r="M51" i="20" s="1"/>
  <c r="CO145" i="9"/>
  <c r="E79" i="20" s="1"/>
  <c r="BQ117" i="9"/>
  <c r="E38" i="20" s="1"/>
  <c r="L103" i="9"/>
  <c r="D12" i="20" s="1"/>
  <c r="DE131" i="9"/>
  <c r="E62" i="20" s="1"/>
  <c r="BI145" i="9"/>
  <c r="E75" i="20" s="1"/>
  <c r="DE38" i="9"/>
  <c r="CO103" i="9"/>
  <c r="E22" i="20" s="1"/>
  <c r="BY53" i="9"/>
  <c r="DE178" i="9"/>
  <c r="M43" i="20" s="1"/>
  <c r="CW103" i="9"/>
  <c r="E23" i="20" s="1"/>
  <c r="BY117" i="9"/>
  <c r="E39" i="20" s="1"/>
  <c r="DE206" i="9"/>
  <c r="M81" i="20" s="1"/>
  <c r="U117" i="9"/>
  <c r="E32" i="20" s="1"/>
  <c r="DE145" i="9"/>
  <c r="E81" i="20" s="1"/>
  <c r="BI206" i="9"/>
  <c r="M75" i="20" s="1"/>
  <c r="CG83" i="9"/>
  <c r="CG178" i="9"/>
  <c r="M40" i="20" s="1"/>
  <c r="BA178" i="9"/>
  <c r="M36" i="20" s="1"/>
  <c r="CG131" i="9"/>
  <c r="E59" i="20" s="1"/>
  <c r="CG103" i="9"/>
  <c r="E21" i="20" s="1"/>
  <c r="BA117" i="9"/>
  <c r="E36" i="20" s="1"/>
  <c r="CW164" i="9"/>
  <c r="M23" i="20" s="1"/>
  <c r="BA145" i="9"/>
  <c r="E74" i="20" s="1"/>
  <c r="CO38" i="9"/>
  <c r="L164" i="9"/>
  <c r="L12" i="20" s="1"/>
  <c r="AC145" i="9"/>
  <c r="E71" i="20" s="1"/>
  <c r="L206" i="9"/>
  <c r="L69" i="20" s="1"/>
  <c r="DE103" i="9"/>
  <c r="E24" i="20" s="1"/>
  <c r="L192" i="9"/>
  <c r="L50" i="20" s="1"/>
  <c r="BY103" i="9"/>
  <c r="E20" i="20" s="1"/>
  <c r="CW145" i="9"/>
  <c r="E80" i="20" s="1"/>
  <c r="BY164" i="9"/>
  <c r="M20" i="20" s="1"/>
  <c r="DE192" i="9"/>
  <c r="M62" i="20" s="1"/>
  <c r="CO117" i="9"/>
  <c r="E41" i="20" s="1"/>
  <c r="CO206" i="9"/>
  <c r="M79" i="20" s="1"/>
  <c r="U145" i="9"/>
  <c r="E70" i="20" s="1"/>
  <c r="BY145" i="9"/>
  <c r="E77" i="20" s="1"/>
  <c r="BQ103" i="9"/>
  <c r="E19" i="20" s="1"/>
  <c r="CW131" i="9"/>
  <c r="E61" i="20" s="1"/>
  <c r="BQ178" i="9"/>
  <c r="M38" i="20" s="1"/>
  <c r="CW192" i="9"/>
  <c r="M61" i="20" s="1"/>
  <c r="U53" i="9"/>
  <c r="AC117" i="9"/>
  <c r="E33" i="20" s="1"/>
  <c r="BA164" i="9"/>
  <c r="M17" i="20" s="1"/>
  <c r="U103" i="9"/>
  <c r="E13" i="20" s="1"/>
  <c r="U131" i="9"/>
  <c r="E51" i="20" s="1"/>
  <c r="U38" i="9"/>
  <c r="BA96" i="9"/>
  <c r="BA103" i="9" s="1"/>
  <c r="E17" i="20" s="1"/>
  <c r="BA38" i="9"/>
  <c r="CA96" i="9"/>
  <c r="BQ124" i="9"/>
  <c r="BQ131" i="9" s="1"/>
  <c r="E57" i="20" s="1"/>
  <c r="BQ68" i="9"/>
  <c r="CH124" i="9"/>
  <c r="CA138" i="9"/>
  <c r="DD103" i="9"/>
  <c r="D24" i="20" s="1"/>
  <c r="AR145" i="9"/>
  <c r="D73" i="20" s="1"/>
  <c r="T145" i="9"/>
  <c r="D70" i="20" s="1"/>
  <c r="CG145" i="9"/>
  <c r="E78" i="20" s="1"/>
  <c r="BY131" i="9"/>
  <c r="E58" i="20" s="1"/>
  <c r="BQ138" i="9"/>
  <c r="BQ145" i="9" s="1"/>
  <c r="E76" i="20" s="1"/>
  <c r="BQ83" i="9"/>
  <c r="DE110" i="9"/>
  <c r="DE117" i="9" s="1"/>
  <c r="E43" i="20" s="1"/>
  <c r="DE53" i="9"/>
  <c r="AC96" i="9"/>
  <c r="AC103" i="9" s="1"/>
  <c r="E14" i="20" s="1"/>
  <c r="AC38" i="9"/>
  <c r="V124" i="9"/>
  <c r="AT138" i="9"/>
  <c r="BQ164" i="9"/>
  <c r="M19" i="20" s="1"/>
  <c r="CO164" i="9"/>
  <c r="M22" i="20" s="1"/>
  <c r="CO124" i="9"/>
  <c r="CO131" i="9" s="1"/>
  <c r="E60" i="20" s="1"/>
  <c r="CO68" i="9"/>
  <c r="BZ96" i="9"/>
  <c r="CG110" i="9"/>
  <c r="CG117" i="9" s="1"/>
  <c r="E40" i="20" s="1"/>
  <c r="CG53" i="9"/>
  <c r="DD117" i="9"/>
  <c r="D43" i="20" s="1"/>
  <c r="BA206" i="9"/>
  <c r="M74" i="20" s="1"/>
  <c r="AZ117" i="9"/>
  <c r="D36" i="20" s="1"/>
  <c r="U206" i="9"/>
  <c r="M70" i="20" s="1"/>
  <c r="U178" i="9"/>
  <c r="M32" i="20" s="1"/>
  <c r="BQ192" i="9"/>
  <c r="M57" i="20" s="1"/>
  <c r="BX103" i="9"/>
  <c r="D20" i="20" s="1"/>
  <c r="BA131" i="9"/>
  <c r="E55" i="20" s="1"/>
  <c r="DD145" i="9"/>
  <c r="D81" i="20" s="1"/>
  <c r="AC206" i="9"/>
  <c r="M71" i="20" s="1"/>
  <c r="CG192" i="9"/>
  <c r="M59" i="20" s="1"/>
  <c r="CW110" i="9"/>
  <c r="CW117" i="9" s="1"/>
  <c r="E42" i="20" s="1"/>
  <c r="CW53" i="9"/>
  <c r="BX131" i="9"/>
  <c r="D58" i="20" s="1"/>
  <c r="CG55" i="9"/>
  <c r="CV103" i="9"/>
  <c r="D23" i="20" s="1"/>
  <c r="AM137" i="9"/>
  <c r="AM198" i="9"/>
  <c r="L131" i="9"/>
  <c r="D50" i="20" s="1"/>
  <c r="AR103" i="9"/>
  <c r="D16" i="20" s="1"/>
  <c r="CA110" i="9"/>
  <c r="DG96" i="9"/>
  <c r="BA68" i="9"/>
  <c r="DE83" i="9"/>
  <c r="BA83" i="9"/>
  <c r="BK124" i="9"/>
  <c r="CY110" i="9"/>
  <c r="BI68" i="9"/>
  <c r="BH103" i="9"/>
  <c r="D18" i="20" s="1"/>
  <c r="BC138" i="9"/>
  <c r="AE96" i="9"/>
  <c r="CW38" i="9"/>
  <c r="BQ38" i="9"/>
  <c r="CI138" i="9"/>
  <c r="BA192" i="9"/>
  <c r="M55" i="20" s="1"/>
  <c r="CF145" i="9"/>
  <c r="D78" i="20" s="1"/>
  <c r="BI83" i="9"/>
  <c r="BY83" i="9"/>
  <c r="W110" i="9"/>
  <c r="BI53" i="9"/>
  <c r="BP145" i="9"/>
  <c r="D76" i="20" s="1"/>
  <c r="AC68" i="9"/>
  <c r="CG68" i="9"/>
  <c r="CQ96" i="9"/>
  <c r="BP117" i="9"/>
  <c r="D38" i="20" s="1"/>
  <c r="BY192" i="9"/>
  <c r="M58" i="20" s="1"/>
  <c r="CW178" i="9"/>
  <c r="M42" i="20" s="1"/>
  <c r="AC83" i="9"/>
  <c r="U68" i="9"/>
  <c r="BH145" i="9"/>
  <c r="D75" i="20" s="1"/>
  <c r="L117" i="9"/>
  <c r="D31" i="20" s="1"/>
  <c r="AU138" i="9"/>
  <c r="BI178" i="9"/>
  <c r="M37" i="20" s="1"/>
  <c r="L145" i="9"/>
  <c r="D69" i="20" s="1"/>
  <c r="L178" i="9"/>
  <c r="CG164" i="9"/>
  <c r="M21" i="20" s="1"/>
  <c r="DD131" i="9"/>
  <c r="D62" i="20" s="1"/>
  <c r="CO192" i="9"/>
  <c r="M60" i="20" s="1"/>
  <c r="BY68" i="9"/>
  <c r="CN103" i="9"/>
  <c r="D22" i="20" s="1"/>
  <c r="AR131" i="9"/>
  <c r="D54" i="20" s="1"/>
  <c r="CW83" i="9"/>
  <c r="AC192" i="9"/>
  <c r="M52" i="20" s="1"/>
  <c r="CO53" i="9"/>
  <c r="AC70" i="9"/>
  <c r="DE40" i="9"/>
  <c r="CW55" i="9"/>
  <c r="BZ78" i="9"/>
  <c r="BZ140" i="9" s="1"/>
  <c r="BZ63" i="9"/>
  <c r="BZ126" i="9" s="1"/>
  <c r="BZ33" i="9"/>
  <c r="BZ98" i="9" s="1"/>
  <c r="CW40" i="9"/>
  <c r="BA85" i="9"/>
  <c r="U70" i="9"/>
  <c r="CP33" i="9"/>
  <c r="CP98" i="9" s="1"/>
  <c r="CW85" i="9"/>
  <c r="BQ85" i="9"/>
  <c r="CP48" i="9"/>
  <c r="CP112" i="9" s="1"/>
  <c r="CP63" i="9"/>
  <c r="CP126" i="9" s="1"/>
  <c r="BI70" i="9"/>
  <c r="DE55" i="9"/>
  <c r="CA48" i="9"/>
  <c r="CA112" i="9" s="1"/>
  <c r="CA33" i="9"/>
  <c r="CA98" i="9" s="1"/>
  <c r="BI85" i="9"/>
  <c r="CA63" i="9"/>
  <c r="CG85" i="9"/>
  <c r="BQ40" i="9"/>
  <c r="U40" i="9"/>
  <c r="BA70" i="9"/>
  <c r="CG70" i="9"/>
  <c r="AE48" i="9"/>
  <c r="AE112" i="9" s="1"/>
  <c r="AE78" i="9"/>
  <c r="AE140" i="9" s="1"/>
  <c r="AE63" i="9"/>
  <c r="AE126" i="9" s="1"/>
  <c r="CY48" i="9"/>
  <c r="CY112" i="9" s="1"/>
  <c r="BA40" i="9"/>
  <c r="AC85" i="9"/>
  <c r="CO70" i="9"/>
  <c r="BQ70" i="9"/>
  <c r="CY78" i="9"/>
  <c r="CY140" i="9" s="1"/>
  <c r="CO40" i="9"/>
  <c r="CO55" i="9"/>
  <c r="U55" i="9"/>
  <c r="CP85" i="9"/>
  <c r="BZ55" i="9"/>
  <c r="BR48" i="9"/>
  <c r="BR112" i="9" s="1"/>
  <c r="BR33" i="9"/>
  <c r="BR98" i="9" s="1"/>
  <c r="CY63" i="9"/>
  <c r="CY126" i="9" s="1"/>
  <c r="BR63" i="9"/>
  <c r="AC40" i="9"/>
  <c r="CX33" i="9"/>
  <c r="CX63" i="9"/>
  <c r="CX48" i="9"/>
  <c r="BI55" i="9"/>
  <c r="DE85" i="9"/>
  <c r="BR85" i="9"/>
  <c r="AT33" i="9"/>
  <c r="CX85" i="9"/>
  <c r="CY200" i="9"/>
  <c r="CY139" i="9"/>
  <c r="DG125" i="9"/>
  <c r="DG186" i="9"/>
  <c r="DF111" i="9"/>
  <c r="DF172" i="9"/>
  <c r="CI111" i="9"/>
  <c r="CI172" i="9"/>
  <c r="CI48" i="9"/>
  <c r="CI33" i="9"/>
  <c r="CI78" i="9"/>
  <c r="CI63" i="9"/>
  <c r="CQ125" i="9"/>
  <c r="CQ186" i="9"/>
  <c r="CH111" i="9"/>
  <c r="CH172" i="9"/>
  <c r="DF139" i="9"/>
  <c r="DF200" i="9"/>
  <c r="CI139" i="9"/>
  <c r="CI200" i="9"/>
  <c r="CA158" i="9"/>
  <c r="CA97" i="9"/>
  <c r="CQ139" i="9"/>
  <c r="CQ200" i="9"/>
  <c r="CH186" i="9"/>
  <c r="CH125" i="9"/>
  <c r="DF97" i="9"/>
  <c r="DF158" i="9"/>
  <c r="CY97" i="9"/>
  <c r="CY158" i="9"/>
  <c r="CA172" i="9"/>
  <c r="CA111" i="9"/>
  <c r="CQ158" i="9"/>
  <c r="CQ97" i="9"/>
  <c r="BZ125" i="9"/>
  <c r="BZ186" i="9"/>
  <c r="CH139" i="9"/>
  <c r="CH200" i="9"/>
  <c r="DF186" i="9"/>
  <c r="DF125" i="9"/>
  <c r="BY85" i="9"/>
  <c r="BY70" i="9"/>
  <c r="CA186" i="9"/>
  <c r="CA125" i="9"/>
  <c r="CQ172" i="9"/>
  <c r="CQ111" i="9"/>
  <c r="BZ200" i="9"/>
  <c r="BZ139" i="9"/>
  <c r="CH97" i="9"/>
  <c r="CH158" i="9"/>
  <c r="DF64" i="9"/>
  <c r="DF69" i="9" s="1"/>
  <c r="DF34" i="9"/>
  <c r="DF49" i="9"/>
  <c r="DF54" i="9" s="1"/>
  <c r="DF79" i="9"/>
  <c r="BY55" i="9"/>
  <c r="CA200" i="9"/>
  <c r="CA139" i="9"/>
  <c r="CQ63" i="9"/>
  <c r="CQ48" i="9"/>
  <c r="CQ33" i="9"/>
  <c r="CQ78" i="9"/>
  <c r="BZ158" i="9"/>
  <c r="BZ97" i="9"/>
  <c r="CH64" i="9"/>
  <c r="CH69" i="9" s="1"/>
  <c r="CH49" i="9"/>
  <c r="CH54" i="9" s="1"/>
  <c r="CH79" i="9"/>
  <c r="CH84" i="9" s="1"/>
  <c r="CH34" i="9"/>
  <c r="CH39" i="9" s="1"/>
  <c r="CX200" i="9"/>
  <c r="CX139" i="9"/>
  <c r="CY125" i="9"/>
  <c r="CY186" i="9"/>
  <c r="BR125" i="9"/>
  <c r="BR186" i="9"/>
  <c r="BS125" i="9"/>
  <c r="BS186" i="9"/>
  <c r="BZ172" i="9"/>
  <c r="BZ111" i="9"/>
  <c r="DF48" i="9"/>
  <c r="DF78" i="9"/>
  <c r="DF33" i="9"/>
  <c r="DF63" i="9"/>
  <c r="CX125" i="9"/>
  <c r="CX186" i="9"/>
  <c r="BR200" i="9"/>
  <c r="BR139" i="9"/>
  <c r="BS139" i="9"/>
  <c r="BS200" i="9"/>
  <c r="BZ64" i="9"/>
  <c r="BZ69" i="9" s="1"/>
  <c r="BZ34" i="9"/>
  <c r="BZ79" i="9"/>
  <c r="BZ84" i="9" s="1"/>
  <c r="BZ49" i="9"/>
  <c r="BZ53" i="9" s="1"/>
  <c r="CX158" i="9"/>
  <c r="CX97" i="9"/>
  <c r="CH48" i="9"/>
  <c r="CH33" i="9"/>
  <c r="CH78" i="9"/>
  <c r="CH63" i="9"/>
  <c r="DG48" i="9"/>
  <c r="DG78" i="9"/>
  <c r="DG33" i="9"/>
  <c r="DG63" i="9"/>
  <c r="BR158" i="9"/>
  <c r="BR97" i="9"/>
  <c r="BS158" i="9"/>
  <c r="BS97" i="9"/>
  <c r="CP186" i="9"/>
  <c r="CP125" i="9"/>
  <c r="CX111" i="9"/>
  <c r="CX172" i="9"/>
  <c r="CI158" i="9"/>
  <c r="CI97" i="9"/>
  <c r="CI125" i="9"/>
  <c r="CI186" i="9"/>
  <c r="BR172" i="9"/>
  <c r="BR111" i="9"/>
  <c r="BS111" i="9"/>
  <c r="BS172" i="9"/>
  <c r="CP139" i="9"/>
  <c r="CP200" i="9"/>
  <c r="CX49" i="9"/>
  <c r="CX54" i="9" s="1"/>
  <c r="CX34" i="9"/>
  <c r="CX64" i="9"/>
  <c r="CX69" i="9" s="1"/>
  <c r="CX79" i="9"/>
  <c r="CX83" i="9" s="1"/>
  <c r="BR34" i="9"/>
  <c r="BR49" i="9"/>
  <c r="BR54" i="9" s="1"/>
  <c r="BR64" i="9"/>
  <c r="BR69" i="9" s="1"/>
  <c r="BR79" i="9"/>
  <c r="BR84" i="9" s="1"/>
  <c r="BS33" i="9"/>
  <c r="BS48" i="9"/>
  <c r="BS78" i="9"/>
  <c r="BS63" i="9"/>
  <c r="CP158" i="9"/>
  <c r="CP97" i="9"/>
  <c r="DG97" i="9"/>
  <c r="DG158" i="9"/>
  <c r="CP172" i="9"/>
  <c r="CP111" i="9"/>
  <c r="DG200" i="9"/>
  <c r="DG139" i="9"/>
  <c r="CY111" i="9"/>
  <c r="CY172" i="9"/>
  <c r="CP79" i="9"/>
  <c r="CP84" i="9" s="1"/>
  <c r="CP34" i="9"/>
  <c r="CP39" i="9" s="1"/>
  <c r="CP64" i="9"/>
  <c r="CP69" i="9" s="1"/>
  <c r="CP49" i="9"/>
  <c r="DG172" i="9"/>
  <c r="DG111" i="9"/>
  <c r="AD48" i="9"/>
  <c r="AD40" i="9"/>
  <c r="AD78" i="9"/>
  <c r="AD63" i="9"/>
  <c r="AU33" i="9"/>
  <c r="W33" i="9"/>
  <c r="W78" i="9"/>
  <c r="W63" i="9"/>
  <c r="W48" i="9"/>
  <c r="V63" i="9"/>
  <c r="V33" i="9"/>
  <c r="V78" i="9"/>
  <c r="V48" i="9"/>
  <c r="AD172" i="9"/>
  <c r="AD111" i="9"/>
  <c r="V172" i="9"/>
  <c r="V111" i="9"/>
  <c r="V158" i="9"/>
  <c r="V97" i="9"/>
  <c r="V186" i="9"/>
  <c r="V125" i="9"/>
  <c r="V139" i="9"/>
  <c r="V200" i="9"/>
  <c r="V49" i="9"/>
  <c r="V54" i="9" s="1"/>
  <c r="V79" i="9"/>
  <c r="V84" i="9" s="1"/>
  <c r="V34" i="9"/>
  <c r="V39" i="9" s="1"/>
  <c r="V64" i="9"/>
  <c r="V69" i="9" s="1"/>
  <c r="AE186" i="9"/>
  <c r="AE125" i="9"/>
  <c r="BB98" i="9"/>
  <c r="BB40" i="9"/>
  <c r="AS125" i="9"/>
  <c r="AS186" i="9"/>
  <c r="AS69" i="9"/>
  <c r="AS111" i="9"/>
  <c r="AS172" i="9"/>
  <c r="AS54" i="9"/>
  <c r="AS200" i="9"/>
  <c r="AS139" i="9"/>
  <c r="AS84" i="9"/>
  <c r="AS97" i="9"/>
  <c r="AS158" i="9"/>
  <c r="AU32" i="9"/>
  <c r="AU77" i="9"/>
  <c r="AU62" i="9"/>
  <c r="AU47" i="9"/>
  <c r="AT32" i="9"/>
  <c r="AT77" i="9"/>
  <c r="AT47" i="9"/>
  <c r="AT62" i="9"/>
  <c r="BB48" i="9"/>
  <c r="BB78" i="9"/>
  <c r="BB63" i="9"/>
  <c r="AS39" i="9"/>
  <c r="BK48" i="9"/>
  <c r="BK78" i="9"/>
  <c r="BK33" i="9"/>
  <c r="BK63" i="9"/>
  <c r="BJ97" i="9"/>
  <c r="BJ158" i="9"/>
  <c r="BJ48" i="9"/>
  <c r="BJ78" i="9"/>
  <c r="BJ33" i="9"/>
  <c r="BJ63" i="9"/>
  <c r="BJ79" i="9"/>
  <c r="BJ34" i="9"/>
  <c r="BJ39" i="9" s="1"/>
  <c r="BJ64" i="9"/>
  <c r="BJ49" i="9"/>
  <c r="BB172" i="9"/>
  <c r="BB111" i="9"/>
  <c r="BC172" i="9"/>
  <c r="BC111" i="9"/>
  <c r="BB139" i="9"/>
  <c r="BB200" i="9"/>
  <c r="BC139" i="9"/>
  <c r="BC200" i="9"/>
  <c r="BB97" i="9"/>
  <c r="BB158" i="9"/>
  <c r="BC97" i="9"/>
  <c r="BC158" i="9"/>
  <c r="BK125" i="9"/>
  <c r="BK186" i="9"/>
  <c r="BB186" i="9"/>
  <c r="BB125" i="9"/>
  <c r="BC186" i="9"/>
  <c r="BC125" i="9"/>
  <c r="BK97" i="9"/>
  <c r="BK158" i="9"/>
  <c r="BB34" i="9"/>
  <c r="BB39" i="9" s="1"/>
  <c r="BB79" i="9"/>
  <c r="BB49" i="9"/>
  <c r="BB54" i="9" s="1"/>
  <c r="BB64" i="9"/>
  <c r="BK200" i="9"/>
  <c r="BK139" i="9"/>
  <c r="BK172" i="9"/>
  <c r="BK111" i="9"/>
  <c r="BC33" i="9"/>
  <c r="BC78" i="9"/>
  <c r="BC48" i="9"/>
  <c r="BC63" i="9"/>
  <c r="M156" i="9"/>
  <c r="M95" i="9"/>
  <c r="M198" i="9"/>
  <c r="M137" i="9"/>
  <c r="M77" i="9"/>
  <c r="M32" i="9"/>
  <c r="M62" i="9"/>
  <c r="M47" i="9"/>
  <c r="M170" i="9"/>
  <c r="M109" i="9"/>
  <c r="M31" i="9"/>
  <c r="M76" i="9"/>
  <c r="M46" i="9"/>
  <c r="M61" i="9"/>
  <c r="M184" i="9"/>
  <c r="M123" i="9"/>
  <c r="D11" i="20"/>
  <c r="L31" i="20" l="1"/>
  <c r="L44" i="20" s="1"/>
  <c r="E32" i="11" s="1"/>
  <c r="AN5" i="28" s="1"/>
  <c r="N109" i="9"/>
  <c r="N76" i="9"/>
  <c r="N138" i="9" s="1"/>
  <c r="N31" i="9"/>
  <c r="N96" i="9" s="1"/>
  <c r="N46" i="9"/>
  <c r="N110" i="9" s="1"/>
  <c r="O196" i="9"/>
  <c r="O135" i="9"/>
  <c r="O168" i="9"/>
  <c r="O107" i="9"/>
  <c r="O121" i="9"/>
  <c r="O182" i="9"/>
  <c r="O44" i="9"/>
  <c r="O108" i="9" s="1"/>
  <c r="O29" i="9"/>
  <c r="O94" i="9" s="1"/>
  <c r="O59" i="9"/>
  <c r="O122" i="9" s="1"/>
  <c r="O74" i="9"/>
  <c r="O136" i="9" s="1"/>
  <c r="O60" i="9"/>
  <c r="O123" i="9" s="1"/>
  <c r="L16" i="9"/>
  <c r="L20" i="9" s="1"/>
  <c r="O154" i="9"/>
  <c r="O93" i="9"/>
  <c r="M13" i="9"/>
  <c r="M20" i="9" s="1"/>
  <c r="N8" i="9"/>
  <c r="N10" i="9" s="1"/>
  <c r="N20" i="9" s="1"/>
  <c r="N198" i="9"/>
  <c r="O45" i="9"/>
  <c r="O109" i="9" s="1"/>
  <c r="O30" i="9"/>
  <c r="O156" i="9" s="1"/>
  <c r="BJ186" i="9"/>
  <c r="E138" i="9"/>
  <c r="E145" i="9" s="1"/>
  <c r="E68" i="20" s="1"/>
  <c r="BJ54" i="9"/>
  <c r="BJ172" i="9"/>
  <c r="O7" i="9"/>
  <c r="AM29" i="9"/>
  <c r="AM94" i="9" s="1"/>
  <c r="AM74" i="9"/>
  <c r="AM136" i="9" s="1"/>
  <c r="AM59" i="9"/>
  <c r="AM122" i="9" s="1"/>
  <c r="AM44" i="9"/>
  <c r="AM108" i="9" s="1"/>
  <c r="AI20" i="9"/>
  <c r="G168" i="9"/>
  <c r="G107" i="9"/>
  <c r="G135" i="9"/>
  <c r="G196" i="9"/>
  <c r="G154" i="9"/>
  <c r="G93" i="9"/>
  <c r="G182" i="9"/>
  <c r="G121" i="9"/>
  <c r="AM182" i="9"/>
  <c r="AM121" i="9"/>
  <c r="AM154" i="9"/>
  <c r="AM93" i="9"/>
  <c r="AM196" i="9"/>
  <c r="AM135" i="9"/>
  <c r="AM168" i="9"/>
  <c r="AM107" i="9"/>
  <c r="E13" i="9"/>
  <c r="G48" i="9" s="1"/>
  <c r="G112" i="9" s="1"/>
  <c r="E10" i="9"/>
  <c r="F7" i="9" s="1"/>
  <c r="BJ139" i="9"/>
  <c r="AS83" i="9"/>
  <c r="AS85" i="9"/>
  <c r="AS145" i="9"/>
  <c r="E73" i="20" s="1"/>
  <c r="AS131" i="9"/>
  <c r="E54" i="20" s="1"/>
  <c r="AS53" i="9"/>
  <c r="AS110" i="9"/>
  <c r="AS117" i="9" s="1"/>
  <c r="E35" i="20" s="1"/>
  <c r="AS70" i="9"/>
  <c r="AS68" i="9"/>
  <c r="E110" i="9"/>
  <c r="AD125" i="9"/>
  <c r="AD79" i="9"/>
  <c r="AD141" i="9" s="1"/>
  <c r="AS103" i="9"/>
  <c r="E16" i="20" s="1"/>
  <c r="E40" i="9"/>
  <c r="E124" i="9"/>
  <c r="E131" i="9" s="1"/>
  <c r="E49" i="20" s="1"/>
  <c r="AE200" i="9"/>
  <c r="AE97" i="9"/>
  <c r="E68" i="9"/>
  <c r="AK61" i="9"/>
  <c r="AK124" i="9" s="1"/>
  <c r="AD139" i="9"/>
  <c r="E83" i="9"/>
  <c r="AK76" i="9"/>
  <c r="AK85" i="9" s="1"/>
  <c r="W158" i="9"/>
  <c r="AE111" i="9"/>
  <c r="AD64" i="9"/>
  <c r="AD69" i="9" s="1"/>
  <c r="AD49" i="9"/>
  <c r="AD54" i="9" s="1"/>
  <c r="N156" i="9"/>
  <c r="AD34" i="9"/>
  <c r="AD160" i="9" s="1"/>
  <c r="E178" i="9"/>
  <c r="M30" i="20" s="1"/>
  <c r="AD97" i="9"/>
  <c r="E38" i="9"/>
  <c r="E53" i="9"/>
  <c r="AL32" i="9"/>
  <c r="AL158" i="9" s="1"/>
  <c r="E84" i="9"/>
  <c r="E200" i="9"/>
  <c r="E206" i="9" s="1"/>
  <c r="M68" i="20" s="1"/>
  <c r="AK46" i="9"/>
  <c r="AK110" i="9" s="1"/>
  <c r="E158" i="9"/>
  <c r="E164" i="9" s="1"/>
  <c r="M11" i="20" s="1"/>
  <c r="F62" i="9"/>
  <c r="F125" i="9" s="1"/>
  <c r="F47" i="9"/>
  <c r="F172" i="9" s="1"/>
  <c r="E54" i="9"/>
  <c r="E111" i="9"/>
  <c r="E39" i="9"/>
  <c r="E103" i="9"/>
  <c r="AK40" i="9"/>
  <c r="E69" i="9"/>
  <c r="E186" i="9"/>
  <c r="E192" i="9" s="1"/>
  <c r="M49" i="20" s="1"/>
  <c r="F77" i="9"/>
  <c r="F32" i="9"/>
  <c r="F97" i="9" s="1"/>
  <c r="AK47" i="9"/>
  <c r="AK32" i="9"/>
  <c r="AK38" i="9" s="1"/>
  <c r="W139" i="9"/>
  <c r="AK77" i="9"/>
  <c r="AK125" i="9"/>
  <c r="AK69" i="9"/>
  <c r="N184" i="9"/>
  <c r="AJ131" i="9"/>
  <c r="W172" i="9"/>
  <c r="O198" i="9"/>
  <c r="AK184" i="9"/>
  <c r="AK192" i="9" s="1"/>
  <c r="M53" i="20" s="1"/>
  <c r="G137" i="9"/>
  <c r="G198" i="9"/>
  <c r="G32" i="9"/>
  <c r="G77" i="9"/>
  <c r="G47" i="9"/>
  <c r="G62" i="9"/>
  <c r="G186" i="9" s="1"/>
  <c r="L82" i="20"/>
  <c r="E83" i="11" s="1"/>
  <c r="W125" i="9"/>
  <c r="AM76" i="9"/>
  <c r="AM138" i="9" s="1"/>
  <c r="AK170" i="9"/>
  <c r="AK156" i="9"/>
  <c r="AM46" i="9"/>
  <c r="AM110" i="9" s="1"/>
  <c r="AL95" i="9"/>
  <c r="F184" i="9"/>
  <c r="F123" i="9"/>
  <c r="F156" i="9"/>
  <c r="F95" i="9"/>
  <c r="F170" i="9"/>
  <c r="F109" i="9"/>
  <c r="F137" i="9"/>
  <c r="F198" i="9"/>
  <c r="G170" i="9"/>
  <c r="G109" i="9"/>
  <c r="G156" i="9"/>
  <c r="G95" i="9"/>
  <c r="AM109" i="9"/>
  <c r="AM184" i="9"/>
  <c r="AM156" i="9"/>
  <c r="AM61" i="9"/>
  <c r="AM124" i="9" s="1"/>
  <c r="AL61" i="9"/>
  <c r="AL124" i="9" s="1"/>
  <c r="AL46" i="9"/>
  <c r="AL110" i="9" s="1"/>
  <c r="AL76" i="9"/>
  <c r="AL138" i="9" s="1"/>
  <c r="AL137" i="9"/>
  <c r="AL123" i="9"/>
  <c r="L25" i="20"/>
  <c r="E57" i="11" s="1"/>
  <c r="CP53" i="9"/>
  <c r="DF38" i="9"/>
  <c r="BR68" i="9"/>
  <c r="BB83" i="9"/>
  <c r="CX38" i="9"/>
  <c r="BZ38" i="9"/>
  <c r="M38" i="9"/>
  <c r="BJ53" i="9"/>
  <c r="M53" i="9"/>
  <c r="BJ83" i="9"/>
  <c r="BR38" i="9"/>
  <c r="BB68" i="9"/>
  <c r="M83" i="9"/>
  <c r="M68" i="9"/>
  <c r="BJ68" i="9"/>
  <c r="DF83" i="9"/>
  <c r="CP83" i="9"/>
  <c r="BR83" i="9"/>
  <c r="CH83" i="9"/>
  <c r="BB38" i="9"/>
  <c r="CX68" i="9"/>
  <c r="BZ83" i="9"/>
  <c r="CH38" i="9"/>
  <c r="CX53" i="9"/>
  <c r="V83" i="9"/>
  <c r="AS192" i="9"/>
  <c r="M54" i="20" s="1"/>
  <c r="DF53" i="9"/>
  <c r="BB53" i="9"/>
  <c r="CH68" i="9"/>
  <c r="CP68" i="9"/>
  <c r="V53" i="9"/>
  <c r="CP38" i="9"/>
  <c r="BZ68" i="9"/>
  <c r="CH53" i="9"/>
  <c r="BJ38" i="9"/>
  <c r="BR53" i="9"/>
  <c r="DF68" i="9"/>
  <c r="AS178" i="9"/>
  <c r="M35" i="20" s="1"/>
  <c r="V68" i="9"/>
  <c r="CA126" i="9"/>
  <c r="V38" i="9"/>
  <c r="AS206" i="9"/>
  <c r="M73" i="20" s="1"/>
  <c r="AS164" i="9"/>
  <c r="M16" i="20" s="1"/>
  <c r="AU78" i="9"/>
  <c r="AU140" i="9" s="1"/>
  <c r="BZ70" i="9"/>
  <c r="BZ85" i="9"/>
  <c r="BZ40" i="9"/>
  <c r="AT48" i="9"/>
  <c r="AT55" i="9" s="1"/>
  <c r="CP55" i="9"/>
  <c r="CP40" i="9"/>
  <c r="CP70" i="9"/>
  <c r="BR55" i="9"/>
  <c r="AU63" i="9"/>
  <c r="AU126" i="9" s="1"/>
  <c r="AT63" i="9"/>
  <c r="AT126" i="9" s="1"/>
  <c r="BR40" i="9"/>
  <c r="AT78" i="9"/>
  <c r="AT140" i="9" s="1"/>
  <c r="BR126" i="9"/>
  <c r="BR70" i="9"/>
  <c r="DG65" i="9"/>
  <c r="DG128" i="9" s="1"/>
  <c r="CX126" i="9"/>
  <c r="CX70" i="9"/>
  <c r="CA65" i="9"/>
  <c r="CX112" i="9"/>
  <c r="CX55" i="9"/>
  <c r="CX98" i="9"/>
  <c r="CX40" i="9"/>
  <c r="CI50" i="9"/>
  <c r="CI114" i="9" s="1"/>
  <c r="CQ50" i="9"/>
  <c r="CQ114" i="9" s="1"/>
  <c r="BZ141" i="9"/>
  <c r="BZ202" i="9"/>
  <c r="DG98" i="9"/>
  <c r="BZ160" i="9"/>
  <c r="BZ99" i="9"/>
  <c r="BZ103" i="9" s="1"/>
  <c r="F20" i="20" s="1"/>
  <c r="DG140" i="9"/>
  <c r="BS34" i="9"/>
  <c r="BS79" i="9"/>
  <c r="BS64" i="9"/>
  <c r="BS49" i="9"/>
  <c r="BZ174" i="9"/>
  <c r="BZ113" i="9"/>
  <c r="AU48" i="9"/>
  <c r="AU112" i="9" s="1"/>
  <c r="W80" i="9"/>
  <c r="W142" i="9" s="1"/>
  <c r="CQ64" i="9"/>
  <c r="CQ49" i="9"/>
  <c r="CQ34" i="9"/>
  <c r="CQ79" i="9"/>
  <c r="DG112" i="9"/>
  <c r="CA64" i="9"/>
  <c r="CA49" i="9"/>
  <c r="CA34" i="9"/>
  <c r="CA79" i="9"/>
  <c r="BZ39" i="9"/>
  <c r="DG49" i="9"/>
  <c r="DG79" i="9"/>
  <c r="DG34" i="9"/>
  <c r="DG64" i="9"/>
  <c r="DG126" i="9"/>
  <c r="CP174" i="9"/>
  <c r="CP113" i="9"/>
  <c r="CP117" i="9" s="1"/>
  <c r="F41" i="20" s="1"/>
  <c r="BZ127" i="9"/>
  <c r="BZ131" i="9" s="1"/>
  <c r="F58" i="20" s="1"/>
  <c r="BZ188" i="9"/>
  <c r="BZ192" i="9" s="1"/>
  <c r="N58" i="20" s="1"/>
  <c r="DF202" i="9"/>
  <c r="DF141" i="9"/>
  <c r="CP54" i="9"/>
  <c r="DF126" i="9"/>
  <c r="DF70" i="9"/>
  <c r="DF174" i="9"/>
  <c r="DF178" i="9" s="1"/>
  <c r="N43" i="20" s="1"/>
  <c r="DF113" i="9"/>
  <c r="CP127" i="9"/>
  <c r="CP188" i="9"/>
  <c r="BS126" i="9"/>
  <c r="DF98" i="9"/>
  <c r="DF40" i="9"/>
  <c r="DF99" i="9"/>
  <c r="DF160" i="9"/>
  <c r="CP99" i="9"/>
  <c r="CP103" i="9" s="1"/>
  <c r="F22" i="20" s="1"/>
  <c r="CP160" i="9"/>
  <c r="BS140" i="9"/>
  <c r="CX202" i="9"/>
  <c r="CX206" i="9" s="1"/>
  <c r="N80" i="20" s="1"/>
  <c r="CX141" i="9"/>
  <c r="CH126" i="9"/>
  <c r="CH70" i="9"/>
  <c r="DF140" i="9"/>
  <c r="DF85" i="9"/>
  <c r="CQ140" i="9"/>
  <c r="DF127" i="9"/>
  <c r="DF188" i="9"/>
  <c r="BR99" i="9"/>
  <c r="BR103" i="9" s="1"/>
  <c r="F19" i="20" s="1"/>
  <c r="BR160" i="9"/>
  <c r="CP141" i="9"/>
  <c r="CP202" i="9"/>
  <c r="BS112" i="9"/>
  <c r="CX188" i="9"/>
  <c r="CX192" i="9" s="1"/>
  <c r="N61" i="20" s="1"/>
  <c r="CX127" i="9"/>
  <c r="CH140" i="9"/>
  <c r="CH85" i="9"/>
  <c r="DF112" i="9"/>
  <c r="DF55" i="9"/>
  <c r="CQ98" i="9"/>
  <c r="CI49" i="9"/>
  <c r="CI34" i="9"/>
  <c r="CI64" i="9"/>
  <c r="CI79" i="9"/>
  <c r="BS98" i="9"/>
  <c r="CX99" i="9"/>
  <c r="CX160" i="9"/>
  <c r="CX164" i="9" s="1"/>
  <c r="N23" i="20" s="1"/>
  <c r="CH98" i="9"/>
  <c r="CH40" i="9"/>
  <c r="CQ112" i="9"/>
  <c r="DF39" i="9"/>
  <c r="CI126" i="9"/>
  <c r="CY49" i="9"/>
  <c r="CY64" i="9"/>
  <c r="CY79" i="9"/>
  <c r="CY34" i="9"/>
  <c r="CH112" i="9"/>
  <c r="CH55" i="9"/>
  <c r="BZ54" i="9"/>
  <c r="CX84" i="9"/>
  <c r="CQ126" i="9"/>
  <c r="CI140" i="9"/>
  <c r="BR202" i="9"/>
  <c r="BR141" i="9"/>
  <c r="BR39" i="9"/>
  <c r="CH99" i="9"/>
  <c r="CH160" i="9"/>
  <c r="CH164" i="9" s="1"/>
  <c r="N21" i="20" s="1"/>
  <c r="CI98" i="9"/>
  <c r="CH127" i="9"/>
  <c r="CH188" i="9"/>
  <c r="BR188" i="9"/>
  <c r="BR192" i="9" s="1"/>
  <c r="N57" i="20" s="1"/>
  <c r="BR127" i="9"/>
  <c r="CX113" i="9"/>
  <c r="CX174" i="9"/>
  <c r="CX178" i="9" s="1"/>
  <c r="N42" i="20" s="1"/>
  <c r="CH202" i="9"/>
  <c r="CH141" i="9"/>
  <c r="DF84" i="9"/>
  <c r="CI112" i="9"/>
  <c r="BR174" i="9"/>
  <c r="BR178" i="9" s="1"/>
  <c r="N38" i="20" s="1"/>
  <c r="BR113" i="9"/>
  <c r="CX39" i="9"/>
  <c r="CH174" i="9"/>
  <c r="CH113" i="9"/>
  <c r="AE50" i="9"/>
  <c r="AD112" i="9"/>
  <c r="AD55" i="9"/>
  <c r="AD140" i="9"/>
  <c r="AD85" i="9"/>
  <c r="AD126" i="9"/>
  <c r="AD70" i="9"/>
  <c r="V112" i="9"/>
  <c r="V55" i="9"/>
  <c r="V140" i="9"/>
  <c r="V85" i="9"/>
  <c r="V98" i="9"/>
  <c r="V40" i="9"/>
  <c r="V126" i="9"/>
  <c r="V70" i="9"/>
  <c r="V188" i="9"/>
  <c r="V127" i="9"/>
  <c r="V99" i="9"/>
  <c r="V160" i="9"/>
  <c r="V164" i="9" s="1"/>
  <c r="N13" i="20" s="1"/>
  <c r="W112" i="9"/>
  <c r="V202" i="9"/>
  <c r="V141" i="9"/>
  <c r="W126" i="9"/>
  <c r="V174" i="9"/>
  <c r="V178" i="9" s="1"/>
  <c r="N32" i="20" s="1"/>
  <c r="V113" i="9"/>
  <c r="W140" i="9"/>
  <c r="W98" i="9"/>
  <c r="W34" i="9"/>
  <c r="W79" i="9"/>
  <c r="W49" i="9"/>
  <c r="W64" i="9"/>
  <c r="AU125" i="9"/>
  <c r="AU186" i="9"/>
  <c r="AU111" i="9"/>
  <c r="AU172" i="9"/>
  <c r="BK65" i="9"/>
  <c r="AU139" i="9"/>
  <c r="AU200" i="9"/>
  <c r="AU158" i="9"/>
  <c r="AU97" i="9"/>
  <c r="BC35" i="9"/>
  <c r="BC100" i="9" s="1"/>
  <c r="BB126" i="9"/>
  <c r="BB70" i="9"/>
  <c r="BB140" i="9"/>
  <c r="BB85" i="9"/>
  <c r="BB112" i="9"/>
  <c r="BB55" i="9"/>
  <c r="AT98" i="9"/>
  <c r="AT40" i="9"/>
  <c r="AT186" i="9"/>
  <c r="AT125" i="9"/>
  <c r="AT172" i="9"/>
  <c r="AT111" i="9"/>
  <c r="AU98" i="9"/>
  <c r="AT139" i="9"/>
  <c r="AT200" i="9"/>
  <c r="AT158" i="9"/>
  <c r="AT97" i="9"/>
  <c r="AT49" i="9"/>
  <c r="AT64" i="9"/>
  <c r="AT69" i="9" s="1"/>
  <c r="AT34" i="9"/>
  <c r="AT79" i="9"/>
  <c r="BJ160" i="9"/>
  <c r="BJ99" i="9"/>
  <c r="BJ69" i="9"/>
  <c r="BJ141" i="9"/>
  <c r="BJ202" i="9"/>
  <c r="BJ206" i="9" s="1"/>
  <c r="N75" i="20" s="1"/>
  <c r="BB188" i="9"/>
  <c r="BB127" i="9"/>
  <c r="BK98" i="9"/>
  <c r="BB113" i="9"/>
  <c r="BB174" i="9"/>
  <c r="BB69" i="9"/>
  <c r="BK49" i="9"/>
  <c r="BK79" i="9"/>
  <c r="BK34" i="9"/>
  <c r="BK64" i="9"/>
  <c r="BK126" i="9"/>
  <c r="BJ188" i="9"/>
  <c r="BJ127" i="9"/>
  <c r="BB202" i="9"/>
  <c r="BB141" i="9"/>
  <c r="BB84" i="9"/>
  <c r="BJ126" i="9"/>
  <c r="BJ70" i="9"/>
  <c r="BK112" i="9"/>
  <c r="BC126" i="9"/>
  <c r="BB99" i="9"/>
  <c r="BB103" i="9" s="1"/>
  <c r="F17" i="20" s="1"/>
  <c r="BB160" i="9"/>
  <c r="BB164" i="9" s="1"/>
  <c r="N17" i="20" s="1"/>
  <c r="BJ98" i="9"/>
  <c r="BJ40" i="9"/>
  <c r="BC112" i="9"/>
  <c r="BJ140" i="9"/>
  <c r="BJ85" i="9"/>
  <c r="BK140" i="9"/>
  <c r="BC140" i="9"/>
  <c r="BJ112" i="9"/>
  <c r="BJ55" i="9"/>
  <c r="BJ84" i="9"/>
  <c r="BJ174" i="9"/>
  <c r="BJ113" i="9"/>
  <c r="BC98" i="9"/>
  <c r="BC79" i="9"/>
  <c r="BC49" i="9"/>
  <c r="BC34" i="9"/>
  <c r="BC64" i="9"/>
  <c r="M186" i="9"/>
  <c r="M125" i="9"/>
  <c r="M124" i="9"/>
  <c r="M70" i="9"/>
  <c r="M110" i="9"/>
  <c r="M55" i="9"/>
  <c r="M97" i="9"/>
  <c r="M158" i="9"/>
  <c r="M138" i="9"/>
  <c r="M85" i="9"/>
  <c r="N47" i="9"/>
  <c r="N77" i="9"/>
  <c r="N32" i="9"/>
  <c r="N62" i="9"/>
  <c r="M96" i="9"/>
  <c r="M40" i="9"/>
  <c r="M200" i="9"/>
  <c r="M206" i="9" s="1"/>
  <c r="M69" i="20" s="1"/>
  <c r="M139" i="9"/>
  <c r="M69" i="9"/>
  <c r="M84" i="9"/>
  <c r="M172" i="9"/>
  <c r="M111" i="9"/>
  <c r="M39" i="9"/>
  <c r="M54" i="9"/>
  <c r="D82" i="20"/>
  <c r="E74" i="11" s="1"/>
  <c r="D44" i="20"/>
  <c r="E23" i="11" s="1"/>
  <c r="K5" i="28" s="1"/>
  <c r="L63" i="20"/>
  <c r="E58" i="11" s="1"/>
  <c r="D25" i="20"/>
  <c r="E48" i="11" s="1"/>
  <c r="D53" i="20" l="1"/>
  <c r="D63" i="20" s="1"/>
  <c r="E49" i="11" s="1"/>
  <c r="O184" i="9"/>
  <c r="O170" i="9"/>
  <c r="O46" i="9"/>
  <c r="O110" i="9" s="1"/>
  <c r="O31" i="9"/>
  <c r="O96" i="9" s="1"/>
  <c r="O61" i="9"/>
  <c r="O124" i="9" s="1"/>
  <c r="O76" i="9"/>
  <c r="O138" i="9" s="1"/>
  <c r="O95" i="9"/>
  <c r="E11" i="20"/>
  <c r="F9" i="9"/>
  <c r="E117" i="9"/>
  <c r="E30" i="20" s="1"/>
  <c r="AD84" i="9"/>
  <c r="AD202" i="9"/>
  <c r="AD206" i="9" s="1"/>
  <c r="N71" i="20" s="1"/>
  <c r="AD83" i="9"/>
  <c r="AK131" i="9"/>
  <c r="E53" i="20" s="1"/>
  <c r="AK70" i="9"/>
  <c r="AK68" i="9"/>
  <c r="AK138" i="9"/>
  <c r="AD113" i="9"/>
  <c r="AD117" i="9" s="1"/>
  <c r="F33" i="20" s="1"/>
  <c r="AD174" i="9"/>
  <c r="AD178" i="9" s="1"/>
  <c r="N33" i="20" s="1"/>
  <c r="AK83" i="9"/>
  <c r="AD53" i="9"/>
  <c r="AD188" i="9"/>
  <c r="AD192" i="9" s="1"/>
  <c r="N52" i="20" s="1"/>
  <c r="AD127" i="9"/>
  <c r="AD131" i="9" s="1"/>
  <c r="F52" i="20" s="1"/>
  <c r="AD68" i="9"/>
  <c r="AD39" i="9"/>
  <c r="AD38" i="9"/>
  <c r="AD99" i="9"/>
  <c r="AD103" i="9" s="1"/>
  <c r="F14" i="20" s="1"/>
  <c r="AE64" i="9"/>
  <c r="AE188" i="9" s="1"/>
  <c r="AE49" i="9"/>
  <c r="AE174" i="9" s="1"/>
  <c r="AL62" i="9"/>
  <c r="AL125" i="9" s="1"/>
  <c r="AE79" i="9"/>
  <c r="AE202" i="9" s="1"/>
  <c r="AM48" i="9"/>
  <c r="AM112" i="9" s="1"/>
  <c r="AE34" i="9"/>
  <c r="AE160" i="9" s="1"/>
  <c r="G63" i="9"/>
  <c r="G126" i="9" s="1"/>
  <c r="G78" i="9"/>
  <c r="G140" i="9" s="1"/>
  <c r="AL64" i="9"/>
  <c r="AL77" i="9"/>
  <c r="AL139" i="9" s="1"/>
  <c r="AL47" i="9"/>
  <c r="AL111" i="9" s="1"/>
  <c r="G33" i="9"/>
  <c r="G98" i="9" s="1"/>
  <c r="AK55" i="9"/>
  <c r="AK53" i="9"/>
  <c r="F64" i="9"/>
  <c r="F188" i="9" s="1"/>
  <c r="F111" i="9"/>
  <c r="F34" i="9"/>
  <c r="F39" i="9" s="1"/>
  <c r="F79" i="9"/>
  <c r="F84" i="9" s="1"/>
  <c r="F49" i="9"/>
  <c r="F113" i="9" s="1"/>
  <c r="F186" i="9"/>
  <c r="E20" i="9"/>
  <c r="F78" i="9"/>
  <c r="F33" i="9"/>
  <c r="F48" i="9"/>
  <c r="F63" i="9"/>
  <c r="F158" i="9"/>
  <c r="F139" i="9"/>
  <c r="F200" i="9"/>
  <c r="AM77" i="9"/>
  <c r="AM32" i="9"/>
  <c r="AM62" i="9"/>
  <c r="AM47" i="9"/>
  <c r="AK97" i="9"/>
  <c r="AK103" i="9" s="1"/>
  <c r="E15" i="20" s="1"/>
  <c r="AK158" i="9"/>
  <c r="AK164" i="9" s="1"/>
  <c r="M15" i="20" s="1"/>
  <c r="AK111" i="9"/>
  <c r="AK117" i="9" s="1"/>
  <c r="E34" i="20" s="1"/>
  <c r="AK172" i="9"/>
  <c r="AK178" i="9" s="1"/>
  <c r="M34" i="20" s="1"/>
  <c r="AK39" i="9"/>
  <c r="AK200" i="9"/>
  <c r="AK206" i="9" s="1"/>
  <c r="M72" i="20" s="1"/>
  <c r="AK139" i="9"/>
  <c r="AK84" i="9"/>
  <c r="AK54" i="9"/>
  <c r="AL97" i="9"/>
  <c r="G125" i="9"/>
  <c r="G172" i="9"/>
  <c r="G111" i="9"/>
  <c r="G200" i="9"/>
  <c r="G139" i="9"/>
  <c r="G158" i="9"/>
  <c r="G97" i="9"/>
  <c r="O77" i="9"/>
  <c r="O200" i="9" s="1"/>
  <c r="O32" i="9"/>
  <c r="O97" i="9" s="1"/>
  <c r="O47" i="9"/>
  <c r="O111" i="9" s="1"/>
  <c r="O62" i="9"/>
  <c r="O125" i="9" s="1"/>
  <c r="O48" i="9"/>
  <c r="O112" i="9" s="1"/>
  <c r="E82" i="11"/>
  <c r="E84" i="11" s="1"/>
  <c r="E31" i="11"/>
  <c r="CX103" i="9"/>
  <c r="F23" i="20" s="1"/>
  <c r="V145" i="9"/>
  <c r="F70" i="20" s="1"/>
  <c r="BR131" i="9"/>
  <c r="F57" i="20" s="1"/>
  <c r="AT53" i="9"/>
  <c r="CX131" i="9"/>
  <c r="F61" i="20" s="1"/>
  <c r="CH117" i="9"/>
  <c r="F40" i="20" s="1"/>
  <c r="BJ117" i="9"/>
  <c r="F37" i="20" s="1"/>
  <c r="BJ145" i="9"/>
  <c r="F75" i="20" s="1"/>
  <c r="DF117" i="9"/>
  <c r="F43" i="20" s="1"/>
  <c r="DF145" i="9"/>
  <c r="F81" i="20" s="1"/>
  <c r="DF131" i="9"/>
  <c r="F62" i="20" s="1"/>
  <c r="CH103" i="9"/>
  <c r="F21" i="20" s="1"/>
  <c r="M117" i="9"/>
  <c r="E31" i="20" s="1"/>
  <c r="BJ131" i="9"/>
  <c r="F56" i="20" s="1"/>
  <c r="CH131" i="9"/>
  <c r="F59" i="20" s="1"/>
  <c r="BJ103" i="9"/>
  <c r="F18" i="20" s="1"/>
  <c r="BB117" i="9"/>
  <c r="F36" i="20" s="1"/>
  <c r="AD145" i="9"/>
  <c r="F71" i="20" s="1"/>
  <c r="BB145" i="9"/>
  <c r="F74" i="20" s="1"/>
  <c r="V103" i="9"/>
  <c r="F13" i="20" s="1"/>
  <c r="CX117" i="9"/>
  <c r="F42" i="20" s="1"/>
  <c r="DF103" i="9"/>
  <c r="F24" i="20" s="1"/>
  <c r="BB131" i="9"/>
  <c r="F55" i="20" s="1"/>
  <c r="V131" i="9"/>
  <c r="F51" i="20" s="1"/>
  <c r="M103" i="9"/>
  <c r="E12" i="20" s="1"/>
  <c r="M131" i="9"/>
  <c r="E50" i="20" s="1"/>
  <c r="AT83" i="9"/>
  <c r="V117" i="9"/>
  <c r="F32" i="20" s="1"/>
  <c r="CH145" i="9"/>
  <c r="F78" i="20" s="1"/>
  <c r="BZ164" i="9"/>
  <c r="N20" i="20" s="1"/>
  <c r="M145" i="9"/>
  <c r="E69" i="20" s="1"/>
  <c r="AD164" i="9"/>
  <c r="N14" i="20" s="1"/>
  <c r="BJ192" i="9"/>
  <c r="N56" i="20" s="1"/>
  <c r="CX145" i="9"/>
  <c r="F80" i="20" s="1"/>
  <c r="CP192" i="9"/>
  <c r="N60" i="20" s="1"/>
  <c r="CH192" i="9"/>
  <c r="N59" i="20" s="1"/>
  <c r="CP178" i="9"/>
  <c r="N41" i="20" s="1"/>
  <c r="AT39" i="9"/>
  <c r="AT38" i="9"/>
  <c r="V206" i="9"/>
  <c r="N70" i="20" s="1"/>
  <c r="CH178" i="9"/>
  <c r="N40" i="20" s="1"/>
  <c r="BR206" i="9"/>
  <c r="N76" i="20" s="1"/>
  <c r="BB192" i="9"/>
  <c r="N55" i="20" s="1"/>
  <c r="BR145" i="9"/>
  <c r="F76" i="20" s="1"/>
  <c r="V192" i="9"/>
  <c r="N51" i="20" s="1"/>
  <c r="BR164" i="9"/>
  <c r="N19" i="20" s="1"/>
  <c r="BZ206" i="9"/>
  <c r="N77" i="20" s="1"/>
  <c r="M192" i="9"/>
  <c r="CP206" i="9"/>
  <c r="N79" i="20" s="1"/>
  <c r="CH206" i="9"/>
  <c r="N78" i="20" s="1"/>
  <c r="DF164" i="9"/>
  <c r="N24" i="20" s="1"/>
  <c r="BJ164" i="9"/>
  <c r="N18" i="20" s="1"/>
  <c r="CP131" i="9"/>
  <c r="F60" i="20" s="1"/>
  <c r="BZ145" i="9"/>
  <c r="F77" i="20" s="1"/>
  <c r="DF206" i="9"/>
  <c r="N81" i="20" s="1"/>
  <c r="BB178" i="9"/>
  <c r="N36" i="20" s="1"/>
  <c r="M178" i="9"/>
  <c r="M31" i="20" s="1"/>
  <c r="CP164" i="9"/>
  <c r="N22" i="20" s="1"/>
  <c r="BR117" i="9"/>
  <c r="F38" i="20" s="1"/>
  <c r="BJ178" i="9"/>
  <c r="N37" i="20" s="1"/>
  <c r="BZ117" i="9"/>
  <c r="F39" i="20" s="1"/>
  <c r="CP145" i="9"/>
  <c r="F79" i="20" s="1"/>
  <c r="BZ178" i="9"/>
  <c r="N39" i="20" s="1"/>
  <c r="AT68" i="9"/>
  <c r="DF192" i="9"/>
  <c r="N62" i="20" s="1"/>
  <c r="M164" i="9"/>
  <c r="M12" i="20" s="1"/>
  <c r="BB206" i="9"/>
  <c r="N74" i="20" s="1"/>
  <c r="E22" i="11"/>
  <c r="D5" i="28" s="1"/>
  <c r="E73" i="11"/>
  <c r="AT112" i="9"/>
  <c r="CA35" i="9"/>
  <c r="CA100" i="9" s="1"/>
  <c r="AT85" i="9"/>
  <c r="AT70" i="9"/>
  <c r="DG35" i="9"/>
  <c r="DG100" i="9" s="1"/>
  <c r="DG50" i="9"/>
  <c r="DG114" i="9" s="1"/>
  <c r="CI35" i="9"/>
  <c r="CI100" i="9" s="1"/>
  <c r="DG80" i="9"/>
  <c r="DG142" i="9" s="1"/>
  <c r="CQ80" i="9"/>
  <c r="CQ142" i="9" s="1"/>
  <c r="CA80" i="9"/>
  <c r="CA142" i="9" s="1"/>
  <c r="CA50" i="9"/>
  <c r="CA114" i="9" s="1"/>
  <c r="CQ65" i="9"/>
  <c r="AE65" i="9"/>
  <c r="AE128" i="9" s="1"/>
  <c r="CQ35" i="9"/>
  <c r="BC50" i="9"/>
  <c r="BC114" i="9" s="1"/>
  <c r="CI65" i="9"/>
  <c r="CI128" i="9" s="1"/>
  <c r="CI80" i="9"/>
  <c r="CI142" i="9" s="1"/>
  <c r="W65" i="9"/>
  <c r="W128" i="9" s="1"/>
  <c r="W35" i="9"/>
  <c r="W100" i="9" s="1"/>
  <c r="BC80" i="9"/>
  <c r="BC142" i="9" s="1"/>
  <c r="BC65" i="9"/>
  <c r="BC128" i="9" s="1"/>
  <c r="W50" i="9"/>
  <c r="W114" i="9" s="1"/>
  <c r="CQ55" i="9"/>
  <c r="DG70" i="9"/>
  <c r="CI55" i="9"/>
  <c r="CY99" i="9"/>
  <c r="CY160" i="9"/>
  <c r="AU50" i="9"/>
  <c r="CI99" i="9"/>
  <c r="CI160" i="9"/>
  <c r="BS188" i="9"/>
  <c r="BS127" i="9"/>
  <c r="CI81" i="9"/>
  <c r="CI51" i="9"/>
  <c r="CI53" i="9" s="1"/>
  <c r="CI36" i="9"/>
  <c r="CI66" i="9"/>
  <c r="CY174" i="9"/>
  <c r="CY113" i="9"/>
  <c r="DG99" i="9"/>
  <c r="DG160" i="9"/>
  <c r="CQ99" i="9"/>
  <c r="CQ160" i="9"/>
  <c r="CY188" i="9"/>
  <c r="CY127" i="9"/>
  <c r="CY66" i="9"/>
  <c r="CY36" i="9"/>
  <c r="CY81" i="9"/>
  <c r="CY51" i="9"/>
  <c r="DG141" i="9"/>
  <c r="DG202" i="9"/>
  <c r="CQ113" i="9"/>
  <c r="CQ174" i="9"/>
  <c r="CY50" i="9"/>
  <c r="CY65" i="9"/>
  <c r="CY80" i="9"/>
  <c r="CY35" i="9"/>
  <c r="BS50" i="9"/>
  <c r="BS35" i="9"/>
  <c r="BS80" i="9"/>
  <c r="BS65" i="9"/>
  <c r="DG113" i="9"/>
  <c r="DG174" i="9"/>
  <c r="CQ127" i="9"/>
  <c r="CQ188" i="9"/>
  <c r="DG81" i="9"/>
  <c r="DG36" i="9"/>
  <c r="DG51" i="9"/>
  <c r="DG66" i="9"/>
  <c r="DG68" i="9" s="1"/>
  <c r="CQ36" i="9"/>
  <c r="CQ81" i="9"/>
  <c r="CQ51" i="9"/>
  <c r="CQ66" i="9"/>
  <c r="BS160" i="9"/>
  <c r="BS99" i="9"/>
  <c r="CA202" i="9"/>
  <c r="CA141" i="9"/>
  <c r="DG188" i="9"/>
  <c r="DG127" i="9"/>
  <c r="AE35" i="9"/>
  <c r="AE100" i="9" s="1"/>
  <c r="CA160" i="9"/>
  <c r="CA99" i="9"/>
  <c r="CA128" i="9"/>
  <c r="CA70" i="9"/>
  <c r="AE80" i="9"/>
  <c r="AE142" i="9" s="1"/>
  <c r="CA174" i="9"/>
  <c r="CA113" i="9"/>
  <c r="CY202" i="9"/>
  <c r="CY141" i="9"/>
  <c r="CA127" i="9"/>
  <c r="CA188" i="9"/>
  <c r="CI113" i="9"/>
  <c r="CI174" i="9"/>
  <c r="BS202" i="9"/>
  <c r="BS141" i="9"/>
  <c r="BS66" i="9"/>
  <c r="BS51" i="9"/>
  <c r="BS36" i="9"/>
  <c r="BS81" i="9"/>
  <c r="CI202" i="9"/>
  <c r="CI141" i="9"/>
  <c r="CA81" i="9"/>
  <c r="CA51" i="9"/>
  <c r="CA66" i="9"/>
  <c r="CA68" i="9" s="1"/>
  <c r="CA36" i="9"/>
  <c r="CQ202" i="9"/>
  <c r="CQ141" i="9"/>
  <c r="CI188" i="9"/>
  <c r="CI127" i="9"/>
  <c r="BS113" i="9"/>
  <c r="BS174" i="9"/>
  <c r="BK80" i="9"/>
  <c r="BK142" i="9" s="1"/>
  <c r="BK35" i="9"/>
  <c r="BK100" i="9" s="1"/>
  <c r="BK50" i="9"/>
  <c r="BK114" i="9" s="1"/>
  <c r="BC40" i="9"/>
  <c r="W99" i="9"/>
  <c r="W160" i="9"/>
  <c r="AE51" i="9"/>
  <c r="AE81" i="9"/>
  <c r="AE36" i="9"/>
  <c r="AE66" i="9"/>
  <c r="W51" i="9"/>
  <c r="W66" i="9"/>
  <c r="W81" i="9"/>
  <c r="W36" i="9"/>
  <c r="W188" i="9"/>
  <c r="W127" i="9"/>
  <c r="W85" i="9"/>
  <c r="AE114" i="9"/>
  <c r="AE55" i="9"/>
  <c r="W202" i="9"/>
  <c r="W141" i="9"/>
  <c r="W174" i="9"/>
  <c r="W113" i="9"/>
  <c r="BK128" i="9"/>
  <c r="BK70" i="9"/>
  <c r="AT202" i="9"/>
  <c r="AT206" i="9" s="1"/>
  <c r="N73" i="20" s="1"/>
  <c r="AT141" i="9"/>
  <c r="AT84" i="9"/>
  <c r="AT174" i="9"/>
  <c r="AT178" i="9" s="1"/>
  <c r="N35" i="20" s="1"/>
  <c r="AT113" i="9"/>
  <c r="AU34" i="9"/>
  <c r="AU64" i="9"/>
  <c r="AU79" i="9"/>
  <c r="AU49" i="9"/>
  <c r="AT127" i="9"/>
  <c r="AT131" i="9" s="1"/>
  <c r="F54" i="20" s="1"/>
  <c r="AT188" i="9"/>
  <c r="AT54" i="9"/>
  <c r="AT160" i="9"/>
  <c r="AT99" i="9"/>
  <c r="AT103" i="9" s="1"/>
  <c r="F16" i="20" s="1"/>
  <c r="BK99" i="9"/>
  <c r="BK160" i="9"/>
  <c r="BK127" i="9"/>
  <c r="BK188" i="9"/>
  <c r="BK202" i="9"/>
  <c r="BK141" i="9"/>
  <c r="BK113" i="9"/>
  <c r="BK174" i="9"/>
  <c r="BK66" i="9"/>
  <c r="BK51" i="9"/>
  <c r="BK36" i="9"/>
  <c r="BK81" i="9"/>
  <c r="BC99" i="9"/>
  <c r="BC160" i="9"/>
  <c r="BC113" i="9"/>
  <c r="BC174" i="9"/>
  <c r="BC188" i="9"/>
  <c r="BC127" i="9"/>
  <c r="BC202" i="9"/>
  <c r="BC141" i="9"/>
  <c r="BC36" i="9"/>
  <c r="BC51" i="9"/>
  <c r="BC81" i="9"/>
  <c r="BC66" i="9"/>
  <c r="N125" i="9"/>
  <c r="N186" i="9"/>
  <c r="N49" i="9"/>
  <c r="N64" i="9"/>
  <c r="N79" i="9"/>
  <c r="N34" i="9"/>
  <c r="N63" i="9"/>
  <c r="N33" i="9"/>
  <c r="N48" i="9"/>
  <c r="N78" i="9"/>
  <c r="N158" i="9"/>
  <c r="N97" i="9"/>
  <c r="N200" i="9"/>
  <c r="N139" i="9"/>
  <c r="N172" i="9"/>
  <c r="N111" i="9"/>
  <c r="O33" i="9"/>
  <c r="O98" i="9" s="1"/>
  <c r="O63" i="9"/>
  <c r="O126" i="9" s="1"/>
  <c r="M50" i="20" l="1"/>
  <c r="M63" i="20" s="1"/>
  <c r="F58" i="11" s="1"/>
  <c r="E33" i="11"/>
  <c r="AG5" i="28"/>
  <c r="F8" i="9"/>
  <c r="AE113" i="9"/>
  <c r="AE141" i="9"/>
  <c r="AE127" i="9"/>
  <c r="E63" i="20"/>
  <c r="F49" i="11" s="1"/>
  <c r="AK145" i="9"/>
  <c r="AE99" i="9"/>
  <c r="AE53" i="9"/>
  <c r="O186" i="9"/>
  <c r="AL186" i="9"/>
  <c r="F69" i="9"/>
  <c r="AM63" i="9"/>
  <c r="AM126" i="9" s="1"/>
  <c r="AM33" i="9"/>
  <c r="AM98" i="9" s="1"/>
  <c r="AM78" i="9"/>
  <c r="AM140" i="9" s="1"/>
  <c r="F127" i="9"/>
  <c r="O139" i="9"/>
  <c r="AL49" i="9"/>
  <c r="AL34" i="9"/>
  <c r="AL69" i="9"/>
  <c r="AL127" i="9"/>
  <c r="AL188" i="9"/>
  <c r="AL172" i="9"/>
  <c r="AL200" i="9"/>
  <c r="AL79" i="9"/>
  <c r="F192" i="9"/>
  <c r="N49" i="20" s="1"/>
  <c r="F38" i="9"/>
  <c r="F141" i="9"/>
  <c r="F202" i="9"/>
  <c r="F206" i="9" s="1"/>
  <c r="N68" i="20" s="1"/>
  <c r="F54" i="9"/>
  <c r="F160" i="9"/>
  <c r="F164" i="9" s="1"/>
  <c r="N11" i="20" s="1"/>
  <c r="F99" i="9"/>
  <c r="F174" i="9"/>
  <c r="F178" i="9" s="1"/>
  <c r="N30" i="20" s="1"/>
  <c r="F112" i="9"/>
  <c r="F117" i="9" s="1"/>
  <c r="F30" i="20" s="1"/>
  <c r="F55" i="9"/>
  <c r="F53" i="9"/>
  <c r="F98" i="9"/>
  <c r="F40" i="9"/>
  <c r="F140" i="9"/>
  <c r="F85" i="9"/>
  <c r="F68" i="9"/>
  <c r="F70" i="9"/>
  <c r="F126" i="9"/>
  <c r="F83" i="9"/>
  <c r="M82" i="20"/>
  <c r="F83" i="11" s="1"/>
  <c r="AL33" i="9"/>
  <c r="AL78" i="9"/>
  <c r="AL63" i="9"/>
  <c r="AL48" i="9"/>
  <c r="M44" i="20"/>
  <c r="F32" i="11" s="1"/>
  <c r="AO5" i="28" s="1"/>
  <c r="AM172" i="9"/>
  <c r="AM111" i="9"/>
  <c r="AM125" i="9"/>
  <c r="AM186" i="9"/>
  <c r="M25" i="20"/>
  <c r="F57" i="11" s="1"/>
  <c r="E25" i="20"/>
  <c r="F48" i="11" s="1"/>
  <c r="AM158" i="9"/>
  <c r="AM97" i="9"/>
  <c r="E44" i="20"/>
  <c r="F23" i="11" s="1"/>
  <c r="L5" i="28" s="1"/>
  <c r="AM200" i="9"/>
  <c r="AM139" i="9"/>
  <c r="O172" i="9"/>
  <c r="O158" i="9"/>
  <c r="O78" i="9"/>
  <c r="O140" i="9" s="1"/>
  <c r="CI38" i="9"/>
  <c r="AE38" i="9"/>
  <c r="BK38" i="9"/>
  <c r="CA83" i="9"/>
  <c r="BC83" i="9"/>
  <c r="AE68" i="9"/>
  <c r="CY53" i="9"/>
  <c r="AT117" i="9"/>
  <c r="F35" i="20" s="1"/>
  <c r="AE83" i="9"/>
  <c r="BS53" i="9"/>
  <c r="CQ68" i="9"/>
  <c r="N68" i="9"/>
  <c r="BC68" i="9"/>
  <c r="BK53" i="9"/>
  <c r="N84" i="9"/>
  <c r="N83" i="9"/>
  <c r="BK69" i="9"/>
  <c r="BK68" i="9"/>
  <c r="CQ39" i="9"/>
  <c r="CQ38" i="9"/>
  <c r="CI69" i="9"/>
  <c r="CI68" i="9"/>
  <c r="N54" i="9"/>
  <c r="N53" i="9"/>
  <c r="W69" i="9"/>
  <c r="W68" i="9"/>
  <c r="W53" i="9"/>
  <c r="BS84" i="9"/>
  <c r="BS83" i="9"/>
  <c r="DG54" i="9"/>
  <c r="DG53" i="9"/>
  <c r="BC54" i="9"/>
  <c r="BC53" i="9"/>
  <c r="CA39" i="9"/>
  <c r="CA38" i="9"/>
  <c r="BS39" i="9"/>
  <c r="BS38" i="9"/>
  <c r="DG39" i="9"/>
  <c r="DG38" i="9"/>
  <c r="CY84" i="9"/>
  <c r="CY83" i="9"/>
  <c r="CI83" i="9"/>
  <c r="BC39" i="9"/>
  <c r="BC38" i="9"/>
  <c r="AT145" i="9"/>
  <c r="F73" i="20" s="1"/>
  <c r="DG84" i="9"/>
  <c r="DG83" i="9"/>
  <c r="CY39" i="9"/>
  <c r="CY38" i="9"/>
  <c r="N38" i="9"/>
  <c r="BK84" i="9"/>
  <c r="BK83" i="9"/>
  <c r="CA53" i="9"/>
  <c r="BS68" i="9"/>
  <c r="CY68" i="9"/>
  <c r="AT164" i="9"/>
  <c r="N16" i="20" s="1"/>
  <c r="W39" i="9"/>
  <c r="W38" i="9"/>
  <c r="CQ54" i="9"/>
  <c r="CQ53" i="9"/>
  <c r="W84" i="9"/>
  <c r="W83" i="9"/>
  <c r="CQ84" i="9"/>
  <c r="CQ83" i="9"/>
  <c r="AT192" i="9"/>
  <c r="N54" i="20" s="1"/>
  <c r="E75" i="11"/>
  <c r="E59" i="11"/>
  <c r="CA40" i="9"/>
  <c r="AU80" i="9"/>
  <c r="AU85" i="9" s="1"/>
  <c r="BC55" i="9"/>
  <c r="DG55" i="9"/>
  <c r="CA85" i="9"/>
  <c r="CI40" i="9"/>
  <c r="CQ85" i="9"/>
  <c r="W40" i="9"/>
  <c r="DG85" i="9"/>
  <c r="DG40" i="9"/>
  <c r="AU65" i="9"/>
  <c r="AU70" i="9" s="1"/>
  <c r="CI85" i="9"/>
  <c r="W70" i="9"/>
  <c r="AE70" i="9"/>
  <c r="BK85" i="9"/>
  <c r="CA55" i="9"/>
  <c r="AE85" i="9"/>
  <c r="AU35" i="9"/>
  <c r="AU100" i="9" s="1"/>
  <c r="CQ100" i="9"/>
  <c r="CQ40" i="9"/>
  <c r="CI70" i="9"/>
  <c r="CQ128" i="9"/>
  <c r="CQ70" i="9"/>
  <c r="BC85" i="9"/>
  <c r="BC70" i="9"/>
  <c r="W55" i="9"/>
  <c r="CA84" i="9"/>
  <c r="AE40" i="9"/>
  <c r="BS176" i="9"/>
  <c r="BS115" i="9"/>
  <c r="CQ190" i="9"/>
  <c r="CQ129" i="9"/>
  <c r="CI176" i="9"/>
  <c r="CI115" i="9"/>
  <c r="CI101" i="9"/>
  <c r="CI162" i="9"/>
  <c r="BS190" i="9"/>
  <c r="BS129" i="9"/>
  <c r="CQ176" i="9"/>
  <c r="CQ115" i="9"/>
  <c r="CI204" i="9"/>
  <c r="CI143" i="9"/>
  <c r="CQ143" i="9"/>
  <c r="CQ204" i="9"/>
  <c r="BS128" i="9"/>
  <c r="BS70" i="9"/>
  <c r="CQ101" i="9"/>
  <c r="CQ162" i="9"/>
  <c r="BS142" i="9"/>
  <c r="BS85" i="9"/>
  <c r="BS69" i="9"/>
  <c r="CI190" i="9"/>
  <c r="CI129" i="9"/>
  <c r="BS162" i="9"/>
  <c r="BS101" i="9"/>
  <c r="DG190" i="9"/>
  <c r="DG129" i="9"/>
  <c r="BS100" i="9"/>
  <c r="BS40" i="9"/>
  <c r="CY176" i="9"/>
  <c r="CY115" i="9"/>
  <c r="BS143" i="9"/>
  <c r="BS204" i="9"/>
  <c r="CA101" i="9"/>
  <c r="CA162" i="9"/>
  <c r="DG115" i="9"/>
  <c r="DG176" i="9"/>
  <c r="BS114" i="9"/>
  <c r="BS55" i="9"/>
  <c r="CY143" i="9"/>
  <c r="CY204" i="9"/>
  <c r="CY206" i="9" s="1"/>
  <c r="O80" i="20" s="1"/>
  <c r="BS54" i="9"/>
  <c r="CA190" i="9"/>
  <c r="CA129" i="9"/>
  <c r="CI54" i="9"/>
  <c r="DG69" i="9"/>
  <c r="DG101" i="9"/>
  <c r="DG162" i="9"/>
  <c r="CY100" i="9"/>
  <c r="CY40" i="9"/>
  <c r="CY162" i="9"/>
  <c r="CY101" i="9"/>
  <c r="CY54" i="9"/>
  <c r="CA176" i="9"/>
  <c r="CA115" i="9"/>
  <c r="CA54" i="9"/>
  <c r="DG143" i="9"/>
  <c r="DG204" i="9"/>
  <c r="CY142" i="9"/>
  <c r="CY85" i="9"/>
  <c r="CY129" i="9"/>
  <c r="CY190" i="9"/>
  <c r="BK40" i="9"/>
  <c r="CA143" i="9"/>
  <c r="CA204" i="9"/>
  <c r="CY128" i="9"/>
  <c r="CY70" i="9"/>
  <c r="BK55" i="9"/>
  <c r="CY114" i="9"/>
  <c r="CY55" i="9"/>
  <c r="CY69" i="9"/>
  <c r="CI39" i="9"/>
  <c r="CI84" i="9"/>
  <c r="CA69" i="9"/>
  <c r="CQ69" i="9"/>
  <c r="AE54" i="9"/>
  <c r="BK39" i="9"/>
  <c r="W115" i="9"/>
  <c r="W176" i="9"/>
  <c r="AE190" i="9"/>
  <c r="AE129" i="9"/>
  <c r="AE101" i="9"/>
  <c r="AE162" i="9"/>
  <c r="AE204" i="9"/>
  <c r="AE143" i="9"/>
  <c r="AE115" i="9"/>
  <c r="AE176" i="9"/>
  <c r="AE39" i="9"/>
  <c r="AE69" i="9"/>
  <c r="W101" i="9"/>
  <c r="W162" i="9"/>
  <c r="W54" i="9"/>
  <c r="W143" i="9"/>
  <c r="W204" i="9"/>
  <c r="AE84" i="9"/>
  <c r="W129" i="9"/>
  <c r="W190" i="9"/>
  <c r="AU114" i="9"/>
  <c r="AU55" i="9"/>
  <c r="AU113" i="9"/>
  <c r="AU174" i="9"/>
  <c r="AU202" i="9"/>
  <c r="AU141" i="9"/>
  <c r="AU127" i="9"/>
  <c r="AU188" i="9"/>
  <c r="AU160" i="9"/>
  <c r="AU99" i="9"/>
  <c r="AU81" i="9"/>
  <c r="AU66" i="9"/>
  <c r="AU36" i="9"/>
  <c r="AU51" i="9"/>
  <c r="AU53" i="9" s="1"/>
  <c r="BC190" i="9"/>
  <c r="BC129" i="9"/>
  <c r="BC143" i="9"/>
  <c r="BC204" i="9"/>
  <c r="BC101" i="9"/>
  <c r="BC162" i="9"/>
  <c r="BK143" i="9"/>
  <c r="BK204" i="9"/>
  <c r="BC84" i="9"/>
  <c r="BK101" i="9"/>
  <c r="BK162" i="9"/>
  <c r="BK176" i="9"/>
  <c r="BK115" i="9"/>
  <c r="BK190" i="9"/>
  <c r="BK129" i="9"/>
  <c r="BC69" i="9"/>
  <c r="BK54" i="9"/>
  <c r="BC115" i="9"/>
  <c r="BC176" i="9"/>
  <c r="N140" i="9"/>
  <c r="N85" i="9"/>
  <c r="N126" i="9"/>
  <c r="N70" i="9"/>
  <c r="N98" i="9"/>
  <c r="N40" i="9"/>
  <c r="O34" i="9"/>
  <c r="O79" i="9"/>
  <c r="O49" i="9"/>
  <c r="O64" i="9"/>
  <c r="N99" i="9"/>
  <c r="N160" i="9"/>
  <c r="N39" i="9"/>
  <c r="N141" i="9"/>
  <c r="N202" i="9"/>
  <c r="N55" i="9"/>
  <c r="N112" i="9"/>
  <c r="N127" i="9"/>
  <c r="N188" i="9"/>
  <c r="N192" i="9" s="1"/>
  <c r="N50" i="20" s="1"/>
  <c r="N174" i="9"/>
  <c r="N113" i="9"/>
  <c r="N69" i="9"/>
  <c r="E24" i="11"/>
  <c r="E50" i="11"/>
  <c r="F59" i="11" l="1"/>
  <c r="E72" i="20"/>
  <c r="E82" i="20" s="1"/>
  <c r="F74" i="11" s="1"/>
  <c r="AU5" i="28"/>
  <c r="R5" i="28"/>
  <c r="G49" i="9"/>
  <c r="G113" i="9" s="1"/>
  <c r="F10" i="9"/>
  <c r="G35" i="9" s="1"/>
  <c r="G100" i="9" s="1"/>
  <c r="G34" i="9"/>
  <c r="G160" i="9" s="1"/>
  <c r="G79" i="9"/>
  <c r="G202" i="9" s="1"/>
  <c r="G64" i="9"/>
  <c r="G188" i="9" s="1"/>
  <c r="AM50" i="9"/>
  <c r="AM55" i="9" s="1"/>
  <c r="F50" i="11"/>
  <c r="AL192" i="9"/>
  <c r="N53" i="20" s="1"/>
  <c r="F131" i="9"/>
  <c r="F49" i="20" s="1"/>
  <c r="AL99" i="9"/>
  <c r="AL39" i="9"/>
  <c r="AL160" i="9"/>
  <c r="AL164" i="9" s="1"/>
  <c r="N15" i="20" s="1"/>
  <c r="AL54" i="9"/>
  <c r="AL174" i="9"/>
  <c r="AL178" i="9" s="1"/>
  <c r="N34" i="20" s="1"/>
  <c r="AL113" i="9"/>
  <c r="AM49" i="9"/>
  <c r="AM64" i="9"/>
  <c r="AM34" i="9"/>
  <c r="AM79" i="9"/>
  <c r="AL84" i="9"/>
  <c r="AL202" i="9"/>
  <c r="AL206" i="9" s="1"/>
  <c r="N72" i="20" s="1"/>
  <c r="AL141" i="9"/>
  <c r="F145" i="9"/>
  <c r="F68" i="20" s="1"/>
  <c r="F103" i="9"/>
  <c r="F22" i="11"/>
  <c r="F73" i="11"/>
  <c r="AL112" i="9"/>
  <c r="AL55" i="9"/>
  <c r="AL53" i="9"/>
  <c r="AL126" i="9"/>
  <c r="AL131" i="9" s="1"/>
  <c r="F53" i="20" s="1"/>
  <c r="AL68" i="9"/>
  <c r="AL70" i="9"/>
  <c r="F82" i="11"/>
  <c r="F84" i="11" s="1"/>
  <c r="AL140" i="9"/>
  <c r="AL83" i="9"/>
  <c r="AL85" i="9"/>
  <c r="F31" i="11"/>
  <c r="AL98" i="9"/>
  <c r="AL40" i="9"/>
  <c r="AL38" i="9"/>
  <c r="N103" i="9"/>
  <c r="F12" i="20" s="1"/>
  <c r="AU68" i="9"/>
  <c r="AU38" i="9"/>
  <c r="CY103" i="9"/>
  <c r="G23" i="20" s="1"/>
  <c r="N131" i="9"/>
  <c r="F50" i="20" s="1"/>
  <c r="BS117" i="9"/>
  <c r="G38" i="20" s="1"/>
  <c r="CQ131" i="9"/>
  <c r="G60" i="20" s="1"/>
  <c r="N206" i="9"/>
  <c r="N69" i="20" s="1"/>
  <c r="W206" i="9"/>
  <c r="O70" i="20" s="1"/>
  <c r="CQ117" i="9"/>
  <c r="G41" i="20" s="1"/>
  <c r="BC192" i="9"/>
  <c r="O55" i="20" s="1"/>
  <c r="W131" i="9"/>
  <c r="G51" i="20" s="1"/>
  <c r="AE192" i="9"/>
  <c r="O52" i="20" s="1"/>
  <c r="DG206" i="9"/>
  <c r="O81" i="20" s="1"/>
  <c r="CA131" i="9"/>
  <c r="G58" i="20" s="1"/>
  <c r="DG117" i="9"/>
  <c r="G43" i="20" s="1"/>
  <c r="CI145" i="9"/>
  <c r="G78" i="20" s="1"/>
  <c r="BK206" i="9"/>
  <c r="O75" i="20" s="1"/>
  <c r="AE178" i="9"/>
  <c r="O33" i="20" s="1"/>
  <c r="W178" i="9"/>
  <c r="O32" i="20" s="1"/>
  <c r="CA206" i="9"/>
  <c r="O77" i="20" s="1"/>
  <c r="DG145" i="9"/>
  <c r="G81" i="20" s="1"/>
  <c r="CY164" i="9"/>
  <c r="O23" i="20" s="1"/>
  <c r="CA192" i="9"/>
  <c r="O58" i="20" s="1"/>
  <c r="CA164" i="9"/>
  <c r="O20" i="20" s="1"/>
  <c r="DG131" i="9"/>
  <c r="G62" i="20" s="1"/>
  <c r="CI206" i="9"/>
  <c r="O78" i="20" s="1"/>
  <c r="CI178" i="9"/>
  <c r="O40" i="20" s="1"/>
  <c r="AE117" i="9"/>
  <c r="G33" i="20" s="1"/>
  <c r="AE145" i="9"/>
  <c r="G71" i="20" s="1"/>
  <c r="BS206" i="9"/>
  <c r="O76" i="20" s="1"/>
  <c r="CQ103" i="9"/>
  <c r="G22" i="20" s="1"/>
  <c r="CQ178" i="9"/>
  <c r="O41" i="20" s="1"/>
  <c r="N145" i="9"/>
  <c r="F69" i="20" s="1"/>
  <c r="BK117" i="9"/>
  <c r="G37" i="20" s="1"/>
  <c r="BC103" i="9"/>
  <c r="G17" i="20" s="1"/>
  <c r="AU84" i="9"/>
  <c r="AU83" i="9"/>
  <c r="AE206" i="9"/>
  <c r="O71" i="20" s="1"/>
  <c r="CY192" i="9"/>
  <c r="O61" i="20" s="1"/>
  <c r="CA178" i="9"/>
  <c r="O39" i="20" s="1"/>
  <c r="DG164" i="9"/>
  <c r="O24" i="20" s="1"/>
  <c r="CY145" i="9"/>
  <c r="G80" i="20" s="1"/>
  <c r="BS145" i="9"/>
  <c r="G76" i="20" s="1"/>
  <c r="BS164" i="9"/>
  <c r="O19" i="20" s="1"/>
  <c r="BS131" i="9"/>
  <c r="G57" i="20" s="1"/>
  <c r="BK131" i="9"/>
  <c r="G56" i="20" s="1"/>
  <c r="CA145" i="9"/>
  <c r="G77" i="20" s="1"/>
  <c r="DG192" i="9"/>
  <c r="O62" i="20" s="1"/>
  <c r="BC164" i="9"/>
  <c r="O17" i="20" s="1"/>
  <c r="W145" i="9"/>
  <c r="G70" i="20" s="1"/>
  <c r="CA117" i="9"/>
  <c r="G39" i="20" s="1"/>
  <c r="BS103" i="9"/>
  <c r="G19" i="20" s="1"/>
  <c r="CQ192" i="9"/>
  <c r="O60" i="20" s="1"/>
  <c r="N117" i="9"/>
  <c r="F31" i="20" s="1"/>
  <c r="BC206" i="9"/>
  <c r="O74" i="20" s="1"/>
  <c r="AE164" i="9"/>
  <c r="O14" i="20" s="1"/>
  <c r="CY131" i="9"/>
  <c r="G61" i="20" s="1"/>
  <c r="DG103" i="9"/>
  <c r="G24" i="20" s="1"/>
  <c r="CY117" i="9"/>
  <c r="G42" i="20" s="1"/>
  <c r="CI131" i="9"/>
  <c r="G59" i="20" s="1"/>
  <c r="BS192" i="9"/>
  <c r="O57" i="20" s="1"/>
  <c r="BS178" i="9"/>
  <c r="O38" i="20" s="1"/>
  <c r="BK192" i="9"/>
  <c r="O56" i="20" s="1"/>
  <c r="W164" i="9"/>
  <c r="O13" i="20" s="1"/>
  <c r="BC178" i="9"/>
  <c r="O36" i="20" s="1"/>
  <c r="BK164" i="9"/>
  <c r="O18" i="20" s="1"/>
  <c r="BC145" i="9"/>
  <c r="G74" i="20" s="1"/>
  <c r="W103" i="9"/>
  <c r="G13" i="20" s="1"/>
  <c r="AE103" i="9"/>
  <c r="G14" i="20" s="1"/>
  <c r="CI192" i="9"/>
  <c r="O59" i="20" s="1"/>
  <c r="CQ206" i="9"/>
  <c r="O79" i="20" s="1"/>
  <c r="CI164" i="9"/>
  <c r="O21" i="20" s="1"/>
  <c r="CY178" i="9"/>
  <c r="O42" i="20" s="1"/>
  <c r="BK145" i="9"/>
  <c r="G75" i="20" s="1"/>
  <c r="W117" i="9"/>
  <c r="G32" i="20" s="1"/>
  <c r="CA103" i="9"/>
  <c r="G20" i="20" s="1"/>
  <c r="CQ164" i="9"/>
  <c r="O22" i="20" s="1"/>
  <c r="BC117" i="9"/>
  <c r="G36" i="20" s="1"/>
  <c r="BK103" i="9"/>
  <c r="G18" i="20" s="1"/>
  <c r="BC131" i="9"/>
  <c r="G55" i="20" s="1"/>
  <c r="W192" i="9"/>
  <c r="O51" i="20" s="1"/>
  <c r="AE131" i="9"/>
  <c r="G52" i="20" s="1"/>
  <c r="DG178" i="9"/>
  <c r="O43" i="20" s="1"/>
  <c r="CQ145" i="9"/>
  <c r="G79" i="20" s="1"/>
  <c r="CI103" i="9"/>
  <c r="G21" i="20" s="1"/>
  <c r="N164" i="9"/>
  <c r="N12" i="20" s="1"/>
  <c r="BK178" i="9"/>
  <c r="O37" i="20" s="1"/>
  <c r="CI117" i="9"/>
  <c r="G40" i="20" s="1"/>
  <c r="N178" i="9"/>
  <c r="N31" i="20" s="1"/>
  <c r="AU142" i="9"/>
  <c r="AU128" i="9"/>
  <c r="AU40" i="9"/>
  <c r="AU115" i="9"/>
  <c r="AU176" i="9"/>
  <c r="AU101" i="9"/>
  <c r="AU162" i="9"/>
  <c r="AU164" i="9" s="1"/>
  <c r="O16" i="20" s="1"/>
  <c r="AU54" i="9"/>
  <c r="AU204" i="9"/>
  <c r="AU143" i="9"/>
  <c r="AU39" i="9"/>
  <c r="AU129" i="9"/>
  <c r="AU190" i="9"/>
  <c r="AU192" i="9" s="1"/>
  <c r="O54" i="20" s="1"/>
  <c r="AU69" i="9"/>
  <c r="O174" i="9"/>
  <c r="O113" i="9"/>
  <c r="O202" i="9"/>
  <c r="O141" i="9"/>
  <c r="O160" i="9"/>
  <c r="O99" i="9"/>
  <c r="O127" i="9"/>
  <c r="O188" i="9"/>
  <c r="O80" i="9"/>
  <c r="O35" i="9"/>
  <c r="O50" i="9"/>
  <c r="O65" i="9"/>
  <c r="O36" i="9"/>
  <c r="O81" i="9"/>
  <c r="O66" i="9"/>
  <c r="O51" i="9"/>
  <c r="F75" i="11" l="1"/>
  <c r="F11" i="20"/>
  <c r="F33" i="11"/>
  <c r="AH5" i="28"/>
  <c r="F24" i="11"/>
  <c r="E5" i="28"/>
  <c r="G80" i="9"/>
  <c r="G142" i="9" s="1"/>
  <c r="G174" i="9"/>
  <c r="G50" i="9"/>
  <c r="G55" i="9" s="1"/>
  <c r="G40" i="9"/>
  <c r="G99" i="9"/>
  <c r="G7" i="9"/>
  <c r="G81" i="9" s="1"/>
  <c r="G204" i="9" s="1"/>
  <c r="G206" i="9" s="1"/>
  <c r="O68" i="20" s="1"/>
  <c r="G65" i="9"/>
  <c r="G70" i="9" s="1"/>
  <c r="F20" i="9"/>
  <c r="G127" i="9"/>
  <c r="G141" i="9"/>
  <c r="AM80" i="9"/>
  <c r="AM35" i="9"/>
  <c r="AM40" i="9" s="1"/>
  <c r="AM65" i="9"/>
  <c r="AM128" i="9" s="1"/>
  <c r="AM114" i="9"/>
  <c r="N63" i="20"/>
  <c r="G58" i="11" s="1"/>
  <c r="AL103" i="9"/>
  <c r="N25" i="20"/>
  <c r="G57" i="11" s="1"/>
  <c r="N82" i="20"/>
  <c r="G83" i="11" s="1"/>
  <c r="AM202" i="9"/>
  <c r="AM141" i="9"/>
  <c r="AM99" i="9"/>
  <c r="AM160" i="9"/>
  <c r="AM66" i="9"/>
  <c r="AM81" i="9"/>
  <c r="AM51" i="9"/>
  <c r="AM36" i="9"/>
  <c r="N44" i="20"/>
  <c r="G32" i="11" s="1"/>
  <c r="AP5" i="28" s="1"/>
  <c r="AM188" i="9"/>
  <c r="AM127" i="9"/>
  <c r="AL117" i="9"/>
  <c r="AM174" i="9"/>
  <c r="AM113" i="9"/>
  <c r="AL145" i="9"/>
  <c r="F63" i="20"/>
  <c r="G49" i="11" s="1"/>
  <c r="AU131" i="9"/>
  <c r="G54" i="20" s="1"/>
  <c r="O38" i="9"/>
  <c r="AU145" i="9"/>
  <c r="G73" i="20" s="1"/>
  <c r="AU178" i="9"/>
  <c r="O35" i="20" s="1"/>
  <c r="O54" i="9"/>
  <c r="O53" i="9"/>
  <c r="AU206" i="9"/>
  <c r="O73" i="20" s="1"/>
  <c r="AU103" i="9"/>
  <c r="G16" i="20" s="1"/>
  <c r="AU117" i="9"/>
  <c r="G35" i="20" s="1"/>
  <c r="O68" i="9"/>
  <c r="O83" i="9"/>
  <c r="O69" i="9"/>
  <c r="O84" i="9"/>
  <c r="O204" i="9"/>
  <c r="O143" i="9"/>
  <c r="O128" i="9"/>
  <c r="O70" i="9"/>
  <c r="O142" i="9"/>
  <c r="O85" i="9"/>
  <c r="O115" i="9"/>
  <c r="O176" i="9"/>
  <c r="O190" i="9"/>
  <c r="O129" i="9"/>
  <c r="O162" i="9"/>
  <c r="O101" i="9"/>
  <c r="O39" i="9"/>
  <c r="O55" i="9"/>
  <c r="O114" i="9"/>
  <c r="O100" i="9"/>
  <c r="O40" i="9"/>
  <c r="F72" i="20" l="1"/>
  <c r="F82" i="20" s="1"/>
  <c r="G74" i="11" s="1"/>
  <c r="F15" i="20"/>
  <c r="F25" i="20" s="1"/>
  <c r="G73" i="11" s="1"/>
  <c r="F34" i="20"/>
  <c r="F44" i="20" s="1"/>
  <c r="G23" i="11" s="1"/>
  <c r="M5" i="28" s="1"/>
  <c r="S5" i="28"/>
  <c r="AV5" i="28"/>
  <c r="G114" i="9"/>
  <c r="G85" i="9"/>
  <c r="G66" i="9"/>
  <c r="G69" i="9" s="1"/>
  <c r="G51" i="9"/>
  <c r="G115" i="9" s="1"/>
  <c r="G84" i="9"/>
  <c r="G143" i="9"/>
  <c r="G145" i="9" s="1"/>
  <c r="G68" i="20" s="1"/>
  <c r="G36" i="9"/>
  <c r="G38" i="9" s="1"/>
  <c r="G83" i="9"/>
  <c r="G128" i="9"/>
  <c r="AM100" i="9"/>
  <c r="AM142" i="9"/>
  <c r="AM85" i="9"/>
  <c r="AM70" i="9"/>
  <c r="G59" i="11"/>
  <c r="G31" i="11"/>
  <c r="G82" i="11"/>
  <c r="G84" i="11" s="1"/>
  <c r="AM115" i="9"/>
  <c r="AM117" i="9" s="1"/>
  <c r="G34" i="20" s="1"/>
  <c r="AM176" i="9"/>
  <c r="AM178" i="9" s="1"/>
  <c r="O34" i="20" s="1"/>
  <c r="AM53" i="9"/>
  <c r="AM54" i="9"/>
  <c r="AM162" i="9"/>
  <c r="AM164" i="9" s="1"/>
  <c r="O15" i="20" s="1"/>
  <c r="AM101" i="9"/>
  <c r="AM38" i="9"/>
  <c r="AM143" i="9"/>
  <c r="AM204" i="9"/>
  <c r="AM206" i="9" s="1"/>
  <c r="O72" i="20" s="1"/>
  <c r="AM84" i="9"/>
  <c r="AM83" i="9"/>
  <c r="AM190" i="9"/>
  <c r="AM192" i="9" s="1"/>
  <c r="O53" i="20" s="1"/>
  <c r="AM68" i="9"/>
  <c r="AM129" i="9"/>
  <c r="AM131" i="9" s="1"/>
  <c r="G53" i="20" s="1"/>
  <c r="AM69" i="9"/>
  <c r="AM39" i="9"/>
  <c r="O117" i="9"/>
  <c r="G31" i="20" s="1"/>
  <c r="O131" i="9"/>
  <c r="G50" i="20" s="1"/>
  <c r="O103" i="9"/>
  <c r="G12" i="20" s="1"/>
  <c r="O145" i="9"/>
  <c r="G69" i="20" s="1"/>
  <c r="O192" i="9"/>
  <c r="O50" i="20" s="1"/>
  <c r="O206" i="9"/>
  <c r="O69" i="20" s="1"/>
  <c r="O178" i="9"/>
  <c r="O31" i="20" s="1"/>
  <c r="O164" i="9"/>
  <c r="O12" i="20" s="1"/>
  <c r="G75" i="11" l="1"/>
  <c r="G48" i="11"/>
  <c r="G50" i="11" s="1"/>
  <c r="G22" i="11"/>
  <c r="F5" i="28" s="1"/>
  <c r="T5" i="28" s="1"/>
  <c r="G33" i="11"/>
  <c r="AI5" i="28"/>
  <c r="G117" i="9"/>
  <c r="G68" i="9"/>
  <c r="G190" i="9"/>
  <c r="G192" i="9" s="1"/>
  <c r="G129" i="9"/>
  <c r="G131" i="9" s="1"/>
  <c r="G53" i="9"/>
  <c r="G176" i="9"/>
  <c r="G178" i="9" s="1"/>
  <c r="G54" i="9"/>
  <c r="G162" i="9"/>
  <c r="G164" i="9" s="1"/>
  <c r="G101" i="9"/>
  <c r="G103" i="9" s="1"/>
  <c r="G39" i="9"/>
  <c r="AM103" i="9"/>
  <c r="G15" i="20" s="1"/>
  <c r="AM145" i="9"/>
  <c r="O82" i="20"/>
  <c r="H83" i="11" s="1"/>
  <c r="K83" i="11" s="1"/>
  <c r="O49" i="20" l="1"/>
  <c r="O63" i="20" s="1"/>
  <c r="H58" i="11" s="1"/>
  <c r="K58" i="11" s="1"/>
  <c r="O11" i="20"/>
  <c r="O25" i="20" s="1"/>
  <c r="O30" i="20"/>
  <c r="O44" i="20" s="1"/>
  <c r="H32" i="11" s="1"/>
  <c r="AQ5" i="28" s="1"/>
  <c r="AR5" i="28" s="1"/>
  <c r="G72" i="20"/>
  <c r="G82" i="20" s="1"/>
  <c r="H74" i="11" s="1"/>
  <c r="K74" i="11" s="1"/>
  <c r="G49" i="20"/>
  <c r="G63" i="20" s="1"/>
  <c r="H49" i="11" s="1"/>
  <c r="K49" i="11" s="1"/>
  <c r="G11" i="20"/>
  <c r="G25" i="20" s="1"/>
  <c r="H48" i="11" s="1"/>
  <c r="K48" i="11" s="1"/>
  <c r="G24" i="11"/>
  <c r="G30" i="20"/>
  <c r="G44" i="20" s="1"/>
  <c r="H23" i="11" s="1"/>
  <c r="AW5" i="28"/>
  <c r="H31" i="11" l="1"/>
  <c r="H33" i="11" s="1"/>
  <c r="K33" i="11" s="1"/>
  <c r="H57" i="11"/>
  <c r="K57" i="11" s="1"/>
  <c r="H82" i="11"/>
  <c r="K82" i="11" s="1"/>
  <c r="K32" i="11"/>
  <c r="K23" i="11"/>
  <c r="N5" i="28"/>
  <c r="O5" i="28" s="1"/>
  <c r="H73" i="11"/>
  <c r="K73" i="11" s="1"/>
  <c r="H50" i="11"/>
  <c r="I50" i="11" s="1"/>
  <c r="H22" i="11"/>
  <c r="H59" i="11" l="1"/>
  <c r="I59" i="11" s="1"/>
  <c r="H84" i="11"/>
  <c r="I84" i="11" s="1"/>
  <c r="I33" i="11"/>
  <c r="I50" i="27" s="1"/>
  <c r="AJ5" i="28"/>
  <c r="K31" i="11"/>
  <c r="K22" i="11"/>
  <c r="G5" i="28"/>
  <c r="H5" i="28" s="1"/>
  <c r="V5" i="28" s="1"/>
  <c r="H75" i="11"/>
  <c r="I75" i="11" s="1"/>
  <c r="H24" i="11"/>
  <c r="K50" i="11"/>
  <c r="K59" i="11" l="1"/>
  <c r="K84" i="11"/>
  <c r="AK5" i="28"/>
  <c r="AY5" i="28" s="1"/>
  <c r="AX5" i="28"/>
  <c r="U5" i="28"/>
  <c r="K24" i="11"/>
  <c r="K75" i="11"/>
  <c r="I24" i="11"/>
  <c r="I20" i="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Ludmila Peres Gargano</author>
  </authors>
  <commentList>
    <comment ref="D79" authorId="0" shapeId="0" xr:uid="{D4E78677-F06A-4056-977D-7A5B46396085}">
      <text>
        <r>
          <rPr>
            <b/>
            <sz val="9"/>
            <color rgb="FF000000"/>
            <rFont val="Segoe UI"/>
            <family val="2"/>
            <charset val="1"/>
          </rPr>
          <t>Ludmila Peres Gargano:</t>
        </r>
        <r>
          <rPr>
            <sz val="9"/>
            <color rgb="FF000000"/>
            <rFont val="Segoe UI"/>
            <family val="2"/>
            <charset val="1"/>
          </rPr>
          <t xml:space="preserve">
</t>
        </r>
        <r>
          <rPr>
            <sz val="9"/>
            <color rgb="FF000000"/>
            <rFont val="Segoe UI"/>
            <family val="2"/>
            <charset val="1"/>
          </rPr>
          <t>Fill in the epidemiological parameters that make up the funnel, informing the percentages (%) in the cells of this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Ludmila</author>
    <author>Ludmila Peres Gargano</author>
  </authors>
  <commentList>
    <comment ref="G31" authorId="0" shapeId="0" xr:uid="{6620B4E6-6CD7-40C0-BE1E-680C7F9BA564}">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Custos que ocorrem durante o tratamento e são comuns para todas as tecnologias avaliadas (por exemplo, custos de acompanhamento com consultas e exames de rotina)</t>
        </r>
      </text>
    </comment>
    <comment ref="H31" authorId="0" shapeId="0" xr:uid="{D635A530-47AD-4CDD-9F35-08F3DDBA3CCF}">
      <text>
        <r>
          <rPr>
            <b/>
            <sz val="9"/>
            <color indexed="81"/>
            <rFont val="Segoe UI"/>
            <family val="2"/>
          </rPr>
          <t>Ludmila:</t>
        </r>
        <r>
          <rPr>
            <sz val="9"/>
            <color indexed="81"/>
            <rFont val="Segoe UI"/>
            <family val="2"/>
          </rPr>
          <t xml:space="preserve">
Custos que ocorrem durante o tratamento e são comuns para todas as tecnologias avaliadas (por exemplo, custos de acompanhamento com consultas e exames de rotina)</t>
        </r>
      </text>
    </comment>
    <comment ref="I31" authorId="0" shapeId="0" xr:uid="{BA7C326F-8234-45B1-AAFD-E62C434698B3}">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Custos que ocorrem APÖS a descontinuação do tratamento e são comuns para todas as tecnologias avaliadas (por exemplo, custos de pós progressão)</t>
        </r>
      </text>
    </comment>
    <comment ref="G200" authorId="1" shapeId="0" xr:uid="{FB677AFC-A758-F541-99DD-232DC37DEBB4}">
      <text>
        <r>
          <rPr>
            <b/>
            <sz val="10"/>
            <color rgb="FF000000"/>
            <rFont val="Tahoma"/>
            <family val="2"/>
          </rPr>
          <t xml:space="preserve">Ludmila Peres Gargano: </t>
        </r>
        <r>
          <rPr>
            <sz val="10"/>
            <color rgb="FF000000"/>
            <rFont val="Tahoma"/>
            <family val="2"/>
          </rPr>
          <t xml:space="preserve">For general costs, fill in only the first row, since these costs will be applied equally across all technologies.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Ludmila</author>
  </authors>
  <commentList>
    <comment ref="C10" authorId="0" shapeId="0" xr:uid="{44B277B8-560C-470A-A1CA-F8F8358644E9}">
      <text>
        <r>
          <rPr>
            <b/>
            <sz val="9"/>
            <color rgb="FF000000"/>
            <rFont val="Segoe UI"/>
            <family val="2"/>
            <charset val="1"/>
          </rPr>
          <t>Ludmila Peres Gargano:</t>
        </r>
        <r>
          <rPr>
            <sz val="9"/>
            <color rgb="FF000000"/>
            <rFont val="Segoe UI"/>
            <family val="2"/>
            <charset val="1"/>
          </rPr>
          <t xml:space="preserve">
</t>
        </r>
        <r>
          <rPr>
            <b/>
            <sz val="9"/>
            <color rgb="FF000000"/>
            <rFont val="Calibri"/>
            <family val="2"/>
          </rPr>
          <t>Example 1:</t>
        </r>
        <r>
          <rPr>
            <sz val="9"/>
            <color rgb="FF000000"/>
            <rFont val="Calibri"/>
            <family val="2"/>
          </rPr>
          <t xml:space="preserve"> According to the product label, if the treatment should be provided for two years, then enter 12 months for 1st year, 12 months for 2nd year, and 0 months for the remaining years.
</t>
        </r>
        <r>
          <rPr>
            <sz val="9"/>
            <color rgb="FF000000"/>
            <rFont val="Calibri"/>
            <family val="2"/>
          </rPr>
          <t xml:space="preserve">
</t>
        </r>
        <r>
          <rPr>
            <b/>
            <sz val="9"/>
            <color rgb="FF000000"/>
            <rFont val="Calibri"/>
            <family val="2"/>
          </rPr>
          <t>Example 2:</t>
        </r>
        <r>
          <rPr>
            <sz val="9"/>
            <color rgb="FF000000"/>
            <rFont val="Calibri"/>
            <family val="2"/>
          </rPr>
          <t xml:space="preserve"> According to the product label, induction treatment is administered during the first two months, and maintenance treatment is continuous until disease progression. Enter 10 months for 1st year (excluding the 2-month induction phase), and 12 months for the subsequent years.</t>
        </r>
      </text>
    </comment>
    <comment ref="C37" authorId="0" shapeId="0" xr:uid="{3E5809A4-CE7E-450D-861B-64E5FBBDAA21}">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 xml:space="preserve">Idealmente, deve-se utilizar a mediana de uso do tratamento (tempo em meses) ou a taxa anual de descontinuação.
</t>
        </r>
        <r>
          <rPr>
            <sz val="9"/>
            <color rgb="FF000000"/>
            <rFont val="Segoe UI"/>
            <family val="2"/>
            <charset val="1"/>
          </rPr>
          <t>Entretando, para terapias utilizadas até a progressão da doença (por exemplo alguns tratamentos oncológicos), a sobrevida livre de progressão poderá ser utilizada para estimar o percentual de pacientes que permanece em uso do tratamento anualmente.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<sst xmlns="http://schemas.openxmlformats.org/spreadsheetml/2006/main" count="3592" uniqueCount="380">
  <si>
    <t>Sim</t>
  </si>
  <si>
    <t>Não</t>
  </si>
  <si>
    <t>4.Market share</t>
  </si>
  <si>
    <t>População estimada em cada tratamento conforme market</t>
  </si>
  <si>
    <t xml:space="preserve">Exibir </t>
  </si>
  <si>
    <t>Total</t>
  </si>
  <si>
    <t>Final</t>
  </si>
  <si>
    <t>-</t>
  </si>
  <si>
    <t>Descontinuação por mês</t>
  </si>
  <si>
    <t>h</t>
  </si>
  <si>
    <t>Óbito por mês</t>
  </si>
  <si>
    <t>Min</t>
  </si>
  <si>
    <t>Max</t>
  </si>
  <si>
    <t>Beta</t>
  </si>
  <si>
    <t>DSA</t>
  </si>
  <si>
    <t>ci_int1</t>
  </si>
  <si>
    <t>ci_int2</t>
  </si>
  <si>
    <t>ci_int3</t>
  </si>
  <si>
    <t>ci_int4</t>
  </si>
  <si>
    <t>ci_comp1</t>
  </si>
  <si>
    <t>ci_comp2</t>
  </si>
  <si>
    <t>ci_comp3</t>
  </si>
  <si>
    <t>ci_comp4</t>
  </si>
  <si>
    <t>ci_comp5</t>
  </si>
  <si>
    <t>ci_comp6</t>
  </si>
  <si>
    <t>ci_comp7</t>
  </si>
  <si>
    <t>ci_comp8</t>
  </si>
  <si>
    <t>ci_comp9</t>
  </si>
  <si>
    <t>ci_comp10</t>
  </si>
  <si>
    <t>ct_int1</t>
  </si>
  <si>
    <t>ct_int2</t>
  </si>
  <si>
    <t>ct_int3</t>
  </si>
  <si>
    <t>ct_int4</t>
  </si>
  <si>
    <t>ct_comp1</t>
  </si>
  <si>
    <t>ct_comp2</t>
  </si>
  <si>
    <t>ct_comp3</t>
  </si>
  <si>
    <t>ct_comp4</t>
  </si>
  <si>
    <t>ct_comp5</t>
  </si>
  <si>
    <t>ct_comp6</t>
  </si>
  <si>
    <t>ct_comp7</t>
  </si>
  <si>
    <t>ct_comp8</t>
  </si>
  <si>
    <t>ct_comp9</t>
  </si>
  <si>
    <t>ct_comp10</t>
  </si>
  <si>
    <t>ca_int1</t>
  </si>
  <si>
    <t>ca_int2</t>
  </si>
  <si>
    <t>ca_int3</t>
  </si>
  <si>
    <t>ca_int4</t>
  </si>
  <si>
    <t>ca_comp1</t>
  </si>
  <si>
    <t>ca_comp2</t>
  </si>
  <si>
    <t>ca_comp3</t>
  </si>
  <si>
    <t>ca_comp4</t>
  </si>
  <si>
    <t>ca_comp5</t>
  </si>
  <si>
    <t>ca_comp6</t>
  </si>
  <si>
    <t>ca_comp7</t>
  </si>
  <si>
    <t>ca_comp8</t>
  </si>
  <si>
    <t>ca_comp9</t>
  </si>
  <si>
    <t>ca_comp10</t>
  </si>
  <si>
    <t>c_inicial</t>
  </si>
  <si>
    <t>c_on</t>
  </si>
  <si>
    <t>c_off</t>
  </si>
  <si>
    <t>Budget Impact Calculator - Blank Template</t>
  </si>
  <si>
    <t>1. Starting a new budget impact analysis</t>
  </si>
  <si>
    <t>When starting a new analysis, save a copy of this document and then complete the following fields.</t>
  </si>
  <si>
    <t>Fields in blue will be automatically filled in after definition in the next steps.</t>
  </si>
  <si>
    <t>Document Version</t>
  </si>
  <si>
    <t>Date</t>
  </si>
  <si>
    <t>Responsible Team</t>
  </si>
  <si>
    <t>2. Research question</t>
  </si>
  <si>
    <t>2.1. Population</t>
  </si>
  <si>
    <t>2.2. Proposed Technology(ies)</t>
  </si>
  <si>
    <t>2.3. Comparator(s)</t>
  </si>
  <si>
    <t>Describe the technologies currently available for the condition</t>
  </si>
  <si>
    <t>Proposed technologies are the "interventions" being evaluated for listing/reimbursement.</t>
  </si>
  <si>
    <t>Comparators are the medications/technologies currently available (on the list) for the condition under analysis.</t>
  </si>
  <si>
    <t>The reference scenario refers to the current scenario, in which the interventions are not available.</t>
  </si>
  <si>
    <t>Alternative scenarios refer to the scenarios in which the intervention under analysis will be available.</t>
  </si>
  <si>
    <t>Different alternative scenarios can be chosen to vary the expected diffusion rates.</t>
  </si>
  <si>
    <t>This spreadsheet is intended solely for educational and non-commercial purposes. Reproduction, distribution, or use for commercial gain is strictly prohibited without prior written permission.</t>
  </si>
  <si>
    <t>3. Time horizon</t>
  </si>
  <si>
    <t>5 years</t>
  </si>
  <si>
    <t>Time horizon</t>
  </si>
  <si>
    <t>Technology</t>
  </si>
  <si>
    <t>Alternative scenario 1:</t>
  </si>
  <si>
    <t>Reference scenario:</t>
  </si>
  <si>
    <t>Establish the period of the analysis.</t>
  </si>
  <si>
    <t>Write in 20xx format the first year of the budget impact analysis (e.g., 2025).</t>
  </si>
  <si>
    <t>By definition, this tool evaluates a five-year time horizon.</t>
  </si>
  <si>
    <t>What is the first year of the analysis?</t>
  </si>
  <si>
    <t>Establish the diffusion rate of the technology considering the scenarios previously reported (reference scenario and proposed scenarios).</t>
  </si>
  <si>
    <t>Alternative scenario 2:</t>
  </si>
  <si>
    <t>Alternative scenario 3:</t>
  </si>
  <si>
    <t>Intervention</t>
  </si>
  <si>
    <t>Comparators</t>
  </si>
  <si>
    <t>Fill in lines only for the technologies under analysis</t>
  </si>
  <si>
    <t>The sum of the percentages must result in 100%</t>
  </si>
  <si>
    <t>It is assumed that interventions are not available in the reference scenario, and therefore, 0% in all years</t>
  </si>
  <si>
    <t>Value (%)</t>
  </si>
  <si>
    <t>Reference</t>
  </si>
  <si>
    <t>Calculation method</t>
  </si>
  <si>
    <t>Does the eligible population refer to the number of new cases?</t>
  </si>
  <si>
    <t>Select this option if you want to manually enter the total number of eligible patients, and complete section 5.1. below.</t>
  </si>
  <si>
    <t>Description</t>
  </si>
  <si>
    <t>Select whether the population should be estimated based on the annual average or a linear trend.</t>
  </si>
  <si>
    <t>*Adjustment for population growth in the period</t>
  </si>
  <si>
    <t>5. Estimating the Total Number of Eligible Patients</t>
  </si>
  <si>
    <t>Select the method to be used to estimate the number of eligible patients.</t>
  </si>
  <si>
    <t>5.1. Manual Data Entry</t>
  </si>
  <si>
    <t>Use this section if you prefer to manually enter the final estimate of eligible patients, without applying the calculation strategies.</t>
  </si>
  <si>
    <t>5.2. Estimation Using the Observed Demand Method</t>
  </si>
  <si>
    <t>Use this section if you prefer to estimate the eligible population based on projections from historical data.</t>
  </si>
  <si>
    <t>If the estimate depends on more than one procedure, enter the number for each in a separate row.</t>
  </si>
  <si>
    <t>Start year of data</t>
  </si>
  <si>
    <t>End year of data</t>
  </si>
  <si>
    <t>Data interval</t>
  </si>
  <si>
    <t>Sum</t>
  </si>
  <si>
    <t>Projection calculation strategy</t>
  </si>
  <si>
    <t>Selected observed demand</t>
  </si>
  <si>
    <r>
      <t>Population projection for the time horizon of the analysis (</t>
    </r>
    <r>
      <rPr>
        <b/>
        <sz val="11"/>
        <color theme="8"/>
        <rFont val="Calibri (Corpo)"/>
      </rPr>
      <t>linear projection</t>
    </r>
    <r>
      <rPr>
        <b/>
        <sz val="11"/>
        <color rgb="FF0EB1BA"/>
        <rFont val="Calibri"/>
        <family val="2"/>
        <scheme val="minor"/>
      </rPr>
      <t>)</t>
    </r>
  </si>
  <si>
    <r>
      <t>Population projection for the time horizon of the analysis (</t>
    </r>
    <r>
      <rPr>
        <b/>
        <sz val="11"/>
        <color theme="8"/>
        <rFont val="Calibri (Corpo)"/>
      </rPr>
      <t>mean projection</t>
    </r>
    <r>
      <rPr>
        <b/>
        <sz val="11"/>
        <color rgb="FF0EB1BA"/>
        <rFont val="Calibri"/>
        <family val="2"/>
        <scheme val="minor"/>
      </rPr>
      <t>)</t>
    </r>
  </si>
  <si>
    <t>Parameters</t>
  </si>
  <si>
    <t>In use</t>
  </si>
  <si>
    <t>Base line</t>
  </si>
  <si>
    <t>Probabilistic</t>
  </si>
  <si>
    <t>Variation</t>
  </si>
  <si>
    <t>SE</t>
  </si>
  <si>
    <t>Distribuition</t>
  </si>
  <si>
    <t>Alpha</t>
  </si>
  <si>
    <t>Estimate</t>
  </si>
  <si>
    <t>5.3. Estimation Using the Epidemiological Method</t>
  </si>
  <si>
    <t>Use this section if you wish to estimate the eligible population based on the epidemiological parameters from the literature.</t>
  </si>
  <si>
    <t>This section can also be used if you wish to apply epidemiological parameters to the population projected through the “Observed Demand” method.</t>
  </si>
  <si>
    <t>Enter the first year for which data are available.</t>
  </si>
  <si>
    <t>Enter the last year for which data are available.</t>
  </si>
  <si>
    <t>The chart must be adjusted to include only the years for which data are available.</t>
  </si>
  <si>
    <t>Parameter</t>
  </si>
  <si>
    <t>Title of the Analysis</t>
  </si>
  <si>
    <t>Expected annual growth</t>
  </si>
  <si>
    <t>Intervention 1</t>
  </si>
  <si>
    <t>Intervention 2</t>
  </si>
  <si>
    <t>Intervention 3</t>
  </si>
  <si>
    <t>Intervention 4</t>
  </si>
  <si>
    <t>Comparator 1</t>
  </si>
  <si>
    <t>Comparator 2</t>
  </si>
  <si>
    <t>Comparator 3</t>
  </si>
  <si>
    <t>Comparator 4</t>
  </si>
  <si>
    <t>Comparator 5</t>
  </si>
  <si>
    <t>Comparator 6</t>
  </si>
  <si>
    <t>Comparator 7</t>
  </si>
  <si>
    <t>Comparator 8</t>
  </si>
  <si>
    <t>Comparator 9</t>
  </si>
  <si>
    <t>Comparator 10</t>
  </si>
  <si>
    <t>Applied for any technology</t>
  </si>
  <si>
    <t>Select the technology</t>
  </si>
  <si>
    <t>Description of resource</t>
  </si>
  <si>
    <t>% of patients using</t>
  </si>
  <si>
    <t>Quantity</t>
  </si>
  <si>
    <t>Unit cost</t>
  </si>
  <si>
    <t>Final cost</t>
  </si>
  <si>
    <t>6.1. Calculating Treatment Costs</t>
  </si>
  <si>
    <t>The table below presents the annual total cost per intervention, as reported in the sections below.</t>
  </si>
  <si>
    <r>
      <rPr>
        <b/>
        <sz val="11"/>
        <rFont val="Calibri"/>
        <family val="2"/>
      </rPr>
      <t>Do not make changes directly in this table</t>
    </r>
    <r>
      <rPr>
        <sz val="11"/>
        <rFont val="Calibri"/>
        <family val="2"/>
      </rPr>
      <t>; use the sections below to enter each type of cost.</t>
    </r>
  </si>
  <si>
    <t>6.1.1 Initial Treatment Costs – One-Time Cost at the Start of the Analysis (PER TECHNOLOGY)</t>
  </si>
  <si>
    <t>In this section, report the treatment costs that are incurred only ONCE, at the time the patient enters the analysis.</t>
  </si>
  <si>
    <t>Examples of one-time costs: induction therapy.</t>
  </si>
  <si>
    <t>Model Calculations</t>
  </si>
  <si>
    <t>Cohort 1</t>
  </si>
  <si>
    <t>Cohort 2</t>
  </si>
  <si>
    <t>Cohort 3</t>
  </si>
  <si>
    <t>Cohort 4</t>
  </si>
  <si>
    <t>Cohort 5</t>
  </si>
  <si>
    <t>Cohort 1 on treat.</t>
  </si>
  <si>
    <t>Cohort 2 on treat.</t>
  </si>
  <si>
    <t>Cohort 3 on treat.</t>
  </si>
  <si>
    <t>Cohort 4 on treat.</t>
  </si>
  <si>
    <t>Cohort 5 on treat.</t>
  </si>
  <si>
    <t>Cohort 1 off treat.</t>
  </si>
  <si>
    <t>Cohort 2 off treat.</t>
  </si>
  <si>
    <t>Cohort 3 off treat.</t>
  </si>
  <si>
    <t>Cohort 4 off treat.</t>
  </si>
  <si>
    <t>Cohort 5 off treat.</t>
  </si>
  <si>
    <t>Population estimate adjusted by market share</t>
  </si>
  <si>
    <t>Calculations considering all associated costs</t>
  </si>
  <si>
    <t>Calculations considering only acquisition costs</t>
  </si>
  <si>
    <t>8. Results</t>
  </si>
  <si>
    <t>In observed demand, the number of eligible patients is estimated based on data obtained from previous years on the service. Complete section 5.2 below.</t>
  </si>
  <si>
    <t>In epidemiological methods, population data are used to estimate the total number of eligible patients (e.g. prevalence). Complete section 5.3 below.</t>
  </si>
  <si>
    <t>to</t>
  </si>
  <si>
    <t>Incremental budget impact</t>
  </si>
  <si>
    <t>Adoption rate ranging from</t>
  </si>
  <si>
    <t>8.1. Final population used in the calculations</t>
  </si>
  <si>
    <t>Annual mean</t>
  </si>
  <si>
    <t>Full-cost results</t>
  </si>
  <si>
    <t>Technology cost–only results</t>
  </si>
  <si>
    <t>1st year</t>
  </si>
  <si>
    <t>2nd year</t>
  </si>
  <si>
    <t>3rd year</t>
  </si>
  <si>
    <t>5th year</t>
  </si>
  <si>
    <t>4th year</t>
  </si>
  <si>
    <t>7.1 Reporting Treatment Duration According to the Product Label</t>
  </si>
  <si>
    <t>Use this section to specify the number of months per year that each technology is expected to be used, based on the approved product label.</t>
  </si>
  <si>
    <t>This duration refers solely to the recommended usage and does not account for discontinuation due to disease progression or other reasons (which will be reported in the following sections).</t>
  </si>
  <si>
    <t>If the treatment includes both an induction and a maintenance phase, report only the number of months recommended for the maintenance phase.</t>
  </si>
  <si>
    <t xml:space="preserve">For how many months will each intervention be used per patient?
</t>
  </si>
  <si>
    <t>For how many months will each comparator be used per patient?</t>
  </si>
  <si>
    <t>months</t>
  </si>
  <si>
    <t>Entry</t>
  </si>
  <si>
    <t>On treatment</t>
  </si>
  <si>
    <t>Deaths</t>
  </si>
  <si>
    <t>Discontinued</t>
  </si>
  <si>
    <t>Code</t>
  </si>
  <si>
    <t>HTA Submission Number</t>
  </si>
  <si>
    <t>Describe the target population, interventions, and comparators (alternative treatments or technologies).</t>
  </si>
  <si>
    <t>Describe the population under evaluation (clinical condition)</t>
  </si>
  <si>
    <t>Describe the technology(ies) under assessment for listing/reimbursment</t>
  </si>
  <si>
    <t>Number of technologies under assessment</t>
  </si>
  <si>
    <t>Name of the technology</t>
  </si>
  <si>
    <t>Name of the comparator</t>
  </si>
  <si>
    <t>Number of comparators</t>
  </si>
  <si>
    <t>2.4. Assessed Scenarios</t>
  </si>
  <si>
    <t>Provide names to identify the scenarios under evaluation</t>
  </si>
  <si>
    <t>Name of reference scenario</t>
  </si>
  <si>
    <t>Name of alternative scenario 1</t>
  </si>
  <si>
    <t>Name of alternative scenario 2</t>
  </si>
  <si>
    <t>Name of alternative scenario 3</t>
  </si>
  <si>
    <t>This spreadsheet is intended solely for educational and non-commercial purposes. Reproduction, distribution, or use for commercial gain without prior written permission is strictly prohibited.</t>
  </si>
  <si>
    <t>Tip: If the R² value of the linear projection is less than 0.5, you should consider to use the mean.</t>
  </si>
  <si>
    <t>Technology-Specific Costs</t>
  </si>
  <si>
    <t>Initial treatment cost (one-time)</t>
  </si>
  <si>
    <t>Ongoing monthly treatment cost</t>
  </si>
  <si>
    <t>Additional ongoing monthly costs</t>
  </si>
  <si>
    <t>Initial general costs</t>
  </si>
  <si>
    <t>General Costs (common to all patients)</t>
  </si>
  <si>
    <t>Monthly costs during treatment</t>
  </si>
  <si>
    <t>Monthly costs after treatment</t>
  </si>
  <si>
    <r>
      <t xml:space="preserve">Ongoing </t>
    </r>
    <r>
      <rPr>
        <b/>
        <u/>
        <sz val="11"/>
        <color theme="0"/>
        <rFont val="Calibri"/>
        <family val="2"/>
      </rPr>
      <t>annual</t>
    </r>
    <r>
      <rPr>
        <b/>
        <sz val="11"/>
        <color theme="0"/>
        <rFont val="Calibri"/>
        <family val="2"/>
      </rPr>
      <t xml:space="preserve"> treatment cost</t>
    </r>
  </si>
  <si>
    <r>
      <t xml:space="preserve">Additional ongoing </t>
    </r>
    <r>
      <rPr>
        <b/>
        <u/>
        <sz val="11"/>
        <color theme="0"/>
        <rFont val="Calibri"/>
        <family val="2"/>
      </rPr>
      <t>annual</t>
    </r>
    <r>
      <rPr>
        <b/>
        <sz val="11"/>
        <color theme="0"/>
        <rFont val="Calibri"/>
        <family val="2"/>
      </rPr>
      <t xml:space="preserve"> costs</t>
    </r>
  </si>
  <si>
    <r>
      <rPr>
        <b/>
        <u/>
        <sz val="11"/>
        <color theme="0"/>
        <rFont val="Calibri"/>
        <family val="2"/>
      </rPr>
      <t>Annual</t>
    </r>
    <r>
      <rPr>
        <b/>
        <sz val="11"/>
        <color theme="0"/>
        <rFont val="Calibri"/>
        <family val="2"/>
      </rPr>
      <t xml:space="preserve"> costs during treatment</t>
    </r>
  </si>
  <si>
    <r>
      <rPr>
        <b/>
        <u/>
        <sz val="11"/>
        <color theme="0"/>
        <rFont val="Calibri"/>
        <family val="2"/>
      </rPr>
      <t>Annual</t>
    </r>
    <r>
      <rPr>
        <b/>
        <sz val="11"/>
        <color theme="0"/>
        <rFont val="Calibri"/>
        <family val="2"/>
      </rPr>
      <t xml:space="preserve"> costs after treatment</t>
    </r>
  </si>
  <si>
    <t>6.1.2 Ongoing Monthly Treatment Costs – Recurrent or Continuous (PER TECHNOLOGY)</t>
  </si>
  <si>
    <t>In this section, enter the costs related to each intervention/comparator that occur more than once during the year.</t>
  </si>
  <si>
    <t>Examples of recurring costs: maintenance therapy, continuous treatment, periodic monitoring tests (e.g., every x months).</t>
  </si>
  <si>
    <t>6.1.3 Associated Monthly Costs (Treatment-Related) – Recurrent or Continuous (PER TECHNOLOGY)</t>
  </si>
  <si>
    <t>In this section, enter any additional costs related to each intervention/comparator that occur throughout the treatment period, such as exam or monitoring costs.</t>
  </si>
  <si>
    <t>These costs will be considered in the analysis for the entire duration in which the patient is receiving the technology.</t>
  </si>
  <si>
    <t>Examples of recurring associated costs: specific monitoring of adverse events related to the treatment.</t>
  </si>
  <si>
    <t>6.1.4 Initial General Costs (Common to All Technologies)</t>
  </si>
  <si>
    <t>In this section, enter any initial costs that apply to all patients at the start of the analysis (e.g., diagnostic or molecular testing).</t>
  </si>
  <si>
    <t>6.1.5 Monthly Costs DURING Treatment (Common to All Technologies)</t>
  </si>
  <si>
    <t xml:space="preserve">In this section, enter any additional costs that apply while the patient is receiving treatment (e.g., routine follow-up or monitoring visits).
</t>
  </si>
  <si>
    <t>6.1.6 Monthly Costs AFTER Treatment (Common to All Technologies)</t>
  </si>
  <si>
    <t>In this section, enter any additional costs that apply after the patient discontinues treatment (e.g., costs related to disease progression).</t>
  </si>
  <si>
    <t>6.2. Cost Support Table</t>
  </si>
  <si>
    <t>Use this section only if it is not possible to estimate the costs of each intervention using the structured steps above.</t>
  </si>
  <si>
    <t>These values should be used only as a last resort, when calculating costs through the standard tables is not feasible.</t>
  </si>
  <si>
    <t>Using the 'Cost Support Table'?</t>
  </si>
  <si>
    <t xml:space="preserve">Please keep "No" selected if costs are being calculated using the Section 6.1 tables.
</t>
  </si>
  <si>
    <t>No</t>
  </si>
  <si>
    <t>If the cost applies only during the first year or only in certain years of the analysis, you should still enter the monthly frequency here. The number of months per year or the number of years in which the cost applies should be defined later in the "Time on treatment" tab.</t>
  </si>
  <si>
    <t>7.2. Estimating Patient Discontinuation and Number of Patients on Treatment</t>
  </si>
  <si>
    <t>Use this section if it is important to indicate the percentage of patients who remain on treatment or discontinue treatment over the course of the year.</t>
  </si>
  <si>
    <t>Treatment discontinuation can be estimated using different parameters: median treatment duration, discontinuation rate, or disease progression.</t>
  </si>
  <si>
    <t>Do you wish to consider treatment discontinuation?</t>
  </si>
  <si>
    <t>Select the method to estimate treatment discontinuation:</t>
  </si>
  <si>
    <t>Enter data period:</t>
  </si>
  <si>
    <t>This option does not apply if the "median usage time" is entered.</t>
  </si>
  <si>
    <t>If "Other data frequency" is selected  complete the following tab -&gt;</t>
  </si>
  <si>
    <t>If you wish to report the monthly or semi-annual discontinuation rate, please use the table below.</t>
  </si>
  <si>
    <t>If you wish to report progression-free survival monthly or semi-annually, use the table below.</t>
  </si>
  <si>
    <t>If you wish to report the monthly death rate by month or half-year, use the table below.</t>
  </si>
  <si>
    <t>If you wish to report overall survival monthly or semi-annually, use the table below.</t>
  </si>
  <si>
    <t>MONTHLY death rate (%)</t>
  </si>
  <si>
    <t>Overall MONTHLY survival (%)</t>
  </si>
  <si>
    <t>In this spreadsheet, median survival is extrapolated monthly using an exponential distribution. Do not make any changes here.</t>
  </si>
  <si>
    <t>In this spreadsheet, the median treatment time is extrapolated monthly using an exponential distribution. Do not make any changes here.</t>
  </si>
  <si>
    <t>MONTHLY progression-free survival (%)</t>
  </si>
  <si>
    <t>MONTHLY discontinuation rate (%)</t>
  </si>
  <si>
    <t>Do not fill in this table</t>
  </si>
  <si>
    <t>7.2.1. Table of median time of use of treatments</t>
  </si>
  <si>
    <t>Time (in months)</t>
  </si>
  <si>
    <t>Comparators (inform in %)</t>
  </si>
  <si>
    <t>Interventions (inform in %)</t>
  </si>
  <si>
    <t>Data applied to the analysis - percentage of patients who discontinue the technology each year</t>
  </si>
  <si>
    <t>Extrapolation - percentage of patients who discontinue based on the median time of use</t>
  </si>
  <si>
    <t>Calculation table - percentage of patients who discontinue based on progression-free survival</t>
  </si>
  <si>
    <t>Calculation table - percentage of patients who discontinue based on the discontinuation rate</t>
  </si>
  <si>
    <t>12 months</t>
  </si>
  <si>
    <t>24 months</t>
  </si>
  <si>
    <t>36 months</t>
  </si>
  <si>
    <t>48 months</t>
  </si>
  <si>
    <t>7.3. Patient Exit from the Analysis Due to Death</t>
  </si>
  <si>
    <t>Use this section if it is important to account for patient attrition in the budget impact analysis based on the occurrence of deaths.</t>
  </si>
  <si>
    <t>Do you wish to consider patient exit from the analysis due to death?</t>
  </si>
  <si>
    <t>Select “No” if 100% of patients are expected to remain on treatment for the entire period specified in the previous section.</t>
  </si>
  <si>
    <t>Data source for patient exit information</t>
  </si>
  <si>
    <t>Specify data period</t>
  </si>
  <si>
    <t>If “Other data periodicity” is selected, complete the following tab →</t>
  </si>
  <si>
    <t>This option does not apply if “Median survival” is provided.</t>
  </si>
  <si>
    <t>7.3.1. Table of median survival</t>
  </si>
  <si>
    <t>7.3.2. Table of mortality rate and overall survival</t>
  </si>
  <si>
    <t>Yes</t>
  </si>
  <si>
    <t>Data applied to the analysis – percentage of patients exiting the model due to death</t>
  </si>
  <si>
    <t>Extrapolation – percentage of patients dying based on median survival</t>
  </si>
  <si>
    <t>Calculation table – percentage of patients dying based on overall survival</t>
  </si>
  <si>
    <t>Calculation table – percentage of patients discontinuing based on mortality rate</t>
  </si>
  <si>
    <t>Year 1</t>
  </si>
  <si>
    <t>Year 2</t>
  </si>
  <si>
    <t>Year 3</t>
  </si>
  <si>
    <t>Year 4</t>
  </si>
  <si>
    <t>Year 5</t>
  </si>
  <si>
    <t>Lower limit of the graph</t>
  </si>
  <si>
    <t>Upper limit of the graph</t>
  </si>
  <si>
    <t>Central value of the graph</t>
  </si>
  <si>
    <t>9. Deterministic sensitivity analysis (DSA)</t>
  </si>
  <si>
    <t>Cumulative</t>
  </si>
  <si>
    <t>Select “No” if all patients are expected to remain on treatment for the entire period specified in the previous section, or until death (next section).</t>
  </si>
  <si>
    <t>Annual data</t>
  </si>
  <si>
    <t>Mean projection</t>
  </si>
  <si>
    <t>Discontinuation data includes deaths?</t>
  </si>
  <si>
    <t>Does the reported prevalence refer to a specific line of treatment?</t>
  </si>
  <si>
    <t>If Yes, patients who progress in one year will be removed from the eligible prevalent population in the next year.</t>
  </si>
  <si>
    <t>Range</t>
  </si>
  <si>
    <t>Lower limit</t>
  </si>
  <si>
    <t>Upper limit</t>
  </si>
  <si>
    <t>p</t>
  </si>
  <si>
    <t>Reference scenario</t>
  </si>
  <si>
    <t>Alternative scenario 1</t>
  </si>
  <si>
    <t>Mean</t>
  </si>
  <si>
    <t>Scenario diference</t>
  </si>
  <si>
    <t>95% CI (lower)</t>
  </si>
  <si>
    <t>95% CI (upper)</t>
  </si>
  <si>
    <t>Parameters - Scenario 1 (technology cost–only)</t>
  </si>
  <si>
    <t>Parameters - Scenario 1 (full-cost)</t>
  </si>
  <si>
    <t>Gamma</t>
  </si>
  <si>
    <t>Is it necessary to use dynamic cohorts to project the population?</t>
  </si>
  <si>
    <t>If Yes, patients whil trasition between cohorts based on the data to be provided in the "time to treatment" tab.</t>
  </si>
  <si>
    <t>Cohort on treat.</t>
  </si>
  <si>
    <t>Cohort  on treat.</t>
  </si>
  <si>
    <t>Yes, it represents incidence</t>
  </si>
  <si>
    <t xml:space="preserve">Enter market share assumptions according to the best available evidence and the applicable BIA guidelines. </t>
  </si>
  <si>
    <t>Linear, non-linear, S-shaped, or other uptake patterns may be used, provided they are appropriately justified.</t>
  </si>
  <si>
    <t>point estimate</t>
  </si>
  <si>
    <t>yes</t>
  </si>
  <si>
    <t xml:space="preserve">Initial costs </t>
  </si>
  <si>
    <t xml:space="preserve">Treatment costs </t>
  </si>
  <si>
    <t xml:space="preserve">Additional costs </t>
  </si>
  <si>
    <t>Advanced cancer</t>
  </si>
  <si>
    <t>Drug 1</t>
  </si>
  <si>
    <t>Drug 2</t>
  </si>
  <si>
    <t>BSC</t>
  </si>
  <si>
    <t>BSC only</t>
  </si>
  <si>
    <t>Drug 1 only</t>
  </si>
  <si>
    <t>Drug 2 only</t>
  </si>
  <si>
    <t>Both drugs</t>
  </si>
  <si>
    <t>Epidemiological method</t>
  </si>
  <si>
    <t>Chemotherapy</t>
  </si>
  <si>
    <t>Entire population</t>
  </si>
  <si>
    <t>Incidence of cancer</t>
  </si>
  <si>
    <t>Advanced disease</t>
  </si>
  <si>
    <t>X mutation</t>
  </si>
  <si>
    <t>Adult population projection</t>
  </si>
  <si>
    <t>3.1 new cases per 100,000 adults</t>
  </si>
  <si>
    <t>Literature</t>
  </si>
  <si>
    <t>Drug 2 has 2 months of induction therapy.</t>
  </si>
  <si>
    <t>Label</t>
  </si>
  <si>
    <t>Adverse events follow-up</t>
  </si>
  <si>
    <t>Clinical appointment, physiotherapy, exams</t>
  </si>
  <si>
    <t>Molecular testing for mutation</t>
  </si>
  <si>
    <t>PET-CT scan</t>
  </si>
  <si>
    <t>Second line treatment</t>
  </si>
  <si>
    <t>Discontinuation rate</t>
  </si>
  <si>
    <t>Overall survival</t>
  </si>
  <si>
    <t>Initial costs Drug 1</t>
  </si>
  <si>
    <t>Initial costs Drug 2</t>
  </si>
  <si>
    <t>Initial costs BSC</t>
  </si>
  <si>
    <t>Treatment costs Drug 1</t>
  </si>
  <si>
    <t>Treatment costs Drug 2</t>
  </si>
  <si>
    <t>Treatment costs BSC</t>
  </si>
  <si>
    <t>Additional costs Drug 1</t>
  </si>
  <si>
    <t>Additional costs Drug 2</t>
  </si>
  <si>
    <t>Additional costs BSC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</si>
</sst>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R$&quot;\ #,##0;\-&quot;R$&quot;\ #,##0"/>
    <numFmt numFmtId="43" formatCode="_-* #,##0.00_-;\-* #,##0.00_-;_-* &quot;-&quot;??_-;_-@_-"/>
    <numFmt numFmtId="164" formatCode="&quot;R$&quot;\ #,##0.00"/>
    <numFmt numFmtId="165" formatCode="0.000000"/>
    <numFmt numFmtId="166" formatCode="0.0000"/>
    <numFmt numFmtId="167" formatCode="&quot;R$&quot;#,##0.00"/>
    <numFmt numFmtId="168" formatCode="&quot;R$&quot;\ #,##0"/>
    <numFmt numFmtId="169" formatCode="0.000%"/>
    <numFmt numFmtId="170" formatCode="#,##0.000"/>
    <numFmt numFmtId="171" formatCode="_-[$$-409]* #,##0.00_ ;_-[$$-409]* \-#,##0.00\ ;_-[$$-409]* &quot;-&quot;??_ ;_-@_ "/>
    <numFmt numFmtId="172" formatCode="_-[$$-409]* #,##0_ ;_-[$$-409]* \-#,##0\ ;_-[$$-409]* &quot;-&quot;??_ ;_-@_ "/>
    <numFmt numFmtId="173" formatCode="_(* #,##0.00_);_(* \(#,##0.00\);_(* &quot;-&quot;??_);_(@_)"/>
    <numFmt numFmtId="174" formatCode="0.0000000"/>
    <numFmt numFmtId="175" formatCode="[$$-409]#,##0.00"/>
  </numFmts>
  <fonts count="93">
    <font>
      <sz val="11"/>
      <color theme="1"/>
      <name val="Calibri"/>
      <family val="2"/>
      <scheme val="minor"/>
    </font>
    <font>
      <sz val="11"/>
      <color theme="1"/>
      <name val="Calibri"/>
      <family val="2"/>
    </font>
    <font>
      <sz val="8"/>
      <name val="Calibri"/>
      <family val="2"/>
      <scheme val="minor"/>
    </font>
    <font>
      <sz val="11"/>
      <color rgb="FF000000"/>
      <name val="Calibri"/>
      <family val="2"/>
    </font>
    <font>
      <sz val="11"/>
      <color theme="1"/>
      <name val="Calibri"/>
      <family val="2"/>
      <scheme val="minor"/>
    </font>
    <font>
      <b/>
      <sz val="11"/>
      <color rgb="FFFA7D00"/>
      <name val="Calibri"/>
      <family val="2"/>
      <scheme val="minor"/>
    </font>
    <font>
      <sz val="11"/>
      <color theme="1"/>
      <name val="Calibri"/>
      <family val="2"/>
    </font>
    <font>
      <b/>
      <sz val="11"/>
      <color theme="1"/>
      <name val="Calibri"/>
      <family val="2"/>
    </font>
    <font>
      <sz val="10"/>
      <color theme="1"/>
      <name val="Calibri"/>
      <family val="2"/>
    </font>
    <font>
      <sz val="11"/>
      <color rgb="FFFF0000"/>
      <name val="Calibri"/>
      <family val="2"/>
    </font>
    <font>
      <sz val="10"/>
      <name val="Calibri"/>
      <family val="2"/>
    </font>
    <font>
      <sz val="9"/>
      <color theme="1"/>
      <name val="Calibri"/>
      <family val="2"/>
    </font>
    <font>
      <b/>
      <sz val="12"/>
      <color theme="1"/>
      <name val="Calibri"/>
      <family val="2"/>
    </font>
    <font>
      <b/>
      <sz val="11"/>
      <color theme="4" tint="-0.499984740745262"/>
      <name val="Calibri"/>
      <family val="2"/>
    </font>
    <font>
      <b/>
      <sz val="11"/>
      <color theme="0"/>
      <name val="Calibri"/>
      <family val="2"/>
    </font>
    <font>
      <sz val="11"/>
      <name val="Calibri"/>
      <family val="2"/>
    </font>
    <font>
      <sz val="11"/>
      <color theme="0"/>
      <name val="Calibri"/>
      <family val="2"/>
    </font>
    <font>
      <sz val="11"/>
      <color rgb="FF3F3F76"/>
      <name val="Calibri"/>
      <family val="2"/>
      <scheme val="minor"/>
    </font>
    <font>
      <sz val="11"/>
      <color rgb="FF0EB1BA"/>
      <name val="Calibri"/>
      <family val="2"/>
    </font>
    <font>
      <b/>
      <sz val="14"/>
      <color rgb="FF726C5A"/>
      <name val="Calibri"/>
      <family val="2"/>
    </font>
    <font>
      <b/>
      <i/>
      <sz val="14"/>
      <color rgb="FF726C5A"/>
      <name val="Calibri"/>
      <family val="2"/>
    </font>
    <font>
      <b/>
      <sz val="26"/>
      <color rgb="FF0EB1BA"/>
      <name val="Calibri"/>
      <family val="2"/>
    </font>
    <font>
      <i/>
      <sz val="12"/>
      <color rgb="FF726C5A"/>
      <name val="Calibri"/>
      <family val="2"/>
    </font>
    <font>
      <b/>
      <sz val="11"/>
      <color rgb="FF0EB1BA"/>
      <name val="Calibri"/>
      <family val="2"/>
      <scheme val="minor"/>
    </font>
    <font>
      <sz val="11"/>
      <color rgb="FF000000"/>
      <name val="Calibri"/>
      <family val="2"/>
      <scheme val="minor"/>
    </font>
    <font>
      <sz val="11"/>
      <color rgb="FF726C5A"/>
      <name val="Calibri"/>
      <family val="2"/>
    </font>
    <font>
      <sz val="11"/>
      <name val="Calibri"/>
      <family val="2"/>
      <scheme val="minor"/>
    </font>
    <font>
      <i/>
      <sz val="9"/>
      <color theme="8"/>
      <name val="Calibri"/>
      <family val="2"/>
      <scheme val="minor"/>
    </font>
    <font>
      <sz val="1"/>
      <color rgb="FF0EB1BA"/>
      <name val="Calibri"/>
      <family val="2"/>
    </font>
    <font>
      <b/>
      <sz val="11"/>
      <color rgb="FF726C5A"/>
      <name val="Calibri"/>
      <family val="2"/>
      <scheme val="minor"/>
    </font>
    <font>
      <i/>
      <sz val="10"/>
      <color rgb="FF726C5A"/>
      <name val="Calibri"/>
      <family val="2"/>
    </font>
    <font>
      <b/>
      <i/>
      <sz val="12"/>
      <color rgb="FF726C5A"/>
      <name val="Calibri"/>
      <family val="2"/>
    </font>
    <font>
      <b/>
      <i/>
      <sz val="14"/>
      <color theme="4"/>
      <name val="Calibri"/>
      <family val="2"/>
    </font>
    <font>
      <b/>
      <i/>
      <sz val="12"/>
      <color theme="4"/>
      <name val="Calibri"/>
      <family val="2"/>
    </font>
    <font>
      <sz val="14"/>
      <color theme="1"/>
      <name val="Calibri"/>
      <family val="2"/>
    </font>
    <font>
      <sz val="12"/>
      <color theme="1"/>
      <name val="Calibri"/>
      <family val="2"/>
    </font>
    <font>
      <b/>
      <sz val="11"/>
      <name val="Calibri"/>
      <family val="2"/>
      <scheme val="minor"/>
    </font>
    <font>
      <sz val="1"/>
      <name val="Calibri"/>
      <family val="2"/>
    </font>
    <font>
      <b/>
      <sz val="12"/>
      <color rgb="FF0EB1BA"/>
      <name val="Calibri"/>
      <family val="2"/>
      <scheme val="minor"/>
    </font>
    <font>
      <b/>
      <sz val="11"/>
      <color rgb="FF726C5A"/>
      <name val="Calibri"/>
      <family val="2"/>
    </font>
    <font>
      <i/>
      <sz val="14"/>
      <color rgb="FF726C5A"/>
      <name val="Calibri"/>
      <family val="2"/>
    </font>
    <font>
      <sz val="11"/>
      <color rgb="FFFF0000"/>
      <name val="Calibri"/>
      <family val="2"/>
      <scheme val="minor"/>
    </font>
    <font>
      <sz val="1"/>
      <color rgb="FFFF0000"/>
      <name val="Calibri"/>
      <family val="2"/>
    </font>
    <font>
      <i/>
      <sz val="10"/>
      <color theme="8"/>
      <name val="Calibri"/>
      <family val="2"/>
    </font>
    <font>
      <b/>
      <i/>
      <sz val="16"/>
      <color theme="4"/>
      <name val="Calibri"/>
      <family val="2"/>
    </font>
    <font>
      <b/>
      <i/>
      <sz val="11"/>
      <color rgb="FF726C5A"/>
      <name val="Calibri"/>
      <family val="2"/>
    </font>
    <font>
      <i/>
      <sz val="11"/>
      <color theme="1"/>
      <name val="Calibri"/>
      <family val="2"/>
    </font>
    <font>
      <sz val="9"/>
      <color indexed="81"/>
      <name val="Segoe UI"/>
      <family val="2"/>
    </font>
    <font>
      <b/>
      <sz val="9"/>
      <color indexed="81"/>
      <name val="Segoe UI"/>
      <family val="2"/>
    </font>
    <font>
      <b/>
      <sz val="12"/>
      <color theme="1"/>
      <name val="Calibri"/>
      <family val="2"/>
      <scheme val="minor"/>
    </font>
    <font>
      <i/>
      <sz val="10"/>
      <color rgb="FFFF0000"/>
      <name val="Calibri"/>
      <family val="2"/>
    </font>
    <font>
      <b/>
      <i/>
      <sz val="14"/>
      <color theme="0"/>
      <name val="Calibri"/>
      <family val="2"/>
    </font>
    <font>
      <sz val="11"/>
      <color theme="2" tint="-0.249977111117893"/>
      <name val="Calibri"/>
      <family val="2"/>
    </font>
    <font>
      <sz val="12"/>
      <color rgb="FF000000"/>
      <name val="Calibri"/>
      <family val="2"/>
    </font>
    <font>
      <sz val="12"/>
      <name val="Calibri"/>
      <family val="2"/>
    </font>
    <font>
      <sz val="8"/>
      <color theme="1" tint="0.499984740745262"/>
      <name val="Calibri"/>
      <family val="2"/>
    </font>
    <font>
      <i/>
      <sz val="9"/>
      <color theme="1"/>
      <name val="Calibri"/>
      <family val="2"/>
    </font>
    <font>
      <i/>
      <sz val="9"/>
      <color rgb="FF0EB1BA"/>
      <name val="Calibri"/>
      <family val="2"/>
    </font>
    <font>
      <i/>
      <sz val="9"/>
      <color rgb="FF726C5A"/>
      <name val="Calibri"/>
      <family val="2"/>
    </font>
    <font>
      <b/>
      <i/>
      <sz val="14"/>
      <color rgb="FFFF0000"/>
      <name val="Calibri"/>
      <family val="2"/>
    </font>
    <font>
      <b/>
      <sz val="14"/>
      <color theme="3" tint="-0.249977111117893"/>
      <name val="Calibri"/>
      <family val="2"/>
      <scheme val="minor"/>
    </font>
    <font>
      <b/>
      <sz val="14"/>
      <color rgb="FF686A10"/>
      <name val="Calibri"/>
      <family val="2"/>
      <scheme val="minor"/>
    </font>
    <font>
      <b/>
      <i/>
      <sz val="11"/>
      <color theme="8"/>
      <name val="Calibri"/>
      <family val="2"/>
    </font>
    <font>
      <b/>
      <i/>
      <sz val="11"/>
      <color theme="4"/>
      <name val="Calibri"/>
      <family val="2"/>
    </font>
    <font>
      <sz val="10"/>
      <color theme="9"/>
      <name val="Calibri"/>
      <family val="2"/>
    </font>
    <font>
      <b/>
      <i/>
      <sz val="11"/>
      <color theme="1"/>
      <name val="Calibri"/>
      <family val="2"/>
    </font>
    <font>
      <b/>
      <sz val="10"/>
      <color theme="8"/>
      <name val="Calibri"/>
      <family val="2"/>
    </font>
    <font>
      <b/>
      <i/>
      <sz val="10"/>
      <color rgb="FF726C5A"/>
      <name val="Calibri"/>
      <family val="2"/>
    </font>
    <font>
      <b/>
      <sz val="9"/>
      <color rgb="FF000000"/>
      <name val="Segoe UI"/>
      <family val="2"/>
      <charset val="1"/>
    </font>
    <font>
      <sz val="9"/>
      <color rgb="FF000000"/>
      <name val="Segoe UI"/>
      <family val="2"/>
      <charset val="1"/>
    </font>
    <font>
      <b/>
      <sz val="11"/>
      <color theme="4"/>
      <name val="Calibri"/>
      <family val="2"/>
    </font>
    <font>
      <b/>
      <sz val="11"/>
      <color theme="8"/>
      <name val="Calibri (Corpo)"/>
    </font>
    <font>
      <i/>
      <sz val="11"/>
      <color theme="1"/>
      <name val="Calibri"/>
      <family val="2"/>
      <scheme val="minor"/>
    </font>
    <font>
      <b/>
      <sz val="11"/>
      <name val="Calibri"/>
      <family val="2"/>
    </font>
    <font>
      <sz val="11"/>
      <color theme="8"/>
      <name val="Calibri (Corpo)"/>
    </font>
    <font>
      <b/>
      <sz val="13.5"/>
      <color theme="1"/>
      <name val="Calibri"/>
      <family val="2"/>
      <scheme val="minor"/>
    </font>
    <font>
      <b/>
      <sz val="11"/>
      <color theme="1"/>
      <name val="Calibri"/>
      <family val="2"/>
      <scheme val="minor"/>
    </font>
    <font>
      <sz val="10"/>
      <color rgb="FF000000"/>
      <name val="Tahoma"/>
      <family val="2"/>
    </font>
    <font>
      <b/>
      <u/>
      <sz val="11"/>
      <color theme="0"/>
      <name val="Calibri"/>
      <family val="2"/>
    </font>
    <font>
      <b/>
      <sz val="10"/>
      <color rgb="FF000000"/>
      <name val="Tahoma"/>
      <family val="2"/>
    </font>
    <font>
      <b/>
      <sz val="9"/>
      <color rgb="FF000000"/>
      <name val="Calibri"/>
      <family val="2"/>
    </font>
    <font>
      <sz val="9"/>
      <color rgb="FF000000"/>
      <name val="Calibri"/>
      <family val="2"/>
    </font>
    <font>
      <b/>
      <i/>
      <sz val="10"/>
      <color theme="8"/>
      <name val="Calibri"/>
      <family val="2"/>
    </font>
    <font>
      <sz val="11"/>
      <color theme="7"/>
      <name val="Calibri"/>
      <family val="2"/>
    </font>
    <font>
      <b/>
      <sz val="10"/>
      <color rgb="FFC00000"/>
      <name val="Calibri"/>
      <family val="2"/>
    </font>
    <font>
      <b/>
      <sz val="11"/>
      <color theme="5"/>
      <name val="Calibri"/>
      <family val="2"/>
      <scheme val="minor"/>
    </font>
    <font>
      <sz val="12"/>
      <color theme="1"/>
      <name val="Calibri"/>
      <family val="2"/>
      <scheme val="minor"/>
    </font>
    <font>
      <i/>
      <sz val="9"/>
      <color rgb="FFF8F1DF"/>
      <name val="Calibri"/>
      <family val="2"/>
    </font>
    <font>
      <b/>
      <i/>
      <sz val="14"/>
      <color rgb="FFF8F1DF"/>
      <name val="Calibri"/>
      <family val="2"/>
      <scheme val="minor"/>
    </font>
    <font>
      <sz val="11"/>
      <color rgb="FFF8F1DF"/>
      <name val="Calibri"/>
      <family val="2"/>
      <scheme val="minor"/>
    </font>
    <font>
      <sz val="11"/>
      <color rgb="FFF8F1DF"/>
      <name val="Calibri"/>
      <family val="2"/>
    </font>
    <font>
      <b/>
      <sz val="12"/>
      <color rgb="FF726C5A"/>
      <name val="Calibri"/>
      <family val="2"/>
    </font>
    <font>
      <sz val="10"/>
      <color rgb="FFFF0000"/>
      <name val="Calibri"/>
      <family val="2"/>
    </font>
  </fonts>
  <fills count="14">
    <fill>
      <patternFill patternType="none"/>
    </fill>
    <fill>
      <patternFill patternType="gray125"/>
    </fill>
    <fill>
      <patternFill patternType="solid">
        <fgColor theme="0"/>
        <bgColor indexed="64"/>
      </patternFill>
    </fill>
    <fill>
      <patternFill patternType="solid">
        <fgColor rgb="FFF2F2F2"/>
      </patternFill>
    </fill>
    <fill>
      <patternFill patternType="solid">
        <fgColor rgb="FFF8F1DF"/>
        <bgColor indexed="64"/>
      </patternFill>
    </fill>
    <fill>
      <patternFill patternType="solid">
        <fgColor rgb="FF726C5A"/>
        <bgColor indexed="64"/>
      </patternFill>
    </fill>
    <fill>
      <patternFill patternType="solid">
        <fgColor theme="5"/>
        <bgColor indexed="64"/>
      </patternFill>
    </fill>
    <fill>
      <patternFill patternType="solid">
        <fgColor theme="8"/>
        <bgColor indexed="64"/>
      </patternFill>
    </fill>
    <fill>
      <patternFill patternType="solid">
        <fgColor rgb="FF0EB1BA"/>
        <bgColor indexed="64"/>
      </patternFill>
    </fill>
    <fill>
      <patternFill patternType="solid">
        <fgColor theme="0" tint="-4.9989318521683403E-2"/>
        <bgColor indexed="64"/>
      </patternFill>
    </fill>
    <fill>
      <patternFill patternType="solid">
        <fgColor theme="2"/>
        <bgColor indexed="64"/>
      </patternFill>
    </fill>
    <fill>
      <patternFill patternType="solid">
        <fgColor theme="3" tint="-0.249977111117893"/>
        <bgColor indexed="64"/>
      </patternFill>
    </fill>
    <fill>
      <patternFill patternType="solid">
        <fgColor rgb="FF686A10"/>
        <bgColor indexed="64"/>
      </patternFill>
    </fill>
    <fill>
      <patternFill patternType="solid">
        <fgColor rgb="FF1F6180"/>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tted">
        <color rgb="FF726C5A"/>
      </left>
      <right style="dotted">
        <color rgb="FF726C5A"/>
      </right>
      <top style="dotted">
        <color rgb="FF726C5A"/>
      </top>
      <bottom style="dotted">
        <color rgb="FF726C5A"/>
      </bottom>
      <diagonal/>
    </border>
    <border>
      <left/>
      <right/>
      <top style="dotted">
        <color rgb="FF726C5A"/>
      </top>
      <bottom/>
      <diagonal/>
    </border>
    <border>
      <left style="dotted">
        <color rgb="FF726C5A"/>
      </left>
      <right style="thin">
        <color indexed="64"/>
      </right>
      <top style="dotted">
        <color rgb="FF726C5A"/>
      </top>
      <bottom style="dotted">
        <color rgb="FF726C5A"/>
      </bottom>
      <diagonal/>
    </border>
    <border>
      <left style="thin">
        <color indexed="64"/>
      </left>
      <right style="thin">
        <color indexed="64"/>
      </right>
      <top style="dotted">
        <color rgb="FF726C5A"/>
      </top>
      <bottom style="dotted">
        <color rgb="FF726C5A"/>
      </bottom>
      <diagonal/>
    </border>
    <border>
      <left style="thin">
        <color indexed="64"/>
      </left>
      <right style="dotted">
        <color rgb="FF726C5A"/>
      </right>
      <top style="dotted">
        <color rgb="FF726C5A"/>
      </top>
      <bottom style="dotted">
        <color rgb="FF726C5A"/>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dotted">
        <color rgb="FF726C5A"/>
      </left>
      <right/>
      <top style="dotted">
        <color rgb="FF726C5A"/>
      </top>
      <bottom style="dotted">
        <color rgb="FF726C5A"/>
      </bottom>
      <diagonal/>
    </border>
    <border>
      <left/>
      <right style="dotted">
        <color rgb="FF726C5A"/>
      </right>
      <top style="dotted">
        <color rgb="FF726C5A"/>
      </top>
      <bottom style="dotted">
        <color rgb="FF726C5A"/>
      </bottom>
      <diagonal/>
    </border>
    <border>
      <left style="thin">
        <color theme="0"/>
      </left>
      <right/>
      <top/>
      <bottom/>
      <diagonal/>
    </border>
    <border>
      <left/>
      <right/>
      <top style="dotted">
        <color rgb="FF726C5A"/>
      </top>
      <bottom style="dotted">
        <color rgb="FF726C5A"/>
      </bottom>
      <diagonal/>
    </border>
    <border>
      <left/>
      <right/>
      <top style="thin">
        <color theme="0"/>
      </top>
      <bottom/>
      <diagonal/>
    </border>
    <border>
      <left style="thin">
        <color theme="0"/>
      </left>
      <right style="thin">
        <color theme="0"/>
      </right>
      <top/>
      <bottom style="thin">
        <color theme="0"/>
      </bottom>
      <diagonal/>
    </border>
    <border>
      <left/>
      <right style="thin">
        <color theme="0"/>
      </right>
      <top/>
      <bottom/>
      <diagonal/>
    </border>
    <border>
      <left style="thin">
        <color theme="0"/>
      </left>
      <right/>
      <top style="thin">
        <color theme="0"/>
      </top>
      <bottom style="thin">
        <color indexed="64"/>
      </bottom>
      <diagonal/>
    </border>
    <border>
      <left/>
      <right/>
      <top style="thin">
        <color theme="0"/>
      </top>
      <bottom style="thin">
        <color indexed="64"/>
      </bottom>
      <diagonal/>
    </border>
    <border>
      <left/>
      <right/>
      <top/>
      <bottom style="dotted">
        <color rgb="FF726C5A"/>
      </bottom>
      <diagonal/>
    </border>
    <border>
      <left style="dotted">
        <color rgb="FF726C5A"/>
      </left>
      <right/>
      <top style="thin">
        <color theme="0"/>
      </top>
      <bottom style="thin">
        <color indexed="64"/>
      </bottom>
      <diagonal/>
    </border>
    <border>
      <left/>
      <right style="thin">
        <color theme="0"/>
      </right>
      <top/>
      <bottom style="dotted">
        <color rgb="FF726C5A"/>
      </bottom>
      <diagonal/>
    </border>
    <border>
      <left style="dotted">
        <color rgb="FF726C5A"/>
      </left>
      <right/>
      <top/>
      <bottom/>
      <diagonal/>
    </border>
    <border>
      <left/>
      <right style="dotted">
        <color rgb="FF726C5A"/>
      </right>
      <top/>
      <bottom/>
      <diagonal/>
    </border>
    <border>
      <left/>
      <right style="dotted">
        <color rgb="FF726C5A"/>
      </right>
      <top style="dotted">
        <color rgb="FF726C5A"/>
      </top>
      <bottom/>
      <diagonal/>
    </border>
    <border>
      <left style="dotted">
        <color rgb="FF726C5A"/>
      </left>
      <right/>
      <top style="dotted">
        <color rgb="FF726C5A"/>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theme="8"/>
      </bottom>
      <diagonal/>
    </border>
    <border>
      <left style="dotted">
        <color rgb="FF726C5A"/>
      </left>
      <right style="dotted">
        <color rgb="FF726C5A"/>
      </right>
      <top/>
      <bottom style="dotted">
        <color rgb="FF726C5A"/>
      </bottom>
      <diagonal/>
    </border>
    <border>
      <left style="thin">
        <color theme="0"/>
      </left>
      <right style="thin">
        <color theme="0"/>
      </right>
      <top style="thin">
        <color theme="0"/>
      </top>
      <bottom style="medium">
        <color theme="8"/>
      </bottom>
      <diagonal/>
    </border>
    <border>
      <left style="dotted">
        <color rgb="FF726C5A"/>
      </left>
      <right style="dotted">
        <color rgb="FF726C5A"/>
      </right>
      <top style="dotted">
        <color rgb="FF726C5A"/>
      </top>
      <bottom style="medium">
        <color theme="8"/>
      </bottom>
      <diagonal/>
    </border>
    <border>
      <left style="dotted">
        <color indexed="64"/>
      </left>
      <right style="dotted">
        <color indexed="64"/>
      </right>
      <top style="dotted">
        <color indexed="64"/>
      </top>
      <bottom style="dotted">
        <color indexed="64"/>
      </bottom>
      <diagonal/>
    </border>
    <border>
      <left/>
      <right style="dotted">
        <color rgb="FF726C5A"/>
      </right>
      <top/>
      <bottom style="dotted">
        <color rgb="FF726C5A"/>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thin">
        <color theme="0"/>
      </left>
      <right style="thin">
        <color theme="0"/>
      </right>
      <top style="thin">
        <color theme="0"/>
      </top>
      <bottom/>
      <diagonal/>
    </border>
    <border>
      <left style="dotted">
        <color indexed="64"/>
      </left>
      <right/>
      <top/>
      <bottom/>
      <diagonal/>
    </border>
    <border>
      <left/>
      <right/>
      <top style="thin">
        <color rgb="FF726C5A"/>
      </top>
      <bottom/>
      <diagonal/>
    </border>
    <border>
      <left/>
      <right/>
      <top/>
      <bottom style="medium">
        <color rgb="FF726C5A"/>
      </bottom>
      <diagonal/>
    </border>
    <border>
      <left style="medium">
        <color rgb="FF726C5A"/>
      </left>
      <right/>
      <top style="medium">
        <color rgb="FF726C5A"/>
      </top>
      <bottom/>
      <diagonal/>
    </border>
    <border>
      <left/>
      <right/>
      <top style="medium">
        <color rgb="FF726C5A"/>
      </top>
      <bottom/>
      <diagonal/>
    </border>
    <border>
      <left/>
      <right style="medium">
        <color rgb="FF726C5A"/>
      </right>
      <top style="medium">
        <color rgb="FF726C5A"/>
      </top>
      <bottom/>
      <diagonal/>
    </border>
    <border>
      <left style="medium">
        <color rgb="FF726C5A"/>
      </left>
      <right/>
      <top/>
      <bottom/>
      <diagonal/>
    </border>
    <border>
      <left/>
      <right style="medium">
        <color rgb="FF726C5A"/>
      </right>
      <top/>
      <bottom/>
      <diagonal/>
    </border>
    <border>
      <left style="medium">
        <color rgb="FF726C5A"/>
      </left>
      <right/>
      <top/>
      <bottom style="medium">
        <color rgb="FF726C5A"/>
      </bottom>
      <diagonal/>
    </border>
    <border>
      <left/>
      <right style="medium">
        <color rgb="FF726C5A"/>
      </right>
      <top/>
      <bottom style="medium">
        <color rgb="FF726C5A"/>
      </bottom>
      <diagonal/>
    </border>
    <border>
      <left style="dotted">
        <color rgb="FF726C5A"/>
      </left>
      <right/>
      <top style="thin">
        <color theme="0"/>
      </top>
      <bottom style="dotted">
        <color rgb="FF726C5A"/>
      </bottom>
      <diagonal/>
    </border>
    <border>
      <left/>
      <right style="dotted">
        <color rgb="FF726C5A"/>
      </right>
      <top style="thin">
        <color theme="0"/>
      </top>
      <bottom style="dotted">
        <color rgb="FF726C5A"/>
      </bottom>
      <diagonal/>
    </border>
  </borders>
  <cellStyleXfs count="7">
    <xf numFmtId="0" fontId="0" fillId="0" borderId="0"/>
    <xf numFmtId="9" fontId="4" fillId="0" borderId="0" applyFont="0" applyFill="0" applyBorder="0" applyAlignment="0" applyProtection="0"/>
    <xf numFmtId="43" fontId="4" fillId="0" borderId="0" applyFont="0" applyFill="0" applyBorder="0" applyAlignment="0" applyProtection="0"/>
    <xf numFmtId="0" fontId="5" fillId="3" borderId="14" applyNumberFormat="0" applyAlignment="0" applyProtection="0"/>
    <xf numFmtId="0" fontId="17" fillId="4" borderId="15" applyNumberFormat="0" applyAlignment="0" applyProtection="0"/>
    <xf numFmtId="0" fontId="86" fillId="0" borderId="0"/>
    <xf numFmtId="173" fontId="86" fillId="0" borderId="0" applyFont="0" applyFill="0" applyBorder="0" applyAlignment="0" applyProtection="0"/>
  </cellStyleXfs>
  <cellXfs count="515">
    <xf numFmtId="0" fontId="0" fillId="0" borderId="0" xfId="0"/>
    <xf numFmtId="0" fontId="6" fillId="0" borderId="0" xfId="0" applyFont="1" applyProtection="1">
      <protection locked="0"/>
    </xf>
    <xf numFmtId="0" fontId="8" fillId="2" borderId="0" xfId="0" applyFont="1" applyFill="1"/>
    <xf numFmtId="0" fontId="6" fillId="0" borderId="0" xfId="0" applyFont="1"/>
    <xf numFmtId="0" fontId="9" fillId="0" borderId="0" xfId="0" applyFont="1"/>
    <xf numFmtId="0" fontId="9" fillId="0" borderId="13" xfId="0" applyFont="1" applyBorder="1" applyAlignment="1">
      <alignment horizontal="left"/>
    </xf>
    <xf numFmtId="0" fontId="1" fillId="2" borderId="0" xfId="0" applyFont="1" applyFill="1" applyProtection="1">
      <protection locked="0"/>
    </xf>
    <xf numFmtId="0" fontId="1" fillId="2" borderId="0" xfId="0" applyFont="1" applyFill="1"/>
    <xf numFmtId="0" fontId="1" fillId="0" borderId="0" xfId="0" applyFont="1" applyProtection="1">
      <protection locked="0"/>
    </xf>
    <xf numFmtId="0" fontId="1" fillId="0" borderId="0" xfId="0" applyFont="1"/>
    <xf numFmtId="0" fontId="1" fillId="0" borderId="0" xfId="0" applyFont="1" applyAlignment="1">
      <alignment horizontal="right"/>
    </xf>
    <xf numFmtId="0" fontId="1" fillId="0" borderId="0" xfId="0" applyFont="1" applyAlignment="1">
      <alignment horizontal="center"/>
    </xf>
    <xf numFmtId="168" fontId="1" fillId="0" borderId="0" xfId="2" applyNumberFormat="1" applyFont="1" applyBorder="1" applyAlignment="1" applyProtection="1">
      <alignment horizontal="center"/>
      <protection locked="0"/>
    </xf>
    <xf numFmtId="0" fontId="7" fillId="0" borderId="0" xfId="0" applyFont="1" applyAlignment="1" applyProtection="1">
      <alignment horizontal="center"/>
      <protection locked="0"/>
    </xf>
    <xf numFmtId="0" fontId="1" fillId="0" borderId="0" xfId="0" applyFont="1" applyAlignment="1">
      <alignment horizontal="left"/>
    </xf>
    <xf numFmtId="0" fontId="1" fillId="0" borderId="0" xfId="0" applyFont="1" applyAlignment="1" applyProtection="1">
      <alignment wrapText="1"/>
      <protection locked="0"/>
    </xf>
    <xf numFmtId="0" fontId="8" fillId="0" borderId="0" xfId="0" applyFont="1"/>
    <xf numFmtId="0" fontId="8" fillId="0" borderId="0" xfId="0" applyFont="1" applyProtection="1">
      <protection locked="0"/>
    </xf>
    <xf numFmtId="0" fontId="6" fillId="4" borderId="0" xfId="0" applyFont="1" applyFill="1" applyProtection="1">
      <protection locked="0"/>
    </xf>
    <xf numFmtId="0" fontId="1" fillId="4" borderId="0" xfId="0" applyFont="1" applyFill="1" applyProtection="1">
      <protection locked="0"/>
    </xf>
    <xf numFmtId="0" fontId="7" fillId="4" borderId="0" xfId="0" applyFont="1" applyFill="1" applyProtection="1">
      <protection locked="0"/>
    </xf>
    <xf numFmtId="0" fontId="20" fillId="4" borderId="0" xfId="0" applyFont="1" applyFill="1" applyProtection="1">
      <protection locked="0"/>
    </xf>
    <xf numFmtId="0" fontId="21" fillId="4" borderId="0" xfId="0" applyFont="1" applyFill="1" applyProtection="1">
      <protection locked="0"/>
    </xf>
    <xf numFmtId="0" fontId="23" fillId="0" borderId="0" xfId="0" applyFont="1"/>
    <xf numFmtId="0" fontId="24" fillId="0" borderId="0" xfId="0" applyFont="1"/>
    <xf numFmtId="0" fontId="1" fillId="4" borderId="0" xfId="0" applyFont="1" applyFill="1" applyAlignment="1" applyProtection="1">
      <alignment horizontal="center"/>
      <protection locked="0"/>
    </xf>
    <xf numFmtId="0" fontId="1" fillId="0" borderId="0" xfId="0" applyFont="1" applyAlignment="1" applyProtection="1">
      <alignment horizontal="center"/>
      <protection locked="0"/>
    </xf>
    <xf numFmtId="0" fontId="6" fillId="0" borderId="0" xfId="0" applyFont="1" applyAlignment="1" applyProtection="1">
      <alignment horizontal="center"/>
      <protection locked="0"/>
    </xf>
    <xf numFmtId="0" fontId="8" fillId="0" borderId="0" xfId="0" applyFont="1" applyAlignment="1">
      <alignment horizontal="center"/>
    </xf>
    <xf numFmtId="0" fontId="8" fillId="0" borderId="0" xfId="0" applyFont="1" applyAlignment="1" applyProtection="1">
      <alignment horizontal="center"/>
      <protection locked="0"/>
    </xf>
    <xf numFmtId="0" fontId="22" fillId="4" borderId="0" xfId="0" applyFont="1" applyFill="1" applyAlignment="1" applyProtection="1">
      <alignment horizontal="left"/>
      <protection locked="0"/>
    </xf>
    <xf numFmtId="0" fontId="1" fillId="0" borderId="0" xfId="0" applyFont="1" applyAlignment="1" applyProtection="1">
      <alignment vertical="center"/>
      <protection locked="0"/>
    </xf>
    <xf numFmtId="0" fontId="1" fillId="0" borderId="0" xfId="0" applyFont="1" applyAlignment="1" applyProtection="1">
      <alignment horizontal="center" vertical="center"/>
      <protection locked="0"/>
    </xf>
    <xf numFmtId="0" fontId="6" fillId="4" borderId="0" xfId="0" applyFont="1" applyFill="1" applyAlignment="1" applyProtection="1">
      <alignment vertical="center"/>
      <protection locked="0"/>
    </xf>
    <xf numFmtId="0" fontId="21" fillId="4" borderId="0" xfId="0" applyFont="1" applyFill="1" applyAlignment="1" applyProtection="1">
      <alignment vertical="center"/>
      <protection locked="0"/>
    </xf>
    <xf numFmtId="0" fontId="1" fillId="4" borderId="0" xfId="0" applyFont="1" applyFill="1" applyAlignment="1" applyProtection="1">
      <alignment horizontal="center" vertical="center"/>
      <protection locked="0"/>
    </xf>
    <xf numFmtId="0" fontId="1" fillId="4" borderId="0" xfId="0" applyFont="1" applyFill="1" applyAlignment="1" applyProtection="1">
      <alignment vertical="center"/>
      <protection locked="0"/>
    </xf>
    <xf numFmtId="0" fontId="20" fillId="4" borderId="0" xfId="0" applyFont="1" applyFill="1" applyAlignment="1" applyProtection="1">
      <alignment vertical="center"/>
      <protection locked="0"/>
    </xf>
    <xf numFmtId="0" fontId="22" fillId="4" borderId="0" xfId="0" applyFont="1" applyFill="1" applyAlignment="1" applyProtection="1">
      <alignment horizontal="left" vertical="center"/>
      <protection locked="0"/>
    </xf>
    <xf numFmtId="0" fontId="7" fillId="4" borderId="0" xfId="0" applyFont="1" applyFill="1" applyAlignment="1" applyProtection="1">
      <alignment vertical="center"/>
      <protection locked="0"/>
    </xf>
    <xf numFmtId="0" fontId="18" fillId="0" borderId="0" xfId="0" applyFont="1" applyAlignment="1" applyProtection="1">
      <alignment vertical="center"/>
      <protection locked="0"/>
    </xf>
    <xf numFmtId="0" fontId="18" fillId="0" borderId="0" xfId="0" applyFont="1" applyAlignment="1" applyProtection="1">
      <alignment horizontal="center" vertical="center"/>
      <protection locked="0"/>
    </xf>
    <xf numFmtId="0" fontId="23" fillId="0" borderId="0" xfId="0" applyFont="1" applyAlignment="1">
      <alignment horizontal="right" vertical="center"/>
    </xf>
    <xf numFmtId="0" fontId="27" fillId="0" borderId="0" xfId="0" applyFont="1" applyAlignment="1">
      <alignment vertical="center"/>
    </xf>
    <xf numFmtId="0" fontId="26" fillId="4" borderId="15" xfId="4" applyFont="1" applyAlignment="1" applyProtection="1">
      <alignment horizontal="center" vertical="center"/>
      <protection locked="0"/>
    </xf>
    <xf numFmtId="0" fontId="28" fillId="5" borderId="0" xfId="0" applyFont="1" applyFill="1" applyProtection="1">
      <protection locked="0"/>
    </xf>
    <xf numFmtId="0" fontId="28" fillId="5" borderId="0" xfId="0" applyFont="1" applyFill="1" applyAlignment="1" applyProtection="1">
      <alignment horizontal="center"/>
      <protection locked="0"/>
    </xf>
    <xf numFmtId="0" fontId="20" fillId="0" borderId="0" xfId="0" applyFont="1" applyAlignment="1" applyProtection="1">
      <alignment vertical="center"/>
      <protection locked="0"/>
    </xf>
    <xf numFmtId="0" fontId="29" fillId="0" borderId="0" xfId="0" applyFont="1" applyAlignment="1">
      <alignment horizontal="right" vertical="center"/>
    </xf>
    <xf numFmtId="0" fontId="1" fillId="4" borderId="15" xfId="0" applyFont="1" applyFill="1" applyBorder="1" applyAlignment="1" applyProtection="1">
      <alignment horizontal="center"/>
      <protection locked="0"/>
    </xf>
    <xf numFmtId="9" fontId="26" fillId="4" borderId="15" xfId="1" applyFont="1" applyFill="1" applyBorder="1" applyAlignment="1" applyProtection="1">
      <alignment horizontal="center" vertical="center"/>
      <protection locked="0"/>
    </xf>
    <xf numFmtId="9" fontId="26" fillId="6" borderId="15" xfId="1" applyFont="1" applyFill="1" applyBorder="1" applyAlignment="1" applyProtection="1">
      <alignment horizontal="center" vertical="center"/>
      <protection locked="0"/>
    </xf>
    <xf numFmtId="0" fontId="14" fillId="7" borderId="20" xfId="0" applyFont="1" applyFill="1" applyBorder="1" applyAlignment="1" applyProtection="1">
      <alignment horizontal="center"/>
      <protection locked="0"/>
    </xf>
    <xf numFmtId="3" fontId="26" fillId="4" borderId="15" xfId="1" applyNumberFormat="1" applyFont="1" applyFill="1" applyBorder="1" applyAlignment="1" applyProtection="1">
      <alignment horizontal="center" vertical="center"/>
      <protection locked="0"/>
    </xf>
    <xf numFmtId="3" fontId="26" fillId="6" borderId="15" xfId="1" applyNumberFormat="1" applyFont="1" applyFill="1" applyBorder="1" applyAlignment="1" applyProtection="1">
      <alignment horizontal="center" vertical="center"/>
      <protection locked="0"/>
    </xf>
    <xf numFmtId="0" fontId="15" fillId="4" borderId="0" xfId="0" applyFont="1" applyFill="1" applyAlignment="1" applyProtection="1">
      <alignment vertical="center"/>
      <protection locked="0"/>
    </xf>
    <xf numFmtId="0" fontId="37" fillId="5" borderId="0" xfId="0" applyFont="1" applyFill="1" applyProtection="1">
      <protection locked="0"/>
    </xf>
    <xf numFmtId="0" fontId="20" fillId="0" borderId="0" xfId="0" applyFont="1" applyAlignment="1" applyProtection="1">
      <alignment horizontal="right" vertical="center"/>
      <protection locked="0"/>
    </xf>
    <xf numFmtId="0" fontId="1" fillId="0" borderId="16" xfId="0" applyFont="1" applyBorder="1" applyProtection="1">
      <protection locked="0"/>
    </xf>
    <xf numFmtId="164" fontId="26" fillId="4" borderId="15" xfId="1" applyNumberFormat="1" applyFont="1" applyFill="1" applyBorder="1" applyAlignment="1" applyProtection="1">
      <alignment horizontal="center" vertical="center"/>
      <protection locked="0"/>
    </xf>
    <xf numFmtId="164" fontId="26" fillId="6" borderId="15" xfId="1" applyNumberFormat="1" applyFont="1" applyFill="1" applyBorder="1" applyAlignment="1" applyProtection="1">
      <alignment horizontal="center" vertical="center"/>
      <protection locked="0"/>
    </xf>
    <xf numFmtId="9" fontId="26" fillId="4" borderId="24" xfId="1" applyFont="1" applyFill="1" applyBorder="1" applyAlignment="1" applyProtection="1">
      <alignment horizontal="center" vertical="center"/>
      <protection locked="0"/>
    </xf>
    <xf numFmtId="2" fontId="26" fillId="4" borderId="15" xfId="1" applyNumberFormat="1" applyFont="1" applyFill="1" applyBorder="1" applyAlignment="1" applyProtection="1">
      <alignment horizontal="center" vertical="center"/>
      <protection locked="0"/>
    </xf>
    <xf numFmtId="0" fontId="23" fillId="0" borderId="0" xfId="0" applyFont="1" applyAlignment="1">
      <alignment horizontal="right" vertical="center" wrapText="1"/>
    </xf>
    <xf numFmtId="0" fontId="23" fillId="0" borderId="16" xfId="0" applyFont="1" applyBorder="1" applyAlignment="1">
      <alignment horizontal="right" vertical="center" wrapText="1"/>
    </xf>
    <xf numFmtId="0" fontId="1" fillId="2" borderId="16" xfId="0" applyFont="1" applyFill="1" applyBorder="1"/>
    <xf numFmtId="0" fontId="25" fillId="0" borderId="0" xfId="0" applyFont="1" applyAlignment="1" applyProtection="1">
      <alignment horizontal="center" vertical="center"/>
      <protection locked="0"/>
    </xf>
    <xf numFmtId="0" fontId="6" fillId="4" borderId="0" xfId="0" applyFont="1" applyFill="1" applyAlignment="1" applyProtection="1">
      <alignment horizontal="center" vertical="center"/>
      <protection locked="0"/>
    </xf>
    <xf numFmtId="9" fontId="26" fillId="4" borderId="37" xfId="1" applyFont="1" applyFill="1" applyBorder="1" applyAlignment="1" applyProtection="1">
      <alignment horizontal="center" vertical="center"/>
      <protection locked="0"/>
    </xf>
    <xf numFmtId="9" fontId="26" fillId="4" borderId="16" xfId="1" applyFont="1" applyFill="1" applyBorder="1" applyAlignment="1" applyProtection="1">
      <alignment horizontal="center" vertical="center"/>
      <protection locked="0"/>
    </xf>
    <xf numFmtId="9" fontId="26" fillId="4" borderId="26" xfId="1" applyFont="1" applyFill="1" applyBorder="1" applyAlignment="1" applyProtection="1">
      <alignment horizontal="center" vertical="center"/>
      <protection locked="0"/>
    </xf>
    <xf numFmtId="0" fontId="25" fillId="0" borderId="0" xfId="0" applyFont="1" applyAlignment="1" applyProtection="1">
      <alignment horizontal="center" vertical="center" textRotation="180"/>
      <protection locked="0"/>
    </xf>
    <xf numFmtId="0" fontId="21" fillId="4" borderId="0" xfId="0" applyFont="1" applyFill="1" applyAlignment="1" applyProtection="1">
      <alignment horizontal="center" vertical="center"/>
      <protection locked="0"/>
    </xf>
    <xf numFmtId="0" fontId="25" fillId="4" borderId="0" xfId="0" applyFont="1" applyFill="1" applyAlignment="1" applyProtection="1">
      <alignment horizontal="center" vertical="center" textRotation="180"/>
      <protection locked="0"/>
    </xf>
    <xf numFmtId="0" fontId="18" fillId="5" borderId="0" xfId="0" applyFont="1" applyFill="1" applyAlignment="1" applyProtection="1">
      <alignment horizontal="center" vertical="center"/>
      <protection locked="0"/>
    </xf>
    <xf numFmtId="0" fontId="25" fillId="5" borderId="0" xfId="0" applyFont="1" applyFill="1" applyAlignment="1" applyProtection="1">
      <alignment horizontal="center" vertical="center" textRotation="180"/>
      <protection locked="0"/>
    </xf>
    <xf numFmtId="0" fontId="44" fillId="0" borderId="0" xfId="0" applyFont="1" applyAlignment="1">
      <alignment horizontal="center" vertical="center"/>
    </xf>
    <xf numFmtId="0" fontId="25" fillId="0" borderId="0" xfId="0" applyFont="1" applyAlignment="1">
      <alignment horizontal="center" vertical="center" textRotation="180"/>
    </xf>
    <xf numFmtId="0" fontId="31" fillId="0" borderId="0" xfId="0" applyFont="1" applyAlignment="1">
      <alignment horizontal="center" vertical="center"/>
    </xf>
    <xf numFmtId="0" fontId="6" fillId="0" borderId="0" xfId="0" applyFont="1" applyAlignment="1">
      <alignment horizontal="center" vertical="center"/>
    </xf>
    <xf numFmtId="3" fontId="1" fillId="0" borderId="0" xfId="0" applyNumberFormat="1" applyFont="1" applyAlignment="1">
      <alignment horizontal="center" vertical="center"/>
    </xf>
    <xf numFmtId="0" fontId="6" fillId="0" borderId="16" xfId="0" applyFont="1" applyBorder="1" applyAlignment="1">
      <alignment horizontal="center" vertical="center"/>
    </xf>
    <xf numFmtId="0" fontId="25" fillId="0" borderId="16" xfId="0" applyFont="1" applyBorder="1" applyAlignment="1">
      <alignment horizontal="center" vertical="center" textRotation="180"/>
    </xf>
    <xf numFmtId="0" fontId="1" fillId="0" borderId="0" xfId="0" applyFont="1" applyAlignment="1">
      <alignment horizontal="center" vertical="center"/>
    </xf>
    <xf numFmtId="0" fontId="1" fillId="0" borderId="8" xfId="0" applyFont="1" applyBorder="1" applyAlignment="1">
      <alignment horizontal="center" vertical="center"/>
    </xf>
    <xf numFmtId="0" fontId="1" fillId="0" borderId="2" xfId="0" applyFont="1" applyBorder="1" applyAlignment="1">
      <alignment horizontal="center" vertical="center"/>
    </xf>
    <xf numFmtId="167" fontId="7" fillId="0" borderId="0" xfId="0" applyNumberFormat="1" applyFont="1" applyAlignment="1">
      <alignment horizontal="center" vertical="center"/>
    </xf>
    <xf numFmtId="3" fontId="1" fillId="0" borderId="8" xfId="0" applyNumberFormat="1" applyFont="1" applyBorder="1" applyAlignment="1">
      <alignment horizontal="center" vertical="center"/>
    </xf>
    <xf numFmtId="3" fontId="1" fillId="0" borderId="9" xfId="0" applyNumberFormat="1" applyFont="1" applyBorder="1" applyAlignment="1">
      <alignment horizontal="center" vertical="center"/>
    </xf>
    <xf numFmtId="3" fontId="1" fillId="0" borderId="2" xfId="0" applyNumberFormat="1" applyFont="1" applyBorder="1" applyAlignment="1">
      <alignment horizontal="center" vertical="center"/>
    </xf>
    <xf numFmtId="3" fontId="7" fillId="0" borderId="3" xfId="0" applyNumberFormat="1" applyFont="1" applyBorder="1" applyAlignment="1">
      <alignment horizontal="center" vertical="center"/>
    </xf>
    <xf numFmtId="3" fontId="7" fillId="0" borderId="4" xfId="0" applyNumberFormat="1" applyFont="1" applyBorder="1" applyAlignment="1">
      <alignment horizontal="center" vertical="center"/>
    </xf>
    <xf numFmtId="3" fontId="7" fillId="0" borderId="0" xfId="0" applyNumberFormat="1" applyFont="1" applyAlignment="1">
      <alignment horizontal="center" vertical="center"/>
    </xf>
    <xf numFmtId="0" fontId="14" fillId="5" borderId="1" xfId="0" applyFont="1" applyFill="1" applyBorder="1" applyAlignment="1">
      <alignment horizontal="center"/>
    </xf>
    <xf numFmtId="3" fontId="7" fillId="0" borderId="2" xfId="0" applyNumberFormat="1" applyFont="1" applyBorder="1" applyAlignment="1">
      <alignment horizontal="center" vertical="center"/>
    </xf>
    <xf numFmtId="3" fontId="25" fillId="0" borderId="4" xfId="0" applyNumberFormat="1" applyFont="1" applyBorder="1" applyAlignment="1">
      <alignment horizontal="center" vertical="center" textRotation="180"/>
    </xf>
    <xf numFmtId="3" fontId="25" fillId="0" borderId="0" xfId="0" applyNumberFormat="1" applyFont="1" applyAlignment="1">
      <alignment horizontal="center" vertical="center" textRotation="180"/>
    </xf>
    <xf numFmtId="3" fontId="6" fillId="0" borderId="0" xfId="0" applyNumberFormat="1" applyFont="1" applyAlignment="1">
      <alignment horizontal="center" vertical="center"/>
    </xf>
    <xf numFmtId="3" fontId="7" fillId="0" borderId="5" xfId="0" applyNumberFormat="1" applyFont="1" applyBorder="1" applyAlignment="1">
      <alignment horizontal="center" vertical="center"/>
    </xf>
    <xf numFmtId="3" fontId="7" fillId="0" borderId="8"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39" fillId="0" borderId="0" xfId="0" applyFont="1" applyAlignment="1">
      <alignment horizontal="center" vertical="center"/>
    </xf>
    <xf numFmtId="0" fontId="39" fillId="0" borderId="9" xfId="0" applyFont="1" applyBorder="1" applyAlignment="1">
      <alignment horizontal="center" vertical="center"/>
    </xf>
    <xf numFmtId="3" fontId="1" fillId="9" borderId="0" xfId="0" applyNumberFormat="1" applyFont="1" applyFill="1" applyAlignment="1">
      <alignment horizontal="center" vertical="center"/>
    </xf>
    <xf numFmtId="0" fontId="21" fillId="4" borderId="0" xfId="0" applyFont="1" applyFill="1" applyAlignment="1" applyProtection="1">
      <alignment horizontal="left" vertical="center"/>
      <protection locked="0"/>
    </xf>
    <xf numFmtId="3" fontId="52" fillId="0" borderId="0" xfId="0" applyNumberFormat="1" applyFont="1" applyAlignment="1">
      <alignment horizontal="center" vertical="center"/>
    </xf>
    <xf numFmtId="3" fontId="52" fillId="0" borderId="9" xfId="0" applyNumberFormat="1" applyFont="1" applyBorder="1" applyAlignment="1">
      <alignment horizontal="center" vertical="center"/>
    </xf>
    <xf numFmtId="0" fontId="45" fillId="0" borderId="0" xfId="0" applyFont="1" applyAlignment="1">
      <alignment vertical="center"/>
    </xf>
    <xf numFmtId="0" fontId="44" fillId="0" borderId="0" xfId="0" applyFont="1" applyAlignment="1">
      <alignment vertical="center"/>
    </xf>
    <xf numFmtId="5" fontId="1" fillId="0" borderId="0" xfId="0" applyNumberFormat="1" applyFont="1" applyAlignment="1">
      <alignment horizontal="center" vertical="center"/>
    </xf>
    <xf numFmtId="5" fontId="1" fillId="0" borderId="9" xfId="0" applyNumberFormat="1" applyFont="1" applyBorder="1" applyAlignment="1">
      <alignment horizontal="center" vertical="center"/>
    </xf>
    <xf numFmtId="5" fontId="1" fillId="10" borderId="0" xfId="0" applyNumberFormat="1" applyFont="1" applyFill="1" applyAlignment="1">
      <alignment horizontal="center" vertical="center"/>
    </xf>
    <xf numFmtId="5" fontId="15" fillId="0" borderId="9" xfId="0" applyNumberFormat="1" applyFont="1" applyBorder="1" applyAlignment="1">
      <alignment horizontal="center" vertical="center"/>
    </xf>
    <xf numFmtId="5" fontId="7" fillId="0" borderId="3" xfId="0" applyNumberFormat="1" applyFont="1" applyBorder="1" applyAlignment="1">
      <alignment horizontal="center" vertical="center"/>
    </xf>
    <xf numFmtId="5" fontId="7" fillId="0" borderId="4" xfId="0" applyNumberFormat="1" applyFont="1" applyBorder="1" applyAlignment="1">
      <alignment horizontal="center" vertical="center"/>
    </xf>
    <xf numFmtId="0" fontId="45" fillId="0" borderId="0" xfId="0" applyFont="1" applyAlignment="1">
      <alignment horizontal="right"/>
    </xf>
    <xf numFmtId="0" fontId="56" fillId="4" borderId="0" xfId="0" applyFont="1" applyFill="1" applyAlignment="1" applyProtection="1">
      <alignment vertical="center"/>
      <protection locked="0"/>
    </xf>
    <xf numFmtId="0" fontId="57" fillId="5" borderId="0" xfId="0" applyFont="1" applyFill="1" applyProtection="1">
      <protection locked="0"/>
    </xf>
    <xf numFmtId="0" fontId="56" fillId="0" borderId="0" xfId="0" applyFont="1" applyProtection="1">
      <protection locked="0"/>
    </xf>
    <xf numFmtId="168" fontId="1" fillId="0" borderId="0" xfId="0" applyNumberFormat="1" applyFont="1" applyProtection="1">
      <protection locked="0"/>
    </xf>
    <xf numFmtId="0" fontId="1" fillId="0" borderId="16" xfId="0" applyFont="1" applyBorder="1" applyAlignment="1">
      <alignment horizontal="center" vertical="center"/>
    </xf>
    <xf numFmtId="0" fontId="14" fillId="11" borderId="20" xfId="0" applyFont="1" applyFill="1" applyBorder="1" applyAlignment="1" applyProtection="1">
      <alignment horizontal="center" vertical="center" wrapText="1"/>
      <protection locked="0"/>
    </xf>
    <xf numFmtId="0" fontId="14" fillId="12" borderId="20" xfId="0" applyFont="1" applyFill="1" applyBorder="1" applyAlignment="1" applyProtection="1">
      <alignment horizontal="center" vertical="center" wrapText="1"/>
      <protection locked="0"/>
    </xf>
    <xf numFmtId="0" fontId="14" fillId="12" borderId="20" xfId="0" applyFont="1" applyFill="1" applyBorder="1" applyAlignment="1" applyProtection="1">
      <alignment horizontal="center"/>
      <protection locked="0"/>
    </xf>
    <xf numFmtId="0" fontId="14" fillId="11" borderId="20" xfId="0" applyFont="1" applyFill="1" applyBorder="1" applyAlignment="1" applyProtection="1">
      <alignment horizontal="center"/>
      <protection locked="0"/>
    </xf>
    <xf numFmtId="14" fontId="26" fillId="4" borderId="15" xfId="4" applyNumberFormat="1" applyFont="1" applyAlignment="1" applyProtection="1">
      <alignment horizontal="center" vertical="center"/>
      <protection locked="0"/>
    </xf>
    <xf numFmtId="0" fontId="14" fillId="11" borderId="21" xfId="0" applyFont="1" applyFill="1" applyBorder="1" applyAlignment="1" applyProtection="1">
      <alignment horizontal="center" vertical="center"/>
      <protection locked="0"/>
    </xf>
    <xf numFmtId="0" fontId="1" fillId="4" borderId="0" xfId="0" applyFont="1" applyFill="1" applyAlignment="1">
      <alignment vertical="center"/>
    </xf>
    <xf numFmtId="0" fontId="21" fillId="4" borderId="0" xfId="0" applyFont="1" applyFill="1" applyAlignment="1">
      <alignment vertical="center"/>
    </xf>
    <xf numFmtId="0" fontId="1" fillId="4" borderId="0" xfId="0" applyFont="1" applyFill="1" applyAlignment="1">
      <alignment horizontal="center" vertical="center"/>
    </xf>
    <xf numFmtId="0" fontId="6" fillId="4" borderId="0" xfId="0" applyFont="1" applyFill="1" applyAlignment="1">
      <alignment vertical="center"/>
    </xf>
    <xf numFmtId="0" fontId="20" fillId="4" borderId="0" xfId="0" applyFont="1" applyFill="1" applyAlignment="1">
      <alignment vertical="center"/>
    </xf>
    <xf numFmtId="0" fontId="22" fillId="4" borderId="0" xfId="0" applyFont="1" applyFill="1" applyAlignment="1">
      <alignment horizontal="left" vertical="center"/>
    </xf>
    <xf numFmtId="0" fontId="7" fillId="4" borderId="0" xfId="0" applyFont="1" applyFill="1" applyAlignment="1">
      <alignment vertical="center"/>
    </xf>
    <xf numFmtId="0" fontId="28" fillId="5" borderId="0" xfId="0" applyFont="1" applyFill="1"/>
    <xf numFmtId="0" fontId="28" fillId="5" borderId="0" xfId="0" applyFont="1" applyFill="1" applyAlignment="1">
      <alignment horizontal="center"/>
    </xf>
    <xf numFmtId="0" fontId="1" fillId="0" borderId="0" xfId="0" applyFont="1" applyAlignment="1">
      <alignment vertical="center"/>
    </xf>
    <xf numFmtId="0" fontId="18" fillId="0" borderId="0" xfId="0" applyFont="1" applyAlignment="1">
      <alignment vertical="center"/>
    </xf>
    <xf numFmtId="0" fontId="18" fillId="0" borderId="0" xfId="0" applyFont="1" applyAlignment="1">
      <alignment horizontal="center" vertical="center"/>
    </xf>
    <xf numFmtId="0" fontId="16" fillId="0" borderId="0" xfId="0" applyFont="1" applyAlignment="1">
      <alignment vertical="center"/>
    </xf>
    <xf numFmtId="0" fontId="20" fillId="0" borderId="0" xfId="0" applyFont="1" applyAlignment="1">
      <alignment vertical="center"/>
    </xf>
    <xf numFmtId="0" fontId="19" fillId="0" borderId="0" xfId="0" applyFont="1" applyAlignment="1">
      <alignment vertical="center"/>
    </xf>
    <xf numFmtId="0" fontId="6" fillId="0" borderId="0" xfId="0" applyFont="1" applyAlignment="1">
      <alignment vertical="center"/>
    </xf>
    <xf numFmtId="0" fontId="0" fillId="0" borderId="0" xfId="0" applyAlignment="1">
      <alignment vertical="center"/>
    </xf>
    <xf numFmtId="0" fontId="23" fillId="0" borderId="0" xfId="0" applyFont="1" applyAlignment="1">
      <alignment horizontal="right" vertical="top"/>
    </xf>
    <xf numFmtId="0" fontId="23" fillId="0" borderId="0" xfId="0" applyFont="1" applyAlignment="1">
      <alignment vertical="center"/>
    </xf>
    <xf numFmtId="0" fontId="1" fillId="6" borderId="15" xfId="0" applyFont="1" applyFill="1" applyBorder="1" applyAlignment="1">
      <alignment horizontal="center" vertical="center" wrapText="1"/>
    </xf>
    <xf numFmtId="0" fontId="25" fillId="0" borderId="0" xfId="0" applyFont="1" applyAlignment="1">
      <alignment vertical="center"/>
    </xf>
    <xf numFmtId="0" fontId="27" fillId="0" borderId="0" xfId="0" applyFont="1" applyAlignment="1">
      <alignment vertical="top"/>
    </xf>
    <xf numFmtId="0" fontId="64" fillId="0" borderId="0" xfId="0" applyFont="1" applyAlignment="1" applyProtection="1">
      <alignment vertical="center"/>
      <protection locked="0" hidden="1"/>
    </xf>
    <xf numFmtId="0" fontId="16" fillId="0" borderId="0" xfId="0" applyFont="1" applyAlignment="1" applyProtection="1">
      <alignment vertical="center"/>
      <protection locked="0" hidden="1"/>
    </xf>
    <xf numFmtId="0" fontId="25" fillId="0" borderId="0" xfId="0" applyFont="1" applyAlignment="1" applyProtection="1">
      <alignment vertical="center"/>
      <protection locked="0" hidden="1"/>
    </xf>
    <xf numFmtId="0" fontId="1" fillId="2" borderId="0" xfId="0" applyFont="1" applyFill="1" applyProtection="1">
      <protection locked="0" hidden="1"/>
    </xf>
    <xf numFmtId="0" fontId="1" fillId="4" borderId="0" xfId="0" applyFont="1" applyFill="1"/>
    <xf numFmtId="0" fontId="21" fillId="4" borderId="0" xfId="0" applyFont="1" applyFill="1"/>
    <xf numFmtId="0" fontId="1" fillId="4" borderId="0" xfId="0" applyFont="1" applyFill="1" applyAlignment="1">
      <alignment horizontal="center"/>
    </xf>
    <xf numFmtId="0" fontId="1" fillId="4" borderId="0" xfId="0" applyFont="1" applyFill="1" applyAlignment="1">
      <alignment horizontal="left" vertical="center"/>
    </xf>
    <xf numFmtId="0" fontId="6" fillId="4" borderId="0" xfId="0" applyFont="1" applyFill="1"/>
    <xf numFmtId="0" fontId="20" fillId="4" borderId="0" xfId="0" applyFont="1" applyFill="1"/>
    <xf numFmtId="0" fontId="22" fillId="4" borderId="0" xfId="0" applyFont="1" applyFill="1" applyAlignment="1">
      <alignment horizontal="left"/>
    </xf>
    <xf numFmtId="0" fontId="7" fillId="4" borderId="0" xfId="0" applyFont="1" applyFill="1"/>
    <xf numFmtId="0" fontId="7" fillId="4" borderId="0" xfId="0" applyFont="1" applyFill="1" applyAlignment="1">
      <alignment horizontal="left" vertical="center"/>
    </xf>
    <xf numFmtId="0" fontId="28" fillId="5" borderId="0" xfId="0" applyFont="1" applyFill="1" applyAlignment="1">
      <alignment horizontal="left" vertical="center"/>
    </xf>
    <xf numFmtId="0" fontId="9" fillId="0" borderId="0" xfId="0" applyFont="1" applyAlignment="1">
      <alignment horizontal="center" vertical="center"/>
    </xf>
    <xf numFmtId="1" fontId="26" fillId="6" borderId="15" xfId="1" applyNumberFormat="1" applyFont="1" applyFill="1" applyBorder="1" applyAlignment="1" applyProtection="1">
      <alignment horizontal="center" vertical="center"/>
    </xf>
    <xf numFmtId="0" fontId="33" fillId="0" borderId="0" xfId="0" applyFont="1" applyAlignment="1">
      <alignment horizontal="left" vertical="center"/>
    </xf>
    <xf numFmtId="0" fontId="34" fillId="0" borderId="0" xfId="0" applyFont="1"/>
    <xf numFmtId="0" fontId="32" fillId="0" borderId="0" xfId="0" applyFont="1" applyAlignment="1">
      <alignment horizontal="right" vertical="center"/>
    </xf>
    <xf numFmtId="0" fontId="32" fillId="0" borderId="0" xfId="0" applyFont="1" applyAlignment="1">
      <alignment vertical="center"/>
    </xf>
    <xf numFmtId="0" fontId="59" fillId="0" borderId="0" xfId="0" applyFont="1" applyAlignment="1">
      <alignment vertical="center"/>
    </xf>
    <xf numFmtId="0" fontId="40" fillId="0" borderId="0" xfId="0" applyFont="1" applyAlignment="1">
      <alignment horizontal="left" vertical="center"/>
    </xf>
    <xf numFmtId="0" fontId="33" fillId="0" borderId="0" xfId="0" applyFont="1" applyAlignment="1">
      <alignment vertical="center"/>
    </xf>
    <xf numFmtId="0" fontId="16" fillId="0" borderId="0" xfId="0" applyFont="1"/>
    <xf numFmtId="0" fontId="30" fillId="0" borderId="0" xfId="0" applyFont="1" applyAlignment="1">
      <alignment horizontal="left" vertical="center"/>
    </xf>
    <xf numFmtId="0" fontId="14" fillId="7" borderId="0" xfId="0" applyFont="1" applyFill="1" applyAlignment="1">
      <alignment horizontal="center"/>
    </xf>
    <xf numFmtId="0" fontId="39" fillId="0" borderId="0" xfId="0" applyFont="1" applyAlignment="1">
      <alignment horizontal="center"/>
    </xf>
    <xf numFmtId="0" fontId="25" fillId="0" borderId="0" xfId="0" applyFont="1"/>
    <xf numFmtId="0" fontId="1" fillId="0" borderId="0" xfId="0" applyFont="1" applyAlignment="1">
      <alignment horizontal="left" vertical="center"/>
    </xf>
    <xf numFmtId="9" fontId="30" fillId="0" borderId="0" xfId="0" applyNumberFormat="1" applyFont="1" applyAlignment="1">
      <alignment horizontal="center"/>
    </xf>
    <xf numFmtId="0" fontId="30" fillId="0" borderId="0" xfId="0" applyFont="1" applyAlignment="1">
      <alignment horizontal="center"/>
    </xf>
    <xf numFmtId="0" fontId="6" fillId="2" borderId="0" xfId="0" applyFont="1" applyFill="1"/>
    <xf numFmtId="0" fontId="35" fillId="0" borderId="0" xfId="0" applyFont="1"/>
    <xf numFmtId="0" fontId="6" fillId="0" borderId="0" xfId="0" applyFont="1" applyAlignment="1">
      <alignment horizontal="left" vertical="center"/>
    </xf>
    <xf numFmtId="169" fontId="26" fillId="4" borderId="15" xfId="1" applyNumberFormat="1" applyFont="1" applyFill="1" applyBorder="1" applyAlignment="1" applyProtection="1">
      <alignment horizontal="center" vertical="center"/>
      <protection locked="0"/>
    </xf>
    <xf numFmtId="170" fontId="26" fillId="4" borderId="15" xfId="1" applyNumberFormat="1" applyFont="1" applyFill="1" applyBorder="1" applyAlignment="1" applyProtection="1">
      <alignment horizontal="center" vertical="center"/>
      <protection locked="0"/>
    </xf>
    <xf numFmtId="171" fontId="26" fillId="4" borderId="15" xfId="1" applyNumberFormat="1" applyFont="1" applyFill="1" applyBorder="1" applyAlignment="1" applyProtection="1">
      <alignment horizontal="center" vertical="center"/>
      <protection locked="0"/>
    </xf>
    <xf numFmtId="171" fontId="26" fillId="6" borderId="15" xfId="1" applyNumberFormat="1" applyFont="1" applyFill="1" applyBorder="1" applyAlignment="1" applyProtection="1">
      <alignment horizontal="center" vertical="center"/>
      <protection locked="0"/>
    </xf>
    <xf numFmtId="0" fontId="9" fillId="0" borderId="0" xfId="0" applyFont="1" applyAlignment="1">
      <alignment vertical="center"/>
    </xf>
    <xf numFmtId="0" fontId="30" fillId="0" borderId="0" xfId="0" applyFont="1" applyAlignment="1">
      <alignment vertical="top" wrapText="1"/>
    </xf>
    <xf numFmtId="0" fontId="14" fillId="7" borderId="20" xfId="0" applyFont="1" applyFill="1" applyBorder="1" applyAlignment="1">
      <alignment horizontal="center"/>
    </xf>
    <xf numFmtId="0" fontId="72" fillId="0" borderId="0" xfId="0" applyFont="1"/>
    <xf numFmtId="0" fontId="9" fillId="2" borderId="0" xfId="0" applyFont="1" applyFill="1" applyAlignment="1">
      <alignment horizontal="center"/>
    </xf>
    <xf numFmtId="0" fontId="30" fillId="2" borderId="0" xfId="0" applyFont="1" applyFill="1"/>
    <xf numFmtId="0" fontId="1" fillId="2" borderId="0" xfId="0" applyFont="1" applyFill="1" applyAlignment="1">
      <alignment horizontal="right"/>
    </xf>
    <xf numFmtId="0" fontId="16" fillId="2" borderId="0" xfId="0" applyFont="1" applyFill="1" applyAlignment="1">
      <alignment horizontal="right"/>
    </xf>
    <xf numFmtId="0" fontId="63" fillId="2" borderId="0" xfId="0" applyFont="1" applyFill="1"/>
    <xf numFmtId="0" fontId="16" fillId="2" borderId="0" xfId="0" applyFont="1" applyFill="1"/>
    <xf numFmtId="0" fontId="26" fillId="6" borderId="15" xfId="1" applyNumberFormat="1" applyFont="1" applyFill="1" applyBorder="1" applyAlignment="1" applyProtection="1">
      <alignment horizontal="center" vertical="center"/>
    </xf>
    <xf numFmtId="0" fontId="45" fillId="2" borderId="0" xfId="0" applyFont="1" applyFill="1" applyAlignment="1">
      <alignment horizontal="right"/>
    </xf>
    <xf numFmtId="3" fontId="26" fillId="6" borderId="15" xfId="1" applyNumberFormat="1" applyFont="1" applyFill="1" applyBorder="1" applyAlignment="1" applyProtection="1">
      <alignment horizontal="center" vertical="center"/>
    </xf>
    <xf numFmtId="0" fontId="70" fillId="2" borderId="0" xfId="0" applyFont="1" applyFill="1" applyAlignment="1">
      <alignment horizontal="right"/>
    </xf>
    <xf numFmtId="0" fontId="31" fillId="2" borderId="0" xfId="0" applyFont="1" applyFill="1" applyAlignment="1">
      <alignment horizontal="right"/>
    </xf>
    <xf numFmtId="0" fontId="74" fillId="0" borderId="0" xfId="0" applyFont="1" applyAlignment="1">
      <alignment vertical="center"/>
    </xf>
    <xf numFmtId="0" fontId="71" fillId="0" borderId="0" xfId="0" applyFont="1" applyAlignment="1">
      <alignment horizontal="right" vertical="center"/>
    </xf>
    <xf numFmtId="0" fontId="74" fillId="2" borderId="0" xfId="0" applyFont="1" applyFill="1"/>
    <xf numFmtId="0" fontId="74" fillId="0" borderId="0" xfId="0" applyFont="1"/>
    <xf numFmtId="171" fontId="1" fillId="0" borderId="0" xfId="0" applyNumberFormat="1" applyFont="1"/>
    <xf numFmtId="0" fontId="28" fillId="5" borderId="0" xfId="0" applyFont="1" applyFill="1" applyAlignment="1">
      <alignment vertical="center"/>
    </xf>
    <xf numFmtId="0" fontId="28" fillId="5" borderId="0" xfId="0" applyFont="1" applyFill="1" applyAlignment="1">
      <alignment horizontal="center" vertical="center"/>
    </xf>
    <xf numFmtId="9" fontId="10" fillId="4" borderId="15" xfId="1" applyFont="1" applyFill="1" applyBorder="1" applyAlignment="1" applyProtection="1">
      <alignment horizontal="center" vertical="center"/>
      <protection locked="0"/>
    </xf>
    <xf numFmtId="0" fontId="11" fillId="4" borderId="15" xfId="0" applyFont="1" applyFill="1" applyBorder="1" applyAlignment="1" applyProtection="1">
      <alignment vertical="center"/>
      <protection locked="0"/>
    </xf>
    <xf numFmtId="0" fontId="8" fillId="4" borderId="15" xfId="0" applyFont="1" applyFill="1" applyBorder="1" applyAlignment="1" applyProtection="1">
      <alignment vertical="center"/>
      <protection locked="0"/>
    </xf>
    <xf numFmtId="1" fontId="26" fillId="4" borderId="15" xfId="1" applyNumberFormat="1" applyFont="1" applyFill="1" applyBorder="1" applyAlignment="1" applyProtection="1">
      <alignment horizontal="center" vertical="center"/>
      <protection locked="0"/>
    </xf>
    <xf numFmtId="171" fontId="26" fillId="6" borderId="24" xfId="1" applyNumberFormat="1" applyFont="1" applyFill="1" applyBorder="1" applyAlignment="1" applyProtection="1">
      <alignment horizontal="center" vertical="center"/>
      <protection locked="0"/>
    </xf>
    <xf numFmtId="171" fontId="1" fillId="0" borderId="0" xfId="0" applyNumberFormat="1" applyFont="1" applyAlignment="1">
      <alignment horizontal="center"/>
    </xf>
    <xf numFmtId="171" fontId="9" fillId="0" borderId="0" xfId="0" applyNumberFormat="1" applyFont="1"/>
    <xf numFmtId="171" fontId="45" fillId="0" borderId="0" xfId="0" applyNumberFormat="1" applyFont="1" applyAlignment="1">
      <alignment horizontal="right"/>
    </xf>
    <xf numFmtId="0" fontId="9" fillId="4" borderId="0" xfId="0" applyFont="1" applyFill="1" applyAlignment="1">
      <alignment vertical="center"/>
    </xf>
    <xf numFmtId="0" fontId="42" fillId="5" borderId="0" xfId="0" applyFont="1" applyFill="1"/>
    <xf numFmtId="0" fontId="49" fillId="0" borderId="0" xfId="0" applyFont="1"/>
    <xf numFmtId="0" fontId="14" fillId="7" borderId="24" xfId="0" applyFont="1" applyFill="1" applyBorder="1" applyAlignment="1">
      <alignment horizontal="center" vertical="center" wrapText="1"/>
    </xf>
    <xf numFmtId="0" fontId="14" fillId="7" borderId="15" xfId="0" applyFont="1" applyFill="1" applyBorder="1" applyAlignment="1">
      <alignment horizontal="center" vertical="top" wrapText="1"/>
    </xf>
    <xf numFmtId="0" fontId="14" fillId="7" borderId="23" xfId="0" applyFont="1" applyFill="1" applyBorder="1" applyAlignment="1">
      <alignment horizontal="center" vertical="top" wrapText="1"/>
    </xf>
    <xf numFmtId="166" fontId="26" fillId="6" borderId="24" xfId="1" applyNumberFormat="1" applyFont="1" applyFill="1" applyBorder="1" applyAlignment="1" applyProtection="1">
      <alignment horizontal="center" vertical="center"/>
    </xf>
    <xf numFmtId="0" fontId="14" fillId="7" borderId="37" xfId="0" applyFont="1" applyFill="1" applyBorder="1" applyAlignment="1">
      <alignment horizontal="center" vertical="center" wrapText="1"/>
    </xf>
    <xf numFmtId="9" fontId="26" fillId="6" borderId="37" xfId="1" applyFont="1" applyFill="1" applyBorder="1" applyAlignment="1" applyProtection="1">
      <alignment horizontal="center" vertical="center"/>
    </xf>
    <xf numFmtId="9" fontId="26" fillId="6" borderId="16" xfId="1" applyFont="1" applyFill="1" applyBorder="1" applyAlignment="1" applyProtection="1">
      <alignment horizontal="center" vertical="center"/>
    </xf>
    <xf numFmtId="9" fontId="26" fillId="6" borderId="24" xfId="1" applyFont="1" applyFill="1" applyBorder="1" applyAlignment="1" applyProtection="1">
      <alignment horizontal="center" vertical="center"/>
    </xf>
    <xf numFmtId="9" fontId="26" fillId="6" borderId="26" xfId="1" applyFont="1" applyFill="1" applyBorder="1" applyAlignment="1" applyProtection="1">
      <alignment horizontal="center" vertical="center"/>
    </xf>
    <xf numFmtId="0" fontId="0" fillId="0" borderId="16" xfId="0" applyBorder="1"/>
    <xf numFmtId="10" fontId="26" fillId="4" borderId="24" xfId="1" applyNumberFormat="1" applyFont="1" applyFill="1" applyBorder="1" applyAlignment="1" applyProtection="1">
      <alignment horizontal="center" vertical="center"/>
      <protection locked="0"/>
    </xf>
    <xf numFmtId="0" fontId="15" fillId="4" borderId="0" xfId="0" applyFont="1" applyFill="1" applyAlignment="1">
      <alignment vertical="center"/>
    </xf>
    <xf numFmtId="0" fontId="37" fillId="5" borderId="0" xfId="0" applyFont="1" applyFill="1"/>
    <xf numFmtId="0" fontId="3" fillId="0" borderId="0" xfId="0" applyFont="1"/>
    <xf numFmtId="9" fontId="3" fillId="0" borderId="0" xfId="1" applyFont="1" applyFill="1" applyAlignment="1" applyProtection="1">
      <alignment horizontal="center"/>
    </xf>
    <xf numFmtId="1" fontId="3" fillId="0" borderId="0" xfId="0" applyNumberFormat="1" applyFont="1"/>
    <xf numFmtId="164" fontId="3" fillId="0" borderId="0" xfId="0" applyNumberFormat="1" applyFont="1"/>
    <xf numFmtId="164" fontId="3" fillId="0" borderId="0" xfId="0" applyNumberFormat="1" applyFont="1" applyAlignment="1">
      <alignment horizontal="center"/>
    </xf>
    <xf numFmtId="0" fontId="15" fillId="0" borderId="0" xfId="0" applyFont="1"/>
    <xf numFmtId="0" fontId="46" fillId="0" borderId="0" xfId="0" applyFont="1" applyAlignment="1">
      <alignment horizontal="left"/>
    </xf>
    <xf numFmtId="0" fontId="75" fillId="0" borderId="0" xfId="0" applyFont="1"/>
    <xf numFmtId="0" fontId="76" fillId="0" borderId="0" xfId="0" applyFont="1"/>
    <xf numFmtId="0" fontId="15" fillId="0" borderId="0" xfId="0" applyFont="1" applyAlignment="1">
      <alignment vertical="center"/>
    </xf>
    <xf numFmtId="0" fontId="61" fillId="0" borderId="0" xfId="0" applyFont="1" applyAlignment="1">
      <alignment horizontal="left" vertical="center"/>
    </xf>
    <xf numFmtId="0" fontId="53" fillId="0" borderId="0" xfId="0" applyFont="1"/>
    <xf numFmtId="0" fontId="35" fillId="0" borderId="0" xfId="0" applyFont="1" applyAlignment="1">
      <alignment horizontal="center"/>
    </xf>
    <xf numFmtId="9" fontId="53" fillId="0" borderId="0" xfId="1" applyFont="1" applyFill="1" applyAlignment="1" applyProtection="1">
      <alignment horizontal="center"/>
    </xf>
    <xf numFmtId="1" fontId="53" fillId="0" borderId="0" xfId="0" applyNumberFormat="1" applyFont="1"/>
    <xf numFmtId="164" fontId="53" fillId="0" borderId="0" xfId="0" applyNumberFormat="1" applyFont="1"/>
    <xf numFmtId="164" fontId="53" fillId="0" borderId="0" xfId="0" applyNumberFormat="1" applyFont="1" applyAlignment="1">
      <alignment horizontal="center"/>
    </xf>
    <xf numFmtId="0" fontId="54" fillId="0" borderId="0" xfId="0" applyFont="1"/>
    <xf numFmtId="0" fontId="60" fillId="0" borderId="0" xfId="0" applyFont="1" applyAlignment="1">
      <alignment horizontal="left" vertical="center"/>
    </xf>
    <xf numFmtId="9" fontId="30" fillId="0" borderId="0" xfId="1" applyFont="1" applyFill="1" applyAlignment="1" applyProtection="1">
      <alignment horizontal="left"/>
    </xf>
    <xf numFmtId="0" fontId="3" fillId="0" borderId="0" xfId="0" applyFont="1" applyAlignment="1">
      <alignment horizontal="center" vertical="center"/>
    </xf>
    <xf numFmtId="1"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15" fillId="0" borderId="0" xfId="0" applyFont="1" applyAlignment="1">
      <alignment horizontal="center" vertical="center"/>
    </xf>
    <xf numFmtId="0" fontId="62" fillId="0" borderId="0" xfId="0" applyFont="1"/>
    <xf numFmtId="164" fontId="6" fillId="2" borderId="0" xfId="0" applyNumberFormat="1" applyFont="1" applyFill="1"/>
    <xf numFmtId="1" fontId="6" fillId="2" borderId="0" xfId="0" applyNumberFormat="1" applyFont="1" applyFill="1"/>
    <xf numFmtId="164" fontId="6" fillId="2" borderId="0" xfId="0" applyNumberFormat="1" applyFont="1" applyFill="1" applyAlignment="1">
      <alignment horizontal="center"/>
    </xf>
    <xf numFmtId="0" fontId="15" fillId="2" borderId="0" xfId="0" applyFont="1" applyFill="1"/>
    <xf numFmtId="0" fontId="6" fillId="2" borderId="0" xfId="0" applyFont="1" applyFill="1" applyAlignment="1">
      <alignment horizontal="center"/>
    </xf>
    <xf numFmtId="9" fontId="6" fillId="2" borderId="0" xfId="1" applyFont="1" applyFill="1" applyAlignment="1" applyProtection="1">
      <alignment horizontal="center"/>
    </xf>
    <xf numFmtId="0" fontId="8" fillId="6" borderId="15" xfId="0" applyFont="1" applyFill="1" applyBorder="1" applyAlignment="1" applyProtection="1">
      <alignment horizontal="left" vertical="center"/>
      <protection locked="0"/>
    </xf>
    <xf numFmtId="166" fontId="8" fillId="6" borderId="15" xfId="0" applyNumberFormat="1" applyFont="1" applyFill="1" applyBorder="1" applyAlignment="1" applyProtection="1">
      <alignment horizontal="center" vertical="center"/>
      <protection locked="0"/>
    </xf>
    <xf numFmtId="0" fontId="1" fillId="6" borderId="15" xfId="0" applyFont="1" applyFill="1" applyBorder="1" applyAlignment="1" applyProtection="1">
      <alignment horizontal="center" vertical="center"/>
      <protection locked="0"/>
    </xf>
    <xf numFmtId="3" fontId="8" fillId="6" borderId="15" xfId="0" applyNumberFormat="1" applyFont="1" applyFill="1" applyBorder="1" applyAlignment="1" applyProtection="1">
      <alignment horizontal="left" vertical="center"/>
      <protection locked="0"/>
    </xf>
    <xf numFmtId="0" fontId="8" fillId="6" borderId="15" xfId="0" applyFont="1" applyFill="1" applyBorder="1" applyAlignment="1" applyProtection="1">
      <alignment vertical="center"/>
      <protection locked="0"/>
    </xf>
    <xf numFmtId="0" fontId="1" fillId="0" borderId="16" xfId="0" applyFont="1" applyBorder="1"/>
    <xf numFmtId="0" fontId="27" fillId="0" borderId="16" xfId="0" applyFont="1" applyBorder="1" applyAlignment="1">
      <alignment vertical="center"/>
    </xf>
    <xf numFmtId="0" fontId="20" fillId="0" borderId="0" xfId="0" applyFont="1" applyAlignment="1">
      <alignment horizontal="right" vertical="center"/>
    </xf>
    <xf numFmtId="0" fontId="27" fillId="0" borderId="0" xfId="0" applyFont="1" applyAlignment="1" applyProtection="1">
      <alignment vertical="center"/>
      <protection locked="0"/>
    </xf>
    <xf numFmtId="0" fontId="27" fillId="0" borderId="16" xfId="0" applyFont="1" applyBorder="1" applyAlignment="1" applyProtection="1">
      <alignment vertical="center"/>
      <protection locked="0"/>
    </xf>
    <xf numFmtId="0" fontId="12" fillId="0" borderId="0" xfId="0" applyFont="1"/>
    <xf numFmtId="0" fontId="38" fillId="0" borderId="0" xfId="0" applyFont="1" applyAlignment="1">
      <alignment horizontal="right" vertical="center"/>
    </xf>
    <xf numFmtId="43" fontId="13" fillId="0" borderId="0" xfId="3" applyNumberFormat="1" applyFont="1" applyFill="1" applyBorder="1" applyAlignment="1" applyProtection="1">
      <alignment horizontal="center" vertical="center"/>
    </xf>
    <xf numFmtId="9" fontId="26" fillId="6" borderId="15" xfId="1" applyFont="1" applyFill="1" applyBorder="1" applyAlignment="1" applyProtection="1">
      <alignment horizontal="center" vertical="center"/>
    </xf>
    <xf numFmtId="0" fontId="38" fillId="0" borderId="0" xfId="0" applyFont="1" applyAlignment="1">
      <alignment horizontal="center" vertical="center"/>
    </xf>
    <xf numFmtId="0" fontId="39" fillId="0" borderId="20" xfId="0" applyFont="1" applyBorder="1" applyAlignment="1">
      <alignment horizontal="right"/>
    </xf>
    <xf numFmtId="0" fontId="1" fillId="0" borderId="42" xfId="0" applyFont="1" applyBorder="1"/>
    <xf numFmtId="0" fontId="39" fillId="0" borderId="44" xfId="0" applyFont="1" applyBorder="1" applyAlignment="1">
      <alignment horizontal="right"/>
    </xf>
    <xf numFmtId="0" fontId="39" fillId="0" borderId="28" xfId="0" applyFont="1" applyBorder="1" applyAlignment="1">
      <alignment horizontal="right"/>
    </xf>
    <xf numFmtId="0" fontId="41" fillId="0" borderId="0" xfId="0" applyFont="1"/>
    <xf numFmtId="0" fontId="0" fillId="0" borderId="0" xfId="0" applyAlignment="1">
      <alignment horizontal="center"/>
    </xf>
    <xf numFmtId="0" fontId="58" fillId="0" borderId="0" xfId="0" applyFont="1" applyAlignment="1">
      <alignment horizontal="right"/>
    </xf>
    <xf numFmtId="0" fontId="30" fillId="0" borderId="0" xfId="0" applyFont="1" applyAlignment="1">
      <alignment horizontal="left"/>
    </xf>
    <xf numFmtId="0" fontId="1" fillId="2" borderId="0" xfId="0" applyFont="1" applyFill="1" applyAlignment="1">
      <alignment horizontal="center"/>
    </xf>
    <xf numFmtId="0" fontId="55" fillId="2" borderId="0" xfId="0" applyFont="1" applyFill="1" applyAlignment="1">
      <alignment horizontal="left"/>
    </xf>
    <xf numFmtId="0" fontId="9" fillId="2" borderId="0" xfId="0" applyFont="1" applyFill="1"/>
    <xf numFmtId="0" fontId="43" fillId="2" borderId="0" xfId="0" applyFont="1" applyFill="1" applyAlignment="1">
      <alignment horizontal="left"/>
    </xf>
    <xf numFmtId="0" fontId="50" fillId="2" borderId="0" xfId="0" applyFont="1" applyFill="1" applyAlignment="1">
      <alignment horizontal="left"/>
    </xf>
    <xf numFmtId="0" fontId="82" fillId="2" borderId="0" xfId="0" applyFont="1" applyFill="1" applyAlignment="1">
      <alignment horizontal="left"/>
    </xf>
    <xf numFmtId="0" fontId="29" fillId="0" borderId="0" xfId="0" applyFont="1" applyAlignment="1">
      <alignment horizontal="left" vertical="center"/>
    </xf>
    <xf numFmtId="0" fontId="14" fillId="7" borderId="29" xfId="0" applyFont="1" applyFill="1" applyBorder="1" applyAlignment="1">
      <alignment horizontal="center" vertical="center" wrapText="1"/>
    </xf>
    <xf numFmtId="0" fontId="14" fillId="7" borderId="20" xfId="0" applyFont="1" applyFill="1" applyBorder="1" applyAlignment="1">
      <alignment horizontal="center" vertical="center" wrapText="1"/>
    </xf>
    <xf numFmtId="0" fontId="14" fillId="7" borderId="29" xfId="0" applyFont="1" applyFill="1" applyBorder="1" applyAlignment="1">
      <alignment vertical="center" wrapText="1"/>
    </xf>
    <xf numFmtId="0" fontId="14" fillId="7" borderId="30" xfId="0" applyFont="1" applyFill="1" applyBorder="1"/>
    <xf numFmtId="0" fontId="14" fillId="7" borderId="31" xfId="0" applyFont="1" applyFill="1" applyBorder="1"/>
    <xf numFmtId="0" fontId="14" fillId="7" borderId="34" xfId="0" applyFont="1" applyFill="1" applyBorder="1" applyAlignment="1">
      <alignment vertical="center" wrapText="1"/>
    </xf>
    <xf numFmtId="0" fontId="1" fillId="0" borderId="15" xfId="0" applyFont="1" applyBorder="1" applyAlignment="1">
      <alignment horizontal="center"/>
    </xf>
    <xf numFmtId="0" fontId="26" fillId="6" borderId="24" xfId="1" applyNumberFormat="1" applyFont="1" applyFill="1" applyBorder="1" applyAlignment="1" applyProtection="1">
      <alignment horizontal="center" vertical="center"/>
    </xf>
    <xf numFmtId="0" fontId="14" fillId="7" borderId="15" xfId="0" applyFont="1" applyFill="1" applyBorder="1" applyAlignment="1">
      <alignment horizontal="center" vertical="center" wrapText="1"/>
    </xf>
    <xf numFmtId="0" fontId="14" fillId="7" borderId="33" xfId="0" applyFont="1" applyFill="1" applyBorder="1" applyAlignment="1">
      <alignment vertical="center"/>
    </xf>
    <xf numFmtId="0" fontId="14" fillId="7" borderId="31" xfId="0" applyFont="1" applyFill="1" applyBorder="1" applyAlignment="1">
      <alignment vertical="center"/>
    </xf>
    <xf numFmtId="0" fontId="6" fillId="0" borderId="0" xfId="0" applyFont="1" applyAlignment="1">
      <alignment horizontal="center"/>
    </xf>
    <xf numFmtId="0" fontId="1" fillId="2" borderId="0" xfId="0" applyFont="1" applyFill="1" applyAlignment="1">
      <alignment horizontal="center" wrapText="1"/>
    </xf>
    <xf numFmtId="0" fontId="27" fillId="0" borderId="0" xfId="0" applyFont="1" applyAlignment="1">
      <alignment vertical="top" wrapText="1"/>
    </xf>
    <xf numFmtId="0" fontId="83" fillId="0" borderId="0" xfId="0" applyFont="1" applyAlignment="1">
      <alignment horizontal="center" vertical="center"/>
    </xf>
    <xf numFmtId="10" fontId="26" fillId="4" borderId="37" xfId="1" applyNumberFormat="1" applyFont="1" applyFill="1" applyBorder="1" applyAlignment="1" applyProtection="1">
      <alignment horizontal="center" vertical="center"/>
      <protection locked="0"/>
    </xf>
    <xf numFmtId="10" fontId="26" fillId="4" borderId="47" xfId="1" applyNumberFormat="1" applyFont="1" applyFill="1" applyBorder="1" applyAlignment="1" applyProtection="1">
      <alignment horizontal="center" vertical="center"/>
      <protection locked="0"/>
    </xf>
    <xf numFmtId="0" fontId="14" fillId="7" borderId="51" xfId="0" applyFont="1" applyFill="1" applyBorder="1" applyAlignment="1">
      <alignment horizontal="center" vertical="center" wrapText="1"/>
    </xf>
    <xf numFmtId="0" fontId="84" fillId="2" borderId="0" xfId="0" applyFont="1" applyFill="1"/>
    <xf numFmtId="3" fontId="1" fillId="0" borderId="3" xfId="0" applyNumberFormat="1" applyFont="1" applyBorder="1" applyAlignment="1">
      <alignment horizontal="center" vertical="center"/>
    </xf>
    <xf numFmtId="3" fontId="1" fillId="0" borderId="6" xfId="0" applyNumberFormat="1" applyFont="1" applyBorder="1" applyAlignment="1">
      <alignment horizontal="center" vertical="center"/>
    </xf>
    <xf numFmtId="3" fontId="1" fillId="0" borderId="11" xfId="0" applyNumberFormat="1" applyFont="1" applyBorder="1" applyAlignment="1">
      <alignment horizontal="center" vertical="center"/>
    </xf>
    <xf numFmtId="0" fontId="43" fillId="2" borderId="0" xfId="0" applyFont="1" applyFill="1" applyAlignment="1">
      <alignment wrapText="1"/>
    </xf>
    <xf numFmtId="172" fontId="26" fillId="6" borderId="15" xfId="1" applyNumberFormat="1" applyFont="1" applyFill="1" applyBorder="1" applyAlignment="1" applyProtection="1">
      <alignment horizontal="center" vertical="center"/>
      <protection locked="0"/>
    </xf>
    <xf numFmtId="172" fontId="26" fillId="6" borderId="15" xfId="1" applyNumberFormat="1" applyFont="1" applyFill="1" applyBorder="1" applyAlignment="1" applyProtection="1">
      <alignment horizontal="center" vertical="center"/>
    </xf>
    <xf numFmtId="172" fontId="1" fillId="0" borderId="0" xfId="0" applyNumberFormat="1" applyFont="1"/>
    <xf numFmtId="172" fontId="26" fillId="6" borderId="45" xfId="1" applyNumberFormat="1" applyFont="1" applyFill="1" applyBorder="1" applyAlignment="1" applyProtection="1">
      <alignment horizontal="center" vertical="center"/>
    </xf>
    <xf numFmtId="172" fontId="1" fillId="0" borderId="42" xfId="0" applyNumberFormat="1" applyFont="1" applyBorder="1"/>
    <xf numFmtId="172" fontId="26" fillId="6" borderId="43" xfId="1" applyNumberFormat="1" applyFont="1" applyFill="1" applyBorder="1" applyAlignment="1" applyProtection="1">
      <alignment horizontal="center" vertical="center"/>
    </xf>
    <xf numFmtId="172" fontId="6" fillId="0" borderId="0" xfId="0" applyNumberFormat="1" applyFont="1"/>
    <xf numFmtId="0" fontId="0" fillId="13" borderId="0" xfId="0" applyFill="1"/>
    <xf numFmtId="167" fontId="0" fillId="0" borderId="0" xfId="0" applyNumberFormat="1"/>
    <xf numFmtId="0" fontId="88" fillId="4" borderId="0" xfId="0" applyFont="1" applyFill="1" applyAlignment="1">
      <alignment horizontal="left" vertical="center"/>
    </xf>
    <xf numFmtId="0" fontId="89" fillId="4" borderId="0" xfId="0" applyFont="1" applyFill="1"/>
    <xf numFmtId="0" fontId="0" fillId="4" borderId="0" xfId="0" applyFill="1"/>
    <xf numFmtId="0" fontId="0" fillId="2" borderId="0" xfId="0" applyFill="1"/>
    <xf numFmtId="167" fontId="0" fillId="4" borderId="0" xfId="0" applyNumberFormat="1" applyFill="1"/>
    <xf numFmtId="167" fontId="0" fillId="2" borderId="0" xfId="0" applyNumberFormat="1" applyFill="1"/>
    <xf numFmtId="0" fontId="29" fillId="2" borderId="0" xfId="0" applyFont="1" applyFill="1" applyAlignment="1">
      <alignment horizontal="center"/>
    </xf>
    <xf numFmtId="0" fontId="87" fillId="4" borderId="53" xfId="0" applyFont="1" applyFill="1" applyBorder="1" applyAlignment="1" applyProtection="1">
      <alignment vertical="center"/>
      <protection locked="0"/>
    </xf>
    <xf numFmtId="0" fontId="21" fillId="4" borderId="53" xfId="0" applyFont="1" applyFill="1" applyBorder="1" applyAlignment="1" applyProtection="1">
      <alignment vertical="center"/>
      <protection locked="0"/>
    </xf>
    <xf numFmtId="0" fontId="1" fillId="4" borderId="53" xfId="0" applyFont="1" applyFill="1" applyBorder="1" applyAlignment="1" applyProtection="1">
      <alignment horizontal="center" vertical="center"/>
      <protection locked="0"/>
    </xf>
    <xf numFmtId="0" fontId="1" fillId="4" borderId="53" xfId="0" applyFont="1" applyFill="1" applyBorder="1" applyAlignment="1" applyProtection="1">
      <alignment vertical="center"/>
      <protection locked="0"/>
    </xf>
    <xf numFmtId="0" fontId="6" fillId="4" borderId="53" xfId="0" applyFont="1" applyFill="1" applyBorder="1" applyAlignment="1" applyProtection="1">
      <alignment vertical="center"/>
      <protection locked="0"/>
    </xf>
    <xf numFmtId="0" fontId="0" fillId="4" borderId="53" xfId="0" applyFill="1" applyBorder="1"/>
    <xf numFmtId="0" fontId="87" fillId="4" borderId="54" xfId="0" applyFont="1" applyFill="1" applyBorder="1" applyAlignment="1" applyProtection="1">
      <alignment vertical="center"/>
      <protection locked="0"/>
    </xf>
    <xf numFmtId="0" fontId="6" fillId="4" borderId="54" xfId="0" applyFont="1" applyFill="1" applyBorder="1" applyAlignment="1" applyProtection="1">
      <alignment vertical="center"/>
      <protection locked="0"/>
    </xf>
    <xf numFmtId="0" fontId="0" fillId="4" borderId="54" xfId="0" applyFill="1" applyBorder="1"/>
    <xf numFmtId="0" fontId="76" fillId="2" borderId="55" xfId="0" applyFont="1" applyFill="1" applyBorder="1" applyAlignment="1">
      <alignment horizontal="center"/>
    </xf>
    <xf numFmtId="0" fontId="0" fillId="2" borderId="56" xfId="0" applyFill="1" applyBorder="1"/>
    <xf numFmtId="0" fontId="76" fillId="2" borderId="58" xfId="0" applyFont="1" applyFill="1" applyBorder="1" applyAlignment="1">
      <alignment horizontal="center"/>
    </xf>
    <xf numFmtId="1" fontId="29" fillId="2" borderId="0" xfId="0" applyNumberFormat="1" applyFont="1" applyFill="1" applyAlignment="1">
      <alignment horizontal="center"/>
    </xf>
    <xf numFmtId="0" fontId="76" fillId="2" borderId="0" xfId="0" applyFont="1" applyFill="1" applyAlignment="1">
      <alignment horizontal="center" wrapText="1"/>
    </xf>
    <xf numFmtId="167" fontId="29" fillId="2" borderId="0" xfId="0" applyNumberFormat="1" applyFont="1" applyFill="1" applyAlignment="1">
      <alignment horizontal="center"/>
    </xf>
    <xf numFmtId="175" fontId="0" fillId="6" borderId="0" xfId="0" quotePrefix="1" applyNumberFormat="1" applyFill="1" applyAlignment="1">
      <alignment horizontal="center"/>
    </xf>
    <xf numFmtId="175" fontId="0" fillId="2" borderId="0" xfId="0" quotePrefix="1" applyNumberFormat="1" applyFill="1" applyAlignment="1">
      <alignment horizontal="center"/>
    </xf>
    <xf numFmtId="175" fontId="0" fillId="6" borderId="0" xfId="0" applyNumberFormat="1" applyFill="1" applyAlignment="1">
      <alignment horizontal="center"/>
    </xf>
    <xf numFmtId="0" fontId="29" fillId="2" borderId="58" xfId="0" applyFont="1" applyFill="1" applyBorder="1" applyAlignment="1">
      <alignment horizontal="center"/>
    </xf>
    <xf numFmtId="0" fontId="76" fillId="2" borderId="60" xfId="0" applyFont="1" applyFill="1" applyBorder="1" applyAlignment="1">
      <alignment horizontal="center"/>
    </xf>
    <xf numFmtId="0" fontId="89" fillId="2" borderId="0" xfId="0" applyFont="1" applyFill="1"/>
    <xf numFmtId="0" fontId="56" fillId="2" borderId="0" xfId="0" applyFont="1" applyFill="1" applyProtection="1">
      <protection locked="0"/>
    </xf>
    <xf numFmtId="0" fontId="6" fillId="2" borderId="0" xfId="0" applyFont="1" applyFill="1" applyProtection="1">
      <protection locked="0"/>
    </xf>
    <xf numFmtId="0" fontId="6" fillId="2" borderId="0" xfId="0" applyFont="1" applyFill="1" applyAlignment="1">
      <alignment vertical="center"/>
    </xf>
    <xf numFmtId="174" fontId="76" fillId="6" borderId="0" xfId="5" applyNumberFormat="1" applyFont="1" applyFill="1" applyAlignment="1" applyProtection="1">
      <alignment horizontal="center"/>
      <protection locked="0"/>
    </xf>
    <xf numFmtId="0" fontId="0" fillId="2" borderId="57" xfId="0" applyFill="1" applyBorder="1"/>
    <xf numFmtId="0" fontId="4" fillId="4" borderId="0" xfId="5" applyFont="1" applyFill="1" applyProtection="1">
      <protection locked="0"/>
    </xf>
    <xf numFmtId="0" fontId="85" fillId="4" borderId="0" xfId="5" applyFont="1" applyFill="1" applyProtection="1">
      <protection locked="0"/>
    </xf>
    <xf numFmtId="0" fontId="39" fillId="0" borderId="0" xfId="0" applyFont="1" applyAlignment="1">
      <alignment horizontal="right"/>
    </xf>
    <xf numFmtId="0" fontId="29" fillId="2" borderId="0" xfId="5" applyFont="1" applyFill="1" applyAlignment="1" applyProtection="1">
      <alignment horizontal="right"/>
      <protection locked="0"/>
    </xf>
    <xf numFmtId="2" fontId="91" fillId="0" borderId="15" xfId="0" applyNumberFormat="1" applyFont="1" applyBorder="1" applyAlignment="1">
      <alignment horizontal="center" vertical="center"/>
    </xf>
    <xf numFmtId="0" fontId="91" fillId="0" borderId="15" xfId="0" applyFont="1" applyBorder="1" applyAlignment="1">
      <alignment horizontal="center" vertical="center"/>
    </xf>
    <xf numFmtId="0" fontId="0" fillId="2" borderId="0" xfId="0" applyFill="1" applyAlignment="1">
      <alignment horizontal="center"/>
    </xf>
    <xf numFmtId="0" fontId="0" fillId="2" borderId="59" xfId="0" applyFill="1" applyBorder="1" applyAlignment="1">
      <alignment horizontal="center"/>
    </xf>
    <xf numFmtId="0" fontId="4" fillId="4" borderId="0" xfId="5" applyFont="1" applyFill="1" applyAlignment="1" applyProtection="1">
      <alignment horizontal="center"/>
      <protection locked="0"/>
    </xf>
    <xf numFmtId="175" fontId="0" fillId="0" borderId="0" xfId="0" applyNumberFormat="1" applyAlignment="1">
      <alignment horizontal="center"/>
    </xf>
    <xf numFmtId="175" fontId="0" fillId="2" borderId="0" xfId="0" applyNumberFormat="1" applyFill="1" applyAlignment="1">
      <alignment horizontal="center"/>
    </xf>
    <xf numFmtId="175" fontId="4" fillId="6" borderId="0" xfId="6" applyNumberFormat="1" applyFont="1" applyFill="1" applyBorder="1" applyAlignment="1" applyProtection="1">
      <alignment horizontal="center"/>
      <protection locked="0"/>
    </xf>
    <xf numFmtId="167" fontId="0" fillId="2" borderId="0" xfId="0" applyNumberFormat="1" applyFill="1" applyAlignment="1">
      <alignment horizontal="center"/>
    </xf>
    <xf numFmtId="175" fontId="4" fillId="6" borderId="0" xfId="5" applyNumberFormat="1" applyFont="1" applyFill="1" applyAlignment="1" applyProtection="1">
      <alignment horizontal="center"/>
      <protection locked="0"/>
    </xf>
    <xf numFmtId="167" fontId="0" fillId="2" borderId="54" xfId="0" applyNumberFormat="1" applyFill="1" applyBorder="1" applyAlignment="1">
      <alignment horizontal="center"/>
    </xf>
    <xf numFmtId="0" fontId="0" fillId="2" borderId="54" xfId="0" applyFill="1" applyBorder="1" applyAlignment="1">
      <alignment horizontal="center"/>
    </xf>
    <xf numFmtId="0" fontId="0" fillId="2" borderId="61" xfId="0" applyFill="1" applyBorder="1" applyAlignment="1">
      <alignment horizontal="center"/>
    </xf>
    <xf numFmtId="0" fontId="0" fillId="4" borderId="0" xfId="0" applyFill="1" applyAlignment="1">
      <alignment horizontal="center"/>
    </xf>
    <xf numFmtId="0" fontId="4" fillId="6" borderId="0" xfId="5" applyFont="1" applyFill="1" applyAlignment="1" applyProtection="1">
      <alignment horizontal="center"/>
      <protection locked="0"/>
    </xf>
    <xf numFmtId="0" fontId="65" fillId="0" borderId="0" xfId="0" applyFont="1" applyAlignment="1">
      <alignment vertical="center" wrapText="1"/>
    </xf>
    <xf numFmtId="0" fontId="7" fillId="2" borderId="0" xfId="0" applyFont="1" applyFill="1"/>
    <xf numFmtId="0" fontId="1" fillId="4" borderId="46" xfId="0" applyFont="1" applyFill="1" applyBorder="1" applyAlignment="1" applyProtection="1">
      <alignment horizontal="center" vertical="center"/>
      <protection locked="0"/>
    </xf>
    <xf numFmtId="0" fontId="1" fillId="4" borderId="46" xfId="0" applyFont="1" applyFill="1" applyBorder="1" applyAlignment="1" applyProtection="1">
      <alignment horizontal="center"/>
      <protection locked="0"/>
    </xf>
    <xf numFmtId="3" fontId="26" fillId="6" borderId="26" xfId="1" quotePrefix="1" applyNumberFormat="1" applyFont="1" applyFill="1" applyBorder="1" applyAlignment="1" applyProtection="1">
      <alignment horizontal="center" vertical="center"/>
      <protection locked="0"/>
    </xf>
    <xf numFmtId="3" fontId="36" fillId="6" borderId="15" xfId="1" applyNumberFormat="1" applyFont="1" applyFill="1" applyBorder="1" applyAlignment="1" applyProtection="1">
      <alignment horizontal="center" vertical="center"/>
      <protection locked="0"/>
    </xf>
    <xf numFmtId="2" fontId="8" fillId="4" borderId="15" xfId="0" applyNumberFormat="1" applyFont="1" applyFill="1" applyBorder="1" applyAlignment="1" applyProtection="1">
      <alignment horizontal="center" vertical="center"/>
      <protection locked="0"/>
    </xf>
    <xf numFmtId="10" fontId="26" fillId="4" borderId="15" xfId="1" applyNumberFormat="1" applyFont="1" applyFill="1" applyBorder="1" applyAlignment="1" applyProtection="1">
      <alignment horizontal="center" vertical="center"/>
      <protection locked="0"/>
    </xf>
    <xf numFmtId="3" fontId="1" fillId="0" borderId="10" xfId="0" applyNumberFormat="1" applyFont="1" applyBorder="1" applyAlignment="1">
      <alignment horizontal="center" vertical="center"/>
    </xf>
    <xf numFmtId="3" fontId="1" fillId="0" borderId="12" xfId="0" applyNumberFormat="1" applyFont="1" applyBorder="1" applyAlignment="1">
      <alignment horizontal="center" vertical="center"/>
    </xf>
    <xf numFmtId="5" fontId="1" fillId="0" borderId="11" xfId="0" applyNumberFormat="1" applyFont="1" applyBorder="1" applyAlignment="1">
      <alignment horizontal="center" vertical="center"/>
    </xf>
    <xf numFmtId="5" fontId="1" fillId="0" borderId="12" xfId="0" applyNumberFormat="1" applyFont="1" applyBorder="1" applyAlignment="1">
      <alignment horizontal="center" vertical="center"/>
    </xf>
    <xf numFmtId="172" fontId="26" fillId="0" borderId="0" xfId="1" applyNumberFormat="1" applyFont="1" applyFill="1" applyBorder="1" applyAlignment="1" applyProtection="1">
      <alignment horizontal="center" vertical="center"/>
    </xf>
    <xf numFmtId="0" fontId="11" fillId="4" borderId="15" xfId="0" applyFont="1" applyFill="1" applyBorder="1" applyAlignment="1" applyProtection="1">
      <alignment horizontal="center" vertical="center"/>
      <protection locked="0"/>
    </xf>
    <xf numFmtId="0" fontId="8" fillId="4" borderId="15" xfId="0" applyFont="1" applyFill="1" applyBorder="1" applyAlignment="1" applyProtection="1">
      <alignment horizontal="center" vertical="center"/>
      <protection locked="0"/>
    </xf>
    <xf numFmtId="0" fontId="8" fillId="6" borderId="15" xfId="0" applyFont="1" applyFill="1" applyBorder="1" applyAlignment="1">
      <alignment horizontal="left" vertical="center"/>
    </xf>
    <xf numFmtId="165" fontId="8" fillId="6" borderId="15" xfId="0" applyNumberFormat="1" applyFont="1" applyFill="1" applyBorder="1" applyAlignment="1">
      <alignment horizontal="center" vertical="center"/>
    </xf>
    <xf numFmtId="2" fontId="8" fillId="6" borderId="15" xfId="0" applyNumberFormat="1" applyFont="1" applyFill="1" applyBorder="1" applyAlignment="1">
      <alignment horizontal="center" vertical="center"/>
    </xf>
    <xf numFmtId="0" fontId="10" fillId="6" borderId="15" xfId="0" applyFont="1" applyFill="1" applyBorder="1" applyAlignment="1">
      <alignment horizontal="center" vertical="center"/>
    </xf>
    <xf numFmtId="166" fontId="10" fillId="6" borderId="15" xfId="0" applyNumberFormat="1" applyFont="1" applyFill="1" applyBorder="1" applyAlignment="1">
      <alignment horizontal="center" vertical="center"/>
    </xf>
    <xf numFmtId="165" fontId="10" fillId="6" borderId="15" xfId="0" applyNumberFormat="1" applyFont="1" applyFill="1" applyBorder="1" applyAlignment="1">
      <alignment horizontal="center" vertical="center"/>
    </xf>
    <xf numFmtId="175" fontId="8" fillId="6" borderId="15" xfId="0" applyNumberFormat="1" applyFont="1" applyFill="1" applyBorder="1" applyAlignment="1">
      <alignment horizontal="center" vertical="center"/>
    </xf>
    <xf numFmtId="0" fontId="8" fillId="6" borderId="15" xfId="0" applyFont="1" applyFill="1" applyBorder="1" applyAlignment="1">
      <alignment vertical="center"/>
    </xf>
    <xf numFmtId="0" fontId="90" fillId="4" borderId="0" xfId="0" applyFont="1" applyFill="1" applyAlignment="1" applyProtection="1">
      <alignment horizontal="center" vertical="center"/>
      <protection locked="0"/>
    </xf>
    <xf numFmtId="166" fontId="92" fillId="0" borderId="0" xfId="0" applyNumberFormat="1" applyFont="1" applyAlignment="1" applyProtection="1">
      <alignment horizontal="center" vertical="center"/>
      <protection locked="0"/>
    </xf>
    <xf numFmtId="0" fontId="23" fillId="0" borderId="0" xfId="0" applyFont="1" applyAlignment="1">
      <alignment horizontal="center"/>
    </xf>
    <xf numFmtId="0" fontId="65" fillId="0" borderId="0" xfId="0" applyFont="1" applyAlignment="1">
      <alignment horizontal="center" vertical="center" wrapText="1"/>
    </xf>
    <xf numFmtId="0" fontId="29" fillId="0" borderId="0" xfId="0" applyFont="1" applyAlignment="1">
      <alignment horizontal="right" vertical="top" wrapText="1"/>
    </xf>
    <xf numFmtId="0" fontId="27" fillId="0" borderId="35" xfId="0" applyFont="1" applyBorder="1" applyAlignment="1">
      <alignment horizontal="left" vertical="center" wrapText="1"/>
    </xf>
    <xf numFmtId="0" fontId="27" fillId="0" borderId="0" xfId="0" applyFont="1" applyAlignment="1">
      <alignment horizontal="left" vertical="center" wrapText="1"/>
    </xf>
    <xf numFmtId="0" fontId="27" fillId="0" borderId="0" xfId="0" applyFont="1" applyAlignment="1">
      <alignment horizontal="left" vertical="top" wrapText="1"/>
    </xf>
    <xf numFmtId="0" fontId="67" fillId="0" borderId="35" xfId="0" applyFont="1" applyBorder="1" applyAlignment="1">
      <alignment horizontal="left" vertical="top" wrapText="1"/>
    </xf>
    <xf numFmtId="0" fontId="66" fillId="0" borderId="0" xfId="0" applyFont="1" applyAlignment="1">
      <alignment horizontal="right" textRotation="90" wrapText="1"/>
    </xf>
    <xf numFmtId="0" fontId="66" fillId="0" borderId="0" xfId="0" applyFont="1" applyAlignment="1">
      <alignment horizontal="right" vertical="center" textRotation="90" wrapText="1"/>
    </xf>
    <xf numFmtId="3" fontId="26" fillId="4" borderId="15" xfId="1" applyNumberFormat="1" applyFont="1" applyFill="1" applyBorder="1" applyAlignment="1" applyProtection="1">
      <alignment horizontal="center" vertical="center"/>
      <protection locked="0"/>
    </xf>
    <xf numFmtId="0" fontId="14" fillId="7" borderId="25" xfId="0" applyFont="1" applyFill="1" applyBorder="1" applyAlignment="1">
      <alignment horizontal="center"/>
    </xf>
    <xf numFmtId="0" fontId="14" fillId="7" borderId="0" xfId="0" applyFont="1" applyFill="1" applyAlignment="1">
      <alignment horizontal="center"/>
    </xf>
    <xf numFmtId="3" fontId="26" fillId="4" borderId="23" xfId="1" applyNumberFormat="1" applyFont="1" applyFill="1" applyBorder="1" applyAlignment="1" applyProtection="1">
      <alignment horizontal="center" vertical="center"/>
      <protection locked="0"/>
    </xf>
    <xf numFmtId="3" fontId="26" fillId="4" borderId="26" xfId="1" applyNumberFormat="1" applyFont="1" applyFill="1" applyBorder="1" applyAlignment="1" applyProtection="1">
      <alignment horizontal="center" vertical="center"/>
      <protection locked="0"/>
    </xf>
    <xf numFmtId="3" fontId="26" fillId="4" borderId="24" xfId="1" applyNumberFormat="1" applyFont="1" applyFill="1" applyBorder="1" applyAlignment="1" applyProtection="1">
      <alignment horizontal="center" vertical="center"/>
      <protection locked="0"/>
    </xf>
    <xf numFmtId="0" fontId="23" fillId="0" borderId="0" xfId="0" applyFont="1" applyAlignment="1">
      <alignment horizontal="right" vertical="center" wrapText="1"/>
    </xf>
    <xf numFmtId="0" fontId="1" fillId="4" borderId="23" xfId="0" applyFont="1" applyFill="1" applyBorder="1" applyAlignment="1" applyProtection="1">
      <alignment horizontal="center"/>
      <protection locked="0"/>
    </xf>
    <xf numFmtId="0" fontId="1" fillId="4" borderId="24" xfId="0" applyFont="1" applyFill="1" applyBorder="1" applyAlignment="1" applyProtection="1">
      <alignment horizontal="center"/>
      <protection locked="0"/>
    </xf>
    <xf numFmtId="0" fontId="26" fillId="4" borderId="17" xfId="4" applyFont="1" applyBorder="1" applyAlignment="1" applyProtection="1">
      <alignment horizontal="center" vertical="center"/>
      <protection locked="0"/>
    </xf>
    <xf numFmtId="0" fontId="26" fillId="4" borderId="18" xfId="4" applyFont="1" applyBorder="1" applyAlignment="1" applyProtection="1">
      <alignment horizontal="center" vertical="center"/>
      <protection locked="0"/>
    </xf>
    <xf numFmtId="0" fontId="26" fillId="4" borderId="19" xfId="4" applyFont="1" applyBorder="1" applyAlignment="1" applyProtection="1">
      <alignment horizontal="center" vertical="center"/>
      <protection locked="0"/>
    </xf>
    <xf numFmtId="0" fontId="30" fillId="0" borderId="16" xfId="0" applyFont="1" applyBorder="1" applyAlignment="1">
      <alignment horizontal="center" vertical="top" wrapText="1"/>
    </xf>
    <xf numFmtId="0" fontId="30" fillId="0" borderId="0" xfId="0" applyFont="1" applyAlignment="1">
      <alignment horizontal="center" vertical="top" wrapText="1"/>
    </xf>
    <xf numFmtId="0" fontId="14" fillId="7" borderId="27" xfId="0" applyFont="1" applyFill="1" applyBorder="1" applyAlignment="1">
      <alignment horizontal="center" vertical="center"/>
    </xf>
    <xf numFmtId="0" fontId="14" fillId="7" borderId="32" xfId="0" applyFont="1" applyFill="1" applyBorder="1" applyAlignment="1">
      <alignment horizontal="center" vertical="center"/>
    </xf>
    <xf numFmtId="0" fontId="23" fillId="0" borderId="0" xfId="0" applyFont="1" applyAlignment="1">
      <alignment horizontal="right" wrapText="1"/>
    </xf>
    <xf numFmtId="0" fontId="14" fillId="5" borderId="0" xfId="0" applyFont="1" applyFill="1" applyAlignment="1" applyProtection="1">
      <alignment horizontal="center" vertical="center"/>
      <protection locked="0"/>
    </xf>
    <xf numFmtId="0" fontId="14" fillId="5" borderId="40" xfId="0" applyFont="1" applyFill="1" applyBorder="1" applyAlignment="1" applyProtection="1">
      <alignment horizontal="center" vertical="center"/>
      <protection locked="0"/>
    </xf>
    <xf numFmtId="0" fontId="14" fillId="7" borderId="0" xfId="0" applyFont="1" applyFill="1" applyAlignment="1" applyProtection="1">
      <alignment horizontal="center" vertical="center" wrapText="1"/>
      <protection locked="0"/>
    </xf>
    <xf numFmtId="0" fontId="14" fillId="7" borderId="29" xfId="0" applyFont="1" applyFill="1" applyBorder="1" applyAlignment="1" applyProtection="1">
      <alignment horizontal="center" vertical="center" wrapText="1"/>
      <protection locked="0"/>
    </xf>
    <xf numFmtId="0" fontId="14" fillId="7" borderId="40" xfId="0" applyFont="1" applyFill="1" applyBorder="1" applyAlignment="1" applyProtection="1">
      <alignment horizontal="center" vertical="center" wrapText="1"/>
      <protection locked="0"/>
    </xf>
    <xf numFmtId="0" fontId="14" fillId="7" borderId="41" xfId="0" applyFont="1" applyFill="1" applyBorder="1" applyAlignment="1" applyProtection="1">
      <alignment horizontal="center" vertical="center" wrapText="1"/>
      <protection locked="0"/>
    </xf>
    <xf numFmtId="0" fontId="26" fillId="6" borderId="15" xfId="4" applyFont="1" applyFill="1" applyAlignment="1" applyProtection="1">
      <alignment horizontal="center" vertical="center"/>
      <protection locked="0"/>
    </xf>
    <xf numFmtId="0" fontId="26" fillId="4" borderId="15" xfId="4" applyFont="1" applyAlignment="1" applyProtection="1">
      <alignment horizontal="center" vertical="center"/>
      <protection locked="0"/>
    </xf>
    <xf numFmtId="0" fontId="26" fillId="4" borderId="23" xfId="4" applyFont="1" applyBorder="1" applyAlignment="1" applyProtection="1">
      <alignment horizontal="center" vertical="center"/>
      <protection locked="0"/>
    </xf>
    <xf numFmtId="0" fontId="26" fillId="4" borderId="24" xfId="4" applyFont="1" applyBorder="1" applyAlignment="1" applyProtection="1">
      <alignment horizontal="center" vertical="center"/>
      <protection locked="0"/>
    </xf>
    <xf numFmtId="0" fontId="14" fillId="12" borderId="21" xfId="0" applyFont="1" applyFill="1" applyBorder="1" applyAlignment="1" applyProtection="1">
      <alignment horizontal="center"/>
      <protection locked="0"/>
    </xf>
    <xf numFmtId="0" fontId="14" fillId="12" borderId="22" xfId="0" applyFont="1" applyFill="1" applyBorder="1" applyAlignment="1" applyProtection="1">
      <alignment horizontal="center"/>
      <protection locked="0"/>
    </xf>
    <xf numFmtId="0" fontId="26" fillId="4" borderId="62" xfId="4" applyFont="1" applyBorder="1" applyAlignment="1" applyProtection="1">
      <alignment horizontal="center" vertical="center"/>
      <protection locked="0"/>
    </xf>
    <xf numFmtId="0" fontId="26" fillId="4" borderId="63" xfId="4" applyFont="1" applyBorder="1" applyAlignment="1" applyProtection="1">
      <alignment horizontal="center" vertical="center"/>
      <protection locked="0"/>
    </xf>
    <xf numFmtId="0" fontId="14" fillId="12" borderId="39" xfId="0" applyFont="1" applyFill="1" applyBorder="1" applyAlignment="1" applyProtection="1">
      <alignment horizontal="center" vertical="center" wrapText="1"/>
      <protection locked="0"/>
    </xf>
    <xf numFmtId="0" fontId="14" fillId="12" borderId="40" xfId="0" applyFont="1" applyFill="1" applyBorder="1" applyAlignment="1" applyProtection="1">
      <alignment horizontal="center" vertical="center" wrapText="1"/>
      <protection locked="0"/>
    </xf>
    <xf numFmtId="0" fontId="14" fillId="11" borderId="21" xfId="0" applyFont="1" applyFill="1" applyBorder="1" applyAlignment="1" applyProtection="1">
      <alignment horizontal="center"/>
      <protection locked="0"/>
    </xf>
    <xf numFmtId="0" fontId="14" fillId="11" borderId="22" xfId="0" applyFont="1" applyFill="1" applyBorder="1" applyAlignment="1" applyProtection="1">
      <alignment horizontal="center"/>
      <protection locked="0"/>
    </xf>
    <xf numFmtId="0" fontId="14" fillId="11" borderId="39" xfId="0" applyFont="1" applyFill="1" applyBorder="1" applyAlignment="1" applyProtection="1">
      <alignment horizontal="center" vertical="center" wrapText="1"/>
      <protection locked="0"/>
    </xf>
    <xf numFmtId="0" fontId="14" fillId="11" borderId="40" xfId="0" applyFont="1" applyFill="1" applyBorder="1" applyAlignment="1" applyProtection="1">
      <alignment horizontal="center" vertical="center" wrapText="1"/>
      <protection locked="0"/>
    </xf>
    <xf numFmtId="0" fontId="23" fillId="0" borderId="0" xfId="0" applyFont="1" applyAlignment="1">
      <alignment horizontal="left" vertical="top" wrapText="1"/>
    </xf>
    <xf numFmtId="0" fontId="14" fillId="7" borderId="29" xfId="0" applyFont="1" applyFill="1" applyBorder="1" applyAlignment="1">
      <alignment horizontal="center" vertical="center" wrapText="1"/>
    </xf>
    <xf numFmtId="0" fontId="14" fillId="7" borderId="34" xfId="0" applyFont="1" applyFill="1" applyBorder="1" applyAlignment="1">
      <alignment horizontal="center" vertical="center" wrapText="1"/>
    </xf>
    <xf numFmtId="0" fontId="1" fillId="0" borderId="23" xfId="0" applyFont="1" applyBorder="1" applyAlignment="1">
      <alignment horizontal="center"/>
    </xf>
    <xf numFmtId="0" fontId="1" fillId="0" borderId="24" xfId="0" applyFont="1" applyBorder="1" applyAlignment="1">
      <alignment horizontal="center"/>
    </xf>
    <xf numFmtId="0" fontId="29" fillId="0" borderId="3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0" xfId="0" applyFont="1" applyAlignment="1">
      <alignment horizontal="center" vertical="center" wrapText="1"/>
    </xf>
    <xf numFmtId="0" fontId="29" fillId="0" borderId="36" xfId="0" applyFont="1" applyBorder="1" applyAlignment="1">
      <alignment horizontal="center" vertical="center" wrapText="1"/>
    </xf>
    <xf numFmtId="0" fontId="14" fillId="7" borderId="35" xfId="0" applyFont="1" applyFill="1" applyBorder="1" applyAlignment="1">
      <alignment horizontal="center" vertical="center" wrapText="1"/>
    </xf>
    <xf numFmtId="0" fontId="14" fillId="7" borderId="36" xfId="0" applyFont="1" applyFill="1" applyBorder="1" applyAlignment="1">
      <alignment horizontal="center" vertical="center" wrapText="1"/>
    </xf>
    <xf numFmtId="2" fontId="26" fillId="4" borderId="23" xfId="1" applyNumberFormat="1" applyFont="1" applyFill="1" applyBorder="1" applyAlignment="1" applyProtection="1">
      <alignment horizontal="center" vertical="center"/>
      <protection locked="0"/>
    </xf>
    <xf numFmtId="2" fontId="26" fillId="4" borderId="24" xfId="1" applyNumberFormat="1" applyFont="1" applyFill="1" applyBorder="1" applyAlignment="1" applyProtection="1">
      <alignment horizontal="center" vertical="center"/>
      <protection locked="0"/>
    </xf>
    <xf numFmtId="0" fontId="14" fillId="7" borderId="21" xfId="0" applyFont="1" applyFill="1" applyBorder="1" applyAlignment="1">
      <alignment horizontal="center" vertical="center" wrapText="1"/>
    </xf>
    <xf numFmtId="0" fontId="14" fillId="7" borderId="22" xfId="0" applyFont="1" applyFill="1" applyBorder="1" applyAlignment="1">
      <alignment horizontal="center" vertical="center" wrapText="1"/>
    </xf>
    <xf numFmtId="0" fontId="23" fillId="0" borderId="0" xfId="0" applyFont="1" applyAlignment="1">
      <alignment horizontal="right" vertical="top" wrapText="1"/>
    </xf>
    <xf numFmtId="0" fontId="26" fillId="4" borderId="26" xfId="4" applyFont="1" applyBorder="1" applyAlignment="1" applyProtection="1">
      <alignment horizontal="center" vertical="center"/>
      <protection locked="0"/>
    </xf>
    <xf numFmtId="0" fontId="14" fillId="7" borderId="0" xfId="0" applyFont="1" applyFill="1" applyAlignment="1">
      <alignment horizontal="center" vertical="center" wrapText="1"/>
    </xf>
    <xf numFmtId="0" fontId="14" fillId="7" borderId="32" xfId="0" applyFont="1" applyFill="1" applyBorder="1" applyAlignment="1">
      <alignment horizontal="center" vertical="center" wrapText="1"/>
    </xf>
    <xf numFmtId="0" fontId="14" fillId="7" borderId="27" xfId="0" applyFont="1" applyFill="1" applyBorder="1" applyAlignment="1">
      <alignment horizontal="center" vertical="center" wrapText="1"/>
    </xf>
    <xf numFmtId="0" fontId="1" fillId="0" borderId="15" xfId="0" applyFont="1" applyBorder="1" applyAlignment="1">
      <alignment horizontal="center"/>
    </xf>
    <xf numFmtId="0" fontId="14" fillId="7" borderId="21" xfId="0" applyFont="1" applyFill="1" applyBorder="1" applyAlignment="1" applyProtection="1">
      <alignment horizontal="center" vertical="center" wrapText="1"/>
      <protection locked="0"/>
    </xf>
    <xf numFmtId="0" fontId="14" fillId="7" borderId="22" xfId="0" applyFont="1" applyFill="1" applyBorder="1" applyAlignment="1" applyProtection="1">
      <alignment horizontal="center" vertical="center" wrapText="1"/>
      <protection locked="0"/>
    </xf>
    <xf numFmtId="0" fontId="14" fillId="7" borderId="32" xfId="0" applyFont="1" applyFill="1" applyBorder="1" applyAlignment="1" applyProtection="1">
      <alignment horizontal="center" vertical="center" wrapText="1"/>
      <protection locked="0"/>
    </xf>
    <xf numFmtId="0" fontId="14" fillId="7" borderId="27" xfId="0" applyFont="1" applyFill="1" applyBorder="1" applyAlignment="1" applyProtection="1">
      <alignment horizontal="center" vertical="center" wrapText="1"/>
      <protection locked="0"/>
    </xf>
    <xf numFmtId="0" fontId="14" fillId="7" borderId="33" xfId="0" applyFont="1" applyFill="1" applyBorder="1" applyAlignment="1">
      <alignment horizontal="center" vertical="center"/>
    </xf>
    <xf numFmtId="0" fontId="14" fillId="7" borderId="31" xfId="0" applyFont="1" applyFill="1" applyBorder="1" applyAlignment="1">
      <alignment horizontal="center" vertical="center"/>
    </xf>
    <xf numFmtId="0" fontId="14" fillId="7" borderId="30" xfId="0" applyFont="1" applyFill="1" applyBorder="1" applyAlignment="1">
      <alignment horizontal="center"/>
    </xf>
    <xf numFmtId="0" fontId="14" fillId="7" borderId="31" xfId="0" applyFont="1" applyFill="1" applyBorder="1" applyAlignment="1">
      <alignment horizontal="center"/>
    </xf>
    <xf numFmtId="0" fontId="29" fillId="0" borderId="0" xfId="0" applyFont="1" applyAlignment="1">
      <alignment horizontal="left" vertical="center" wrapText="1"/>
    </xf>
    <xf numFmtId="0" fontId="29" fillId="0" borderId="32" xfId="0" applyFont="1" applyBorder="1" applyAlignment="1">
      <alignment horizontal="left" vertical="center" wrapText="1"/>
    </xf>
    <xf numFmtId="0" fontId="43" fillId="2" borderId="52" xfId="0" applyFont="1" applyFill="1" applyBorder="1" applyAlignment="1">
      <alignment horizontal="left" vertical="top" wrapText="1"/>
    </xf>
    <xf numFmtId="0" fontId="43" fillId="2" borderId="0" xfId="0" applyFont="1" applyFill="1" applyAlignment="1">
      <alignment horizontal="left" vertical="top" wrapText="1"/>
    </xf>
    <xf numFmtId="0" fontId="14" fillId="7" borderId="48" xfId="0" applyFont="1" applyFill="1" applyBorder="1" applyAlignment="1">
      <alignment horizontal="center" vertical="center"/>
    </xf>
    <xf numFmtId="0" fontId="14" fillId="7" borderId="49"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48" xfId="0" applyFont="1" applyFill="1" applyBorder="1" applyAlignment="1">
      <alignment horizontal="center"/>
    </xf>
    <xf numFmtId="0" fontId="14" fillId="7" borderId="49" xfId="0" applyFont="1" applyFill="1" applyBorder="1" applyAlignment="1">
      <alignment horizontal="center"/>
    </xf>
    <xf numFmtId="0" fontId="14" fillId="7" borderId="50" xfId="0" applyFont="1" applyFill="1" applyBorder="1" applyAlignment="1">
      <alignment horizontal="center"/>
    </xf>
    <xf numFmtId="0" fontId="9" fillId="0" borderId="0" xfId="0" applyFont="1" applyAlignment="1">
      <alignment horizontal="center" wrapText="1"/>
    </xf>
    <xf numFmtId="0" fontId="1" fillId="0" borderId="0" xfId="0" applyFont="1" applyAlignment="1">
      <alignment horizontal="center"/>
    </xf>
    <xf numFmtId="0" fontId="14" fillId="7" borderId="0" xfId="0" applyFont="1" applyFill="1" applyAlignment="1">
      <alignment horizontal="right"/>
    </xf>
    <xf numFmtId="0" fontId="14" fillId="7" borderId="29" xfId="0" applyFont="1" applyFill="1" applyBorder="1" applyAlignment="1">
      <alignment horizontal="right"/>
    </xf>
    <xf numFmtId="0" fontId="9" fillId="0" borderId="0" xfId="0" applyFont="1" applyAlignment="1" applyProtection="1">
      <alignment horizontal="center" wrapText="1"/>
      <protection locked="0"/>
    </xf>
    <xf numFmtId="0" fontId="65" fillId="2" borderId="0" xfId="0" applyFont="1" applyFill="1" applyAlignment="1">
      <alignment horizontal="center" vertical="center" wrapText="1"/>
    </xf>
    <xf numFmtId="0" fontId="23" fillId="2" borderId="0" xfId="0" applyFont="1" applyFill="1" applyAlignment="1">
      <alignment horizontal="center"/>
    </xf>
    <xf numFmtId="167" fontId="29" fillId="2" borderId="56" xfId="0" applyNumberFormat="1" applyFont="1" applyFill="1" applyBorder="1" applyAlignment="1">
      <alignment horizontal="center"/>
    </xf>
    <xf numFmtId="0" fontId="29" fillId="2" borderId="56" xfId="0" applyFont="1" applyFill="1" applyBorder="1" applyAlignment="1">
      <alignment horizontal="center"/>
    </xf>
    <xf numFmtId="0" fontId="14" fillId="7" borderId="16" xfId="0" applyFont="1" applyFill="1" applyBorder="1" applyAlignment="1">
      <alignment horizontal="center" vertical="center" wrapText="1"/>
    </xf>
    <xf numFmtId="0" fontId="14" fillId="7" borderId="23" xfId="0" applyFont="1" applyFill="1" applyBorder="1" applyAlignment="1">
      <alignment horizontal="center" vertical="center" wrapText="1"/>
    </xf>
    <xf numFmtId="0" fontId="14" fillId="7" borderId="26" xfId="0" applyFont="1" applyFill="1" applyBorder="1" applyAlignment="1">
      <alignment horizontal="center" vertical="center" wrapText="1"/>
    </xf>
    <xf numFmtId="0" fontId="14" fillId="7" borderId="24" xfId="0" applyFont="1" applyFill="1" applyBorder="1" applyAlignment="1">
      <alignment horizontal="center" vertical="center" wrapText="1"/>
    </xf>
    <xf numFmtId="0" fontId="44" fillId="0" borderId="0" xfId="0" applyFont="1" applyAlignment="1">
      <alignment horizontal="center" vertical="center"/>
    </xf>
    <xf numFmtId="0" fontId="51" fillId="8" borderId="0" xfId="0" applyFont="1" applyFill="1" applyAlignment="1" applyProtection="1">
      <alignment horizontal="center" vertical="center"/>
      <protection locked="0"/>
    </xf>
    <xf numFmtId="0" fontId="14" fillId="5" borderId="2" xfId="0" applyFont="1" applyFill="1" applyBorder="1" applyAlignment="1">
      <alignment horizontal="center" vertical="center"/>
    </xf>
    <xf numFmtId="0" fontId="14" fillId="5" borderId="3" xfId="0" applyFont="1" applyFill="1" applyBorder="1" applyAlignment="1">
      <alignment horizontal="center" vertical="center"/>
    </xf>
    <xf numFmtId="0" fontId="14" fillId="5" borderId="4" xfId="0" applyFont="1" applyFill="1" applyBorder="1" applyAlignment="1">
      <alignment horizontal="center" vertical="center"/>
    </xf>
    <xf numFmtId="3" fontId="14" fillId="5" borderId="2" xfId="0" applyNumberFormat="1" applyFont="1" applyFill="1" applyBorder="1" applyAlignment="1">
      <alignment horizontal="center" vertical="center"/>
    </xf>
    <xf numFmtId="3" fontId="14" fillId="5" borderId="3" xfId="0" applyNumberFormat="1" applyFont="1" applyFill="1" applyBorder="1" applyAlignment="1">
      <alignment horizontal="center" vertical="center"/>
    </xf>
    <xf numFmtId="3" fontId="14" fillId="5" borderId="4" xfId="0" applyNumberFormat="1" applyFont="1" applyFill="1" applyBorder="1" applyAlignment="1">
      <alignment horizontal="center" vertical="center"/>
    </xf>
    <xf numFmtId="3" fontId="25" fillId="0" borderId="7" xfId="0" applyNumberFormat="1" applyFont="1" applyBorder="1" applyAlignment="1">
      <alignment horizontal="center" vertical="center" textRotation="180"/>
    </xf>
    <xf numFmtId="3" fontId="25" fillId="0" borderId="9" xfId="0" applyNumberFormat="1" applyFont="1" applyBorder="1" applyAlignment="1">
      <alignment horizontal="center" vertical="center" textRotation="180"/>
    </xf>
    <xf numFmtId="3" fontId="25" fillId="0" borderId="12" xfId="0" applyNumberFormat="1" applyFont="1" applyBorder="1" applyAlignment="1">
      <alignment horizontal="center" vertical="center" textRotation="180"/>
    </xf>
    <xf numFmtId="0" fontId="14" fillId="8" borderId="0" xfId="0" applyFont="1" applyFill="1" applyAlignment="1">
      <alignment horizontal="center"/>
    </xf>
  </cellXfs>
  <cellStyles count="7">
    <cellStyle name="Cálculo" xfId="3" builtinId="22"/>
    <cellStyle name="Entrada" xfId="4" builtinId="20" customBuiltin="1"/>
    <cellStyle name="Normal" xfId="0" builtinId="0"/>
    <cellStyle name="Normal 5" xfId="5" xr:uid="{46FD9549-BD3B-45D1-9D2E-5A3363463DD1}"/>
    <cellStyle name="Porcentagem" xfId="1" builtinId="5"/>
    <cellStyle name="Vírgula" xfId="2" builtinId="3"/>
    <cellStyle name="Vírgula 4" xfId="6" xr:uid="{2E58E311-254D-4A8A-9ED6-CCD312F23488}"/>
  </cellStyles>
  <dxfs count="127">
    <dxf>
      <font>
        <color theme="0"/>
      </font>
      <fill>
        <patternFill patternType="solid">
          <fgColor theme="0"/>
          <bgColor theme="0"/>
        </patternFill>
      </fill>
      <border>
        <left/>
        <right/>
        <top/>
        <bottom/>
        <vertical/>
        <horizontal/>
      </border>
    </dxf>
    <dxf>
      <fill>
        <patternFill>
          <bgColor theme="5"/>
        </patternFill>
      </fill>
    </dxf>
    <dxf>
      <fill>
        <patternFill>
          <bgColor theme="5"/>
        </patternFill>
      </fill>
    </dxf>
    <dxf>
      <fill>
        <patternFill>
          <bgColor theme="5"/>
        </patternFill>
      </fill>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ill>
        <patternFill>
          <bgColor theme="5"/>
        </patternFill>
      </fill>
    </dxf>
    <dxf>
      <fill>
        <patternFill>
          <bgColor theme="5"/>
        </patternFill>
      </fill>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patternFill>
      </fill>
    </dxf>
    <dxf>
      <fill>
        <patternFill>
          <bgColor theme="5"/>
        </patternFill>
      </fill>
    </dxf>
    <dxf>
      <fill>
        <patternFill>
          <bgColor theme="5"/>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fgColor auto="1"/>
          <bgColor theme="5"/>
        </patternFill>
      </fill>
    </dxf>
    <dxf>
      <fill>
        <patternFill>
          <fgColor auto="1"/>
          <bgColor theme="5"/>
        </patternFill>
      </fill>
    </dxf>
    <dxf>
      <fill>
        <patternFill>
          <fgColor auto="1"/>
          <bgColor theme="5"/>
        </patternFill>
      </fill>
    </dxf>
    <dxf>
      <fill>
        <patternFill>
          <fgColor auto="1"/>
          <bgColor theme="5"/>
        </patternFill>
      </fill>
    </dxf>
    <dxf>
      <fill>
        <patternFill>
          <fgColor auto="1"/>
          <bgColor theme="5"/>
        </patternFill>
      </fill>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u val="none"/>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u val="none"/>
        <color theme="0"/>
      </font>
      <fill>
        <patternFill>
          <fgColor theme="0"/>
          <bgColor theme="0"/>
        </patternFill>
      </fill>
      <border>
        <left/>
        <right/>
        <top/>
        <bottom/>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theme="0"/>
      </font>
      <fill>
        <patternFill patternType="solid">
          <fgColor theme="0"/>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0006"/>
      </font>
    </dxf>
    <dxf>
      <font>
        <color rgb="FF9C0006"/>
      </font>
    </dxf>
    <dxf>
      <font>
        <color rgb="FF9C0006"/>
      </font>
    </dxf>
    <dxf>
      <font>
        <color rgb="FF9C0006"/>
      </font>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colors>
    <mruColors>
      <color rgb="FFF8F1DF"/>
      <color rgb="FF726C5A"/>
      <color rgb="FF0EB1BA"/>
      <color rgb="FFDDCFAD"/>
      <color rgb="FF5D7646"/>
      <color rgb="FF686A1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the Current Scenario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share'!$B$26</c:f>
              <c:strCache>
                <c:ptCount val="1"/>
                <c:pt idx="0">
                  <c:v>BSC</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share'!$C$26:$G$26</c:f>
              <c:numCache>
                <c:formatCode>0.00%</c:formatCode>
                <c:ptCount val="5"/>
                <c:pt idx="0">
                  <c:v>1</c:v>
                </c:pt>
                <c:pt idx="1">
                  <c:v>1</c:v>
                </c:pt>
                <c:pt idx="2">
                  <c:v>1</c:v>
                </c:pt>
                <c:pt idx="3">
                  <c:v>1</c:v>
                </c:pt>
                <c:pt idx="4">
                  <c:v>1</c:v>
                </c:pt>
              </c:numCache>
            </c:numRef>
          </c:val>
          <c:extLst>
            <c:ext xmlns:c16="http://schemas.microsoft.com/office/drawing/2014/chart" uri="{C3380CC4-5D6E-409C-BE32-E72D297353CC}">
              <c16:uniqueId val="{00000000-B073-46E8-A659-581580C2DFAC}"/>
            </c:ext>
          </c:extLst>
        </c:ser>
        <c:ser>
          <c:idx val="1"/>
          <c:order val="1"/>
          <c:tx>
            <c:strRef>
              <c:f>'Mkt share'!$B$27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share'!$C$27:$G$27</c:f>
              <c:numCache>
                <c:formatCode>0.00%</c:formatCode>
                <c:ptCount val="5"/>
              </c:numCache>
            </c:numRef>
          </c:val>
          <c:extLst>
            <c:ext xmlns:c16="http://schemas.microsoft.com/office/drawing/2014/chart" uri="{C3380CC4-5D6E-409C-BE32-E72D297353CC}">
              <c16:uniqueId val="{00000001-B073-46E8-A659-581580C2DFAC}"/>
            </c:ext>
          </c:extLst>
        </c:ser>
        <c:ser>
          <c:idx val="2"/>
          <c:order val="2"/>
          <c:tx>
            <c:strRef>
              <c:f>'Mkt share'!$B$28</c:f>
              <c:strCache>
                <c:ptCount val="1"/>
                <c:pt idx="0">
                  <c:v>Do not fill this line</c:v>
                </c:pt>
              </c:strCache>
              <c:extLst xmlns:c15="http://schemas.microsoft.com/office/drawing/2012/chart"/>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share'!$C$28:$G$28</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2-B073-46E8-A659-581580C2DFAC}"/>
            </c:ext>
          </c:extLst>
        </c:ser>
        <c:ser>
          <c:idx val="3"/>
          <c:order val="3"/>
          <c:tx>
            <c:strRef>
              <c:f>'Mkt share'!$B$29</c:f>
              <c:strCache>
                <c:ptCount val="1"/>
                <c:pt idx="0">
                  <c:v>Do not fill this line</c:v>
                </c:pt>
              </c:strCache>
              <c:extLst xmlns:c15="http://schemas.microsoft.com/office/drawing/2012/chart"/>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share'!$C$29:$G$29</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3-B073-46E8-A659-581580C2DFAC}"/>
            </c:ext>
          </c:extLst>
        </c:ser>
        <c:ser>
          <c:idx val="4"/>
          <c:order val="4"/>
          <c:tx>
            <c:strRef>
              <c:f>'Mkt share'!$B$30</c:f>
              <c:strCache>
                <c:ptCount val="1"/>
                <c:pt idx="0">
                  <c:v>Do not fill this line</c:v>
                </c:pt>
              </c:strCache>
              <c:extLst xmlns:c15="http://schemas.microsoft.com/office/drawing/2012/chart"/>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share'!$C$30:$G$30</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4-B073-46E8-A659-581580C2DFAC}"/>
            </c:ext>
          </c:extLst>
        </c:ser>
        <c:ser>
          <c:idx val="5"/>
          <c:order val="5"/>
          <c:tx>
            <c:strRef>
              <c:f>'Mkt share'!$B$31</c:f>
              <c:strCache>
                <c:ptCount val="1"/>
                <c:pt idx="0">
                  <c:v>Do not fill this line</c:v>
                </c:pt>
              </c:strCache>
              <c:extLst xmlns:c15="http://schemas.microsoft.com/office/drawing/2012/chart"/>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share'!$C$31:$G$31</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5-B073-46E8-A659-581580C2DFAC}"/>
            </c:ext>
          </c:extLst>
        </c:ser>
        <c:ser>
          <c:idx val="6"/>
          <c:order val="6"/>
          <c:tx>
            <c:strRef>
              <c:f>'Mkt share'!$B$32</c:f>
              <c:strCache>
                <c:ptCount val="1"/>
                <c:pt idx="0">
                  <c:v>Do not fill this line</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share'!$C$32:$G$32</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6-B073-46E8-A659-581580C2DFAC}"/>
            </c:ext>
          </c:extLst>
        </c:ser>
        <c:ser>
          <c:idx val="7"/>
          <c:order val="7"/>
          <c:tx>
            <c:strRef>
              <c:f>'Mkt share'!$B$33</c:f>
              <c:strCache>
                <c:ptCount val="1"/>
                <c:pt idx="0">
                  <c:v>Do not fill this line</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share'!$C$33:$G$33</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7-B073-46E8-A659-581580C2DFAC}"/>
            </c:ext>
          </c:extLst>
        </c:ser>
        <c:ser>
          <c:idx val="8"/>
          <c:order val="8"/>
          <c:tx>
            <c:strRef>
              <c:f>'Mkt share'!$B$34</c:f>
              <c:strCache>
                <c:ptCount val="1"/>
                <c:pt idx="0">
                  <c:v>Do not fill this line</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share'!$C$34:$G$34</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8-B073-46E8-A659-581580C2DFAC}"/>
            </c:ext>
          </c:extLst>
        </c:ser>
        <c:ser>
          <c:idx val="9"/>
          <c:order val="9"/>
          <c:tx>
            <c:strRef>
              <c:f>'Mkt share'!$B$35</c:f>
              <c:strCache>
                <c:ptCount val="1"/>
                <c:pt idx="0">
                  <c:v>Do not fill this line</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share'!$C$35:$G$35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073-46E8-A659-581580C2DFAC}"/>
            </c:ext>
          </c:extLst>
        </c:ser>
        <c:ser>
          <c:idx val="10"/>
          <c:order val="10"/>
          <c:tx>
            <c:strRef>
              <c:f>'Mkt share'!$B$22</c:f>
              <c:strCache>
                <c:ptCount val="1"/>
                <c:pt idx="0">
                  <c:v>Drug 1</c:v>
                </c:pt>
              </c:strCache>
              <c:extLst xmlns:c15="http://schemas.microsoft.com/office/drawing/2012/chart"/>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share'!$C$22:$G$22</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A-B073-46E8-A659-581580C2DFAC}"/>
            </c:ext>
          </c:extLst>
        </c:ser>
        <c:ser>
          <c:idx val="11"/>
          <c:order val="11"/>
          <c:tx>
            <c:strRef>
              <c:f>'Mkt share'!$B$23</c:f>
              <c:strCache>
                <c:ptCount val="1"/>
                <c:pt idx="0">
                  <c:v>Drug 2</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share'!$C$23:$G$23</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B-B073-46E8-A659-581580C2DFAC}"/>
            </c:ext>
          </c:extLst>
        </c:ser>
        <c:ser>
          <c:idx val="12"/>
          <c:order val="12"/>
          <c:tx>
            <c:strRef>
              <c:f>'Mkt share'!$B$24</c:f>
              <c:strCache>
                <c:ptCount val="1"/>
                <c:pt idx="0">
                  <c:v>Do not fill this line</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share'!$C$24:$G$24</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C-B073-46E8-A659-581580C2DFAC}"/>
            </c:ext>
          </c:extLst>
        </c:ser>
        <c:ser>
          <c:idx val="13"/>
          <c:order val="13"/>
          <c:tx>
            <c:strRef>
              <c:f>'Mkt share'!$B$25</c:f>
              <c:strCache>
                <c:ptCount val="1"/>
                <c:pt idx="0">
                  <c:v>Do not fill this line</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share'!$C$25:$G$25</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D-B073-46E8-A659-581580C2DFA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share'!$B$46</c:f>
              <c:strCache>
                <c:ptCount val="1"/>
                <c:pt idx="0">
                  <c:v>BSC</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share'!$C$46:$G$46</c:f>
              <c:numCache>
                <c:formatCode>0.00%</c:formatCode>
                <c:ptCount val="5"/>
                <c:pt idx="0">
                  <c:v>0.95</c:v>
                </c:pt>
                <c:pt idx="1">
                  <c:v>0.9</c:v>
                </c:pt>
                <c:pt idx="2">
                  <c:v>0.85</c:v>
                </c:pt>
                <c:pt idx="3">
                  <c:v>0.8</c:v>
                </c:pt>
                <c:pt idx="4">
                  <c:v>0.75</c:v>
                </c:pt>
              </c:numCache>
            </c:numRef>
          </c:val>
          <c:extLst>
            <c:ext xmlns:c16="http://schemas.microsoft.com/office/drawing/2014/chart" uri="{C3380CC4-5D6E-409C-BE32-E72D297353CC}">
              <c16:uniqueId val="{00000000-B2A2-45C5-B30F-59938CBB4F9C}"/>
            </c:ext>
          </c:extLst>
        </c:ser>
        <c:ser>
          <c:idx val="1"/>
          <c:order val="1"/>
          <c:tx>
            <c:strRef>
              <c:f>'Mkt share'!$B$47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share'!$C$47:$G$47</c:f>
              <c:numCache>
                <c:formatCode>0.00%</c:formatCode>
                <c:ptCount val="5"/>
              </c:numCache>
            </c:numRef>
          </c:val>
          <c:extLst>
            <c:ext xmlns:c16="http://schemas.microsoft.com/office/drawing/2014/chart" uri="{C3380CC4-5D6E-409C-BE32-E72D297353CC}">
              <c16:uniqueId val="{00000001-B2A2-45C5-B30F-59938CBB4F9C}"/>
            </c:ext>
          </c:extLst>
        </c:ser>
        <c:ser>
          <c:idx val="2"/>
          <c:order val="2"/>
          <c:tx>
            <c:strRef>
              <c:f>'Mkt share'!$B$48</c:f>
              <c:strCache>
                <c:ptCount val="1"/>
                <c:pt idx="0">
                  <c:v>Do not fill this line</c:v>
                </c:pt>
              </c:strCache>
              <c:extLst xmlns:c15="http://schemas.microsoft.com/office/drawing/2012/chart"/>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share'!$C$48:$G$48</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2-B2A2-45C5-B30F-59938CBB4F9C}"/>
            </c:ext>
          </c:extLst>
        </c:ser>
        <c:ser>
          <c:idx val="3"/>
          <c:order val="3"/>
          <c:tx>
            <c:strRef>
              <c:f>'Mkt share'!$B$49</c:f>
              <c:strCache>
                <c:ptCount val="1"/>
                <c:pt idx="0">
                  <c:v>Do not fill this line</c:v>
                </c:pt>
              </c:strCache>
              <c:extLst xmlns:c15="http://schemas.microsoft.com/office/drawing/2012/chart"/>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share'!$C$49:$G$49</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3-B2A2-45C5-B30F-59938CBB4F9C}"/>
            </c:ext>
          </c:extLst>
        </c:ser>
        <c:ser>
          <c:idx val="4"/>
          <c:order val="4"/>
          <c:tx>
            <c:strRef>
              <c:f>'Mkt share'!$B$50</c:f>
              <c:strCache>
                <c:ptCount val="1"/>
                <c:pt idx="0">
                  <c:v>Do not fill this line</c:v>
                </c:pt>
              </c:strCache>
              <c:extLst xmlns:c15="http://schemas.microsoft.com/office/drawing/2012/chart"/>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share'!$C$50:$G$50</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4-B2A2-45C5-B30F-59938CBB4F9C}"/>
            </c:ext>
          </c:extLst>
        </c:ser>
        <c:ser>
          <c:idx val="5"/>
          <c:order val="5"/>
          <c:tx>
            <c:strRef>
              <c:f>'Mkt share'!$B$51</c:f>
              <c:strCache>
                <c:ptCount val="1"/>
                <c:pt idx="0">
                  <c:v>Do not fill this line</c:v>
                </c:pt>
              </c:strCache>
              <c:extLst xmlns:c15="http://schemas.microsoft.com/office/drawing/2012/chart"/>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share'!$C$51:$G$51</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5-B2A2-45C5-B30F-59938CBB4F9C}"/>
            </c:ext>
          </c:extLst>
        </c:ser>
        <c:ser>
          <c:idx val="6"/>
          <c:order val="6"/>
          <c:tx>
            <c:strRef>
              <c:f>'Mkt share'!$B$52</c:f>
              <c:strCache>
                <c:ptCount val="1"/>
                <c:pt idx="0">
                  <c:v>Do not fill this line</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share'!$C$52:$G$52</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6-B2A2-45C5-B30F-59938CBB4F9C}"/>
            </c:ext>
          </c:extLst>
        </c:ser>
        <c:ser>
          <c:idx val="7"/>
          <c:order val="7"/>
          <c:tx>
            <c:strRef>
              <c:f>'Mkt share'!$B$53</c:f>
              <c:strCache>
                <c:ptCount val="1"/>
                <c:pt idx="0">
                  <c:v>Do not fill this line</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share'!$C$53:$G$53</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7-B2A2-45C5-B30F-59938CBB4F9C}"/>
            </c:ext>
          </c:extLst>
        </c:ser>
        <c:ser>
          <c:idx val="8"/>
          <c:order val="8"/>
          <c:tx>
            <c:strRef>
              <c:f>'Mkt share'!$B$54</c:f>
              <c:strCache>
                <c:ptCount val="1"/>
                <c:pt idx="0">
                  <c:v>Do not fill this line</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share'!$C$54:$G$54</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8-B2A2-45C5-B30F-59938CBB4F9C}"/>
            </c:ext>
          </c:extLst>
        </c:ser>
        <c:ser>
          <c:idx val="9"/>
          <c:order val="9"/>
          <c:tx>
            <c:strRef>
              <c:f>'Mkt share'!$B$55</c:f>
              <c:strCache>
                <c:ptCount val="1"/>
                <c:pt idx="0">
                  <c:v>Do not fill this line</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share'!$C$55:$G$55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2A2-45C5-B30F-59938CBB4F9C}"/>
            </c:ext>
          </c:extLst>
        </c:ser>
        <c:ser>
          <c:idx val="10"/>
          <c:order val="10"/>
          <c:tx>
            <c:strRef>
              <c:f>'Mkt share'!$B$42</c:f>
              <c:strCache>
                <c:ptCount val="1"/>
                <c:pt idx="0">
                  <c:v>Drug 1</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share'!$C$42:$G$42</c:f>
              <c:numCache>
                <c:formatCode>0.00%</c:formatCode>
                <c:ptCount val="5"/>
                <c:pt idx="0">
                  <c:v>0.05</c:v>
                </c:pt>
                <c:pt idx="1">
                  <c:v>0.1</c:v>
                </c:pt>
                <c:pt idx="2">
                  <c:v>0.15</c:v>
                </c:pt>
                <c:pt idx="3">
                  <c:v>0.2</c:v>
                </c:pt>
                <c:pt idx="4">
                  <c:v>0.25</c:v>
                </c:pt>
              </c:numCache>
            </c:numRef>
          </c:val>
          <c:extLst>
            <c:ext xmlns:c16="http://schemas.microsoft.com/office/drawing/2014/chart" uri="{C3380CC4-5D6E-409C-BE32-E72D297353CC}">
              <c16:uniqueId val="{0000000A-B2A2-45C5-B30F-59938CBB4F9C}"/>
            </c:ext>
          </c:extLst>
        </c:ser>
        <c:ser>
          <c:idx val="11"/>
          <c:order val="11"/>
          <c:tx>
            <c:strRef>
              <c:f>'Mkt share'!$B$43</c:f>
              <c:strCache>
                <c:ptCount val="1"/>
                <c:pt idx="0">
                  <c:v>Drug 2</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share'!$C$43:$G$43</c:f>
              <c:numCache>
                <c:formatCode>0.00%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B-B2A2-45C5-B30F-59938CBB4F9C}"/>
            </c:ext>
          </c:extLst>
        </c:ser>
        <c:ser>
          <c:idx val="12"/>
          <c:order val="12"/>
          <c:tx>
            <c:strRef>
              <c:f>'Mkt share'!$B$44</c:f>
              <c:strCache>
                <c:ptCount val="1"/>
                <c:pt idx="0">
                  <c:v>Do not fill this line</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share'!$C$44:$G$44</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C-B2A2-45C5-B30F-59938CBB4F9C}"/>
            </c:ext>
          </c:extLst>
        </c:ser>
        <c:ser>
          <c:idx val="13"/>
          <c:order val="13"/>
          <c:tx>
            <c:strRef>
              <c:f>'Mkt share'!$B$45</c:f>
              <c:strCache>
                <c:ptCount val="1"/>
                <c:pt idx="0">
                  <c:v>Do not fill this line</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share'!$C$45:$G$45</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D-B2A2-45C5-B30F-59938CBB4F9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share'!$B$66</c:f>
              <c:strCache>
                <c:ptCount val="1"/>
                <c:pt idx="0">
                  <c:v>BSC</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share'!$C$66:$G$66</c:f>
              <c:numCache>
                <c:formatCode>0.00%</c:formatCode>
                <c:ptCount val="5"/>
                <c:pt idx="0">
                  <c:v>0.98</c:v>
                </c:pt>
                <c:pt idx="1">
                  <c:v>0.92</c:v>
                </c:pt>
                <c:pt idx="2">
                  <c:v>0.82</c:v>
                </c:pt>
                <c:pt idx="3">
                  <c:v>0.77</c:v>
                </c:pt>
                <c:pt idx="4">
                  <c:v>0.75</c:v>
                </c:pt>
              </c:numCache>
            </c:numRef>
          </c:val>
          <c:extLst>
            <c:ext xmlns:c16="http://schemas.microsoft.com/office/drawing/2014/chart" uri="{C3380CC4-5D6E-409C-BE32-E72D297353CC}">
              <c16:uniqueId val="{00000000-63CB-4CAC-9071-3ADDB7F8A0D1}"/>
            </c:ext>
          </c:extLst>
        </c:ser>
        <c:ser>
          <c:idx val="1"/>
          <c:order val="1"/>
          <c:tx>
            <c:strRef>
              <c:f>'Mkt share'!$B$67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share'!$C$67:$G$67</c:f>
              <c:numCache>
                <c:formatCode>0.00%</c:formatCode>
                <c:ptCount val="5"/>
              </c:numCache>
            </c:numRef>
          </c:val>
          <c:extLst>
            <c:ext xmlns:c16="http://schemas.microsoft.com/office/drawing/2014/chart" uri="{C3380CC4-5D6E-409C-BE32-E72D297353CC}">
              <c16:uniqueId val="{00000001-63CB-4CAC-9071-3ADDB7F8A0D1}"/>
            </c:ext>
          </c:extLst>
        </c:ser>
        <c:ser>
          <c:idx val="2"/>
          <c:order val="2"/>
          <c:tx>
            <c:strRef>
              <c:f>'Mkt share'!$B$68</c:f>
              <c:strCache>
                <c:ptCount val="1"/>
                <c:pt idx="0">
                  <c:v>Do not fill this line</c:v>
                </c:pt>
              </c:strCache>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share'!$C$68:$G$68</c:f>
              <c:numCache>
                <c:formatCode>0.00%</c:formatCode>
                <c:ptCount val="5"/>
              </c:numCache>
            </c:numRef>
          </c:val>
          <c:extLst>
            <c:ext xmlns:c16="http://schemas.microsoft.com/office/drawing/2014/chart" uri="{C3380CC4-5D6E-409C-BE32-E72D297353CC}">
              <c16:uniqueId val="{00000002-63CB-4CAC-9071-3ADDB7F8A0D1}"/>
            </c:ext>
          </c:extLst>
        </c:ser>
        <c:ser>
          <c:idx val="3"/>
          <c:order val="3"/>
          <c:tx>
            <c:strRef>
              <c:f>'Mkt share'!$B$69</c:f>
              <c:strCache>
                <c:ptCount val="1"/>
                <c:pt idx="0">
                  <c:v>Do not fill this line</c:v>
                </c:pt>
              </c:strCache>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share'!$C$69:$G$69</c:f>
              <c:numCache>
                <c:formatCode>0.00%</c:formatCode>
                <c:ptCount val="5"/>
              </c:numCache>
            </c:numRef>
          </c:val>
          <c:extLst>
            <c:ext xmlns:c16="http://schemas.microsoft.com/office/drawing/2014/chart" uri="{C3380CC4-5D6E-409C-BE32-E72D297353CC}">
              <c16:uniqueId val="{00000003-63CB-4CAC-9071-3ADDB7F8A0D1}"/>
            </c:ext>
          </c:extLst>
        </c:ser>
        <c:ser>
          <c:idx val="4"/>
          <c:order val="4"/>
          <c:tx>
            <c:strRef>
              <c:f>'Mkt share'!$B$70</c:f>
              <c:strCache>
                <c:ptCount val="1"/>
                <c:pt idx="0">
                  <c:v>Do not fill this line</c:v>
                </c:pt>
              </c:strCache>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share'!$C$70:$G$70</c:f>
              <c:numCache>
                <c:formatCode>0.00%</c:formatCode>
                <c:ptCount val="5"/>
              </c:numCache>
            </c:numRef>
          </c:val>
          <c:extLst>
            <c:ext xmlns:c16="http://schemas.microsoft.com/office/drawing/2014/chart" uri="{C3380CC4-5D6E-409C-BE32-E72D297353CC}">
              <c16:uniqueId val="{00000004-63CB-4CAC-9071-3ADDB7F8A0D1}"/>
            </c:ext>
          </c:extLst>
        </c:ser>
        <c:ser>
          <c:idx val="5"/>
          <c:order val="5"/>
          <c:tx>
            <c:strRef>
              <c:f>'Mkt share'!$B$71</c:f>
              <c:strCache>
                <c:ptCount val="1"/>
                <c:pt idx="0">
                  <c:v>Do not fill this line</c:v>
                </c:pt>
              </c:strCache>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share'!$C$71:$G$71</c:f>
              <c:numCache>
                <c:formatCode>0.00%</c:formatCode>
                <c:ptCount val="5"/>
              </c:numCache>
            </c:numRef>
          </c:val>
          <c:extLst>
            <c:ext xmlns:c16="http://schemas.microsoft.com/office/drawing/2014/chart" uri="{C3380CC4-5D6E-409C-BE32-E72D297353CC}">
              <c16:uniqueId val="{00000005-63CB-4CAC-9071-3ADDB7F8A0D1}"/>
            </c:ext>
          </c:extLst>
        </c:ser>
        <c:ser>
          <c:idx val="6"/>
          <c:order val="6"/>
          <c:tx>
            <c:strRef>
              <c:f>'Mkt share'!$B$72</c:f>
              <c:strCache>
                <c:ptCount val="1"/>
                <c:pt idx="0">
                  <c:v>Do not fill this line</c:v>
                </c:pt>
              </c:strCache>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share'!$C$72:$G$72</c:f>
              <c:numCache>
                <c:formatCode>0.00%</c:formatCode>
                <c:ptCount val="5"/>
              </c:numCache>
            </c:numRef>
          </c:val>
          <c:extLst>
            <c:ext xmlns:c16="http://schemas.microsoft.com/office/drawing/2014/chart" uri="{C3380CC4-5D6E-409C-BE32-E72D297353CC}">
              <c16:uniqueId val="{00000006-63CB-4CAC-9071-3ADDB7F8A0D1}"/>
            </c:ext>
          </c:extLst>
        </c:ser>
        <c:ser>
          <c:idx val="7"/>
          <c:order val="7"/>
          <c:tx>
            <c:strRef>
              <c:f>'Mkt share'!$B$73</c:f>
              <c:strCache>
                <c:ptCount val="1"/>
                <c:pt idx="0">
                  <c:v>Do not fill this line</c:v>
                </c:pt>
              </c:strCache>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share'!$C$73:$G$73</c:f>
              <c:numCache>
                <c:formatCode>0.00%</c:formatCode>
                <c:ptCount val="5"/>
              </c:numCache>
            </c:numRef>
          </c:val>
          <c:extLst>
            <c:ext xmlns:c16="http://schemas.microsoft.com/office/drawing/2014/chart" uri="{C3380CC4-5D6E-409C-BE32-E72D297353CC}">
              <c16:uniqueId val="{00000007-63CB-4CAC-9071-3ADDB7F8A0D1}"/>
            </c:ext>
          </c:extLst>
        </c:ser>
        <c:ser>
          <c:idx val="8"/>
          <c:order val="8"/>
          <c:tx>
            <c:strRef>
              <c:f>'Mkt share'!$B$74</c:f>
              <c:strCache>
                <c:ptCount val="1"/>
                <c:pt idx="0">
                  <c:v>Do not fill this line</c:v>
                </c:pt>
              </c:strCache>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share'!$C$74:$G$74</c:f>
              <c:numCache>
                <c:formatCode>0.00%</c:formatCode>
                <c:ptCount val="5"/>
              </c:numCache>
            </c:numRef>
          </c:val>
          <c:extLst>
            <c:ext xmlns:c16="http://schemas.microsoft.com/office/drawing/2014/chart" uri="{C3380CC4-5D6E-409C-BE32-E72D297353CC}">
              <c16:uniqueId val="{00000008-63CB-4CAC-9071-3ADDB7F8A0D1}"/>
            </c:ext>
          </c:extLst>
        </c:ser>
        <c:ser>
          <c:idx val="9"/>
          <c:order val="9"/>
          <c:tx>
            <c:strRef>
              <c:f>'Mkt share'!$B$75</c:f>
              <c:strCache>
                <c:ptCount val="1"/>
                <c:pt idx="0">
                  <c:v>Do not fill this line</c:v>
                </c:pt>
              </c:strCache>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share'!$C$75:$G$75</c:f>
              <c:numCache>
                <c:formatCode>0%</c:formatCode>
                <c:ptCount val="5"/>
              </c:numCache>
            </c:numRef>
          </c:val>
          <c:extLst>
            <c:ext xmlns:c16="http://schemas.microsoft.com/office/drawing/2014/chart" uri="{C3380CC4-5D6E-409C-BE32-E72D297353CC}">
              <c16:uniqueId val="{00000009-63CB-4CAC-9071-3ADDB7F8A0D1}"/>
            </c:ext>
          </c:extLst>
        </c:ser>
        <c:ser>
          <c:idx val="10"/>
          <c:order val="10"/>
          <c:tx>
            <c:strRef>
              <c:f>'Mkt share'!$B$62</c:f>
              <c:strCache>
                <c:ptCount val="1"/>
                <c:pt idx="0">
                  <c:v>Drug 1</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share'!$C$62:$G$62</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A-63CB-4CAC-9071-3ADDB7F8A0D1}"/>
            </c:ext>
          </c:extLst>
        </c:ser>
        <c:ser>
          <c:idx val="11"/>
          <c:order val="11"/>
          <c:tx>
            <c:strRef>
              <c:f>'Mkt share'!$B$63</c:f>
              <c:strCache>
                <c:ptCount val="1"/>
                <c:pt idx="0">
                  <c:v>Drug 2</c:v>
                </c:pt>
              </c:strCache>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share'!$C$63:$G$63</c:f>
              <c:numCache>
                <c:formatCode>0.00%</c:formatCode>
                <c:ptCount val="5"/>
                <c:pt idx="0">
                  <c:v>0.02</c:v>
                </c:pt>
                <c:pt idx="1">
                  <c:v>0.08</c:v>
                </c:pt>
                <c:pt idx="2">
                  <c:v>0.18</c:v>
                </c:pt>
                <c:pt idx="3">
                  <c:v>0.23</c:v>
                </c:pt>
                <c:pt idx="4">
                  <c:v>0.25</c:v>
                </c:pt>
              </c:numCache>
            </c:numRef>
          </c:val>
          <c:extLst>
            <c:ext xmlns:c16="http://schemas.microsoft.com/office/drawing/2014/chart" uri="{C3380CC4-5D6E-409C-BE32-E72D297353CC}">
              <c16:uniqueId val="{0000000B-63CB-4CAC-9071-3ADDB7F8A0D1}"/>
            </c:ext>
          </c:extLst>
        </c:ser>
        <c:ser>
          <c:idx val="12"/>
          <c:order val="12"/>
          <c:tx>
            <c:strRef>
              <c:f>'Mkt share'!$B$64</c:f>
              <c:strCache>
                <c:ptCount val="1"/>
                <c:pt idx="0">
                  <c:v>Do not fill this line</c:v>
                </c:pt>
              </c:strCache>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share'!$C$64:$G$64</c:f>
              <c:numCache>
                <c:formatCode>0.00%</c:formatCode>
                <c:ptCount val="5"/>
              </c:numCache>
            </c:numRef>
          </c:val>
          <c:extLst>
            <c:ext xmlns:c16="http://schemas.microsoft.com/office/drawing/2014/chart" uri="{C3380CC4-5D6E-409C-BE32-E72D297353CC}">
              <c16:uniqueId val="{0000000C-63CB-4CAC-9071-3ADDB7F8A0D1}"/>
            </c:ext>
          </c:extLst>
        </c:ser>
        <c:ser>
          <c:idx val="13"/>
          <c:order val="13"/>
          <c:tx>
            <c:strRef>
              <c:f>'Mkt share'!$B$65</c:f>
              <c:strCache>
                <c:ptCount val="1"/>
                <c:pt idx="0">
                  <c:v>Do not fill this line</c:v>
                </c:pt>
              </c:strCache>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share'!$C$65:$G$65</c:f>
              <c:numCache>
                <c:formatCode>0.00%</c:formatCode>
                <c:ptCount val="5"/>
              </c:numCache>
            </c:numRef>
          </c:val>
          <c:extLst>
            <c:ext xmlns:c16="http://schemas.microsoft.com/office/drawing/2014/chart" uri="{C3380CC4-5D6E-409C-BE32-E72D297353CC}">
              <c16:uniqueId val="{0000000D-63CB-4CAC-9071-3ADDB7F8A0D1}"/>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share'!$B$86</c:f>
              <c:strCache>
                <c:ptCount val="1"/>
                <c:pt idx="0">
                  <c:v>BSC</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share'!$C$86:$G$86</c:f>
              <c:numCache>
                <c:formatCode>0.00%</c:formatCode>
                <c:ptCount val="5"/>
                <c:pt idx="0">
                  <c:v>0.95</c:v>
                </c:pt>
                <c:pt idx="1">
                  <c:v>0.82</c:v>
                </c:pt>
                <c:pt idx="2">
                  <c:v>0.62</c:v>
                </c:pt>
                <c:pt idx="3">
                  <c:v>0.47</c:v>
                </c:pt>
                <c:pt idx="4">
                  <c:v>0.45</c:v>
                </c:pt>
              </c:numCache>
            </c:numRef>
          </c:val>
          <c:extLst>
            <c:ext xmlns:c16="http://schemas.microsoft.com/office/drawing/2014/chart" uri="{C3380CC4-5D6E-409C-BE32-E72D297353CC}">
              <c16:uniqueId val="{00000000-E4D7-4BF3-8AB4-FC739D798478}"/>
            </c:ext>
          </c:extLst>
        </c:ser>
        <c:ser>
          <c:idx val="1"/>
          <c:order val="1"/>
          <c:tx>
            <c:strRef>
              <c:f>'Mkt share'!$B$87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share'!$C$87:$G$87</c:f>
              <c:numCache>
                <c:formatCode>0%</c:formatCode>
                <c:ptCount val="5"/>
              </c:numCache>
            </c:numRef>
          </c:val>
          <c:extLst>
            <c:ext xmlns:c16="http://schemas.microsoft.com/office/drawing/2014/chart" uri="{C3380CC4-5D6E-409C-BE32-E72D297353CC}">
              <c16:uniqueId val="{00000001-E4D7-4BF3-8AB4-FC739D798478}"/>
            </c:ext>
          </c:extLst>
        </c:ser>
        <c:ser>
          <c:idx val="2"/>
          <c:order val="2"/>
          <c:tx>
            <c:strRef>
              <c:f>'Mkt share'!$B$88</c:f>
              <c:strCache>
                <c:ptCount val="1"/>
                <c:pt idx="0">
                  <c:v>Do not fill this line</c:v>
                </c:pt>
              </c:strCache>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share'!$C$88:$G$88</c:f>
              <c:numCache>
                <c:formatCode>0%</c:formatCode>
                <c:ptCount val="5"/>
              </c:numCache>
            </c:numRef>
          </c:val>
          <c:extLst>
            <c:ext xmlns:c16="http://schemas.microsoft.com/office/drawing/2014/chart" uri="{C3380CC4-5D6E-409C-BE32-E72D297353CC}">
              <c16:uniqueId val="{00000002-E4D7-4BF3-8AB4-FC739D798478}"/>
            </c:ext>
          </c:extLst>
        </c:ser>
        <c:ser>
          <c:idx val="3"/>
          <c:order val="3"/>
          <c:tx>
            <c:strRef>
              <c:f>'Mkt share'!$B$89</c:f>
              <c:strCache>
                <c:ptCount val="1"/>
                <c:pt idx="0">
                  <c:v>Do not fill this line</c:v>
                </c:pt>
              </c:strCache>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share'!$C$89:$G$89</c:f>
              <c:numCache>
                <c:formatCode>0%</c:formatCode>
                <c:ptCount val="5"/>
              </c:numCache>
            </c:numRef>
          </c:val>
          <c:extLst>
            <c:ext xmlns:c16="http://schemas.microsoft.com/office/drawing/2014/chart" uri="{C3380CC4-5D6E-409C-BE32-E72D297353CC}">
              <c16:uniqueId val="{00000003-E4D7-4BF3-8AB4-FC739D798478}"/>
            </c:ext>
          </c:extLst>
        </c:ser>
        <c:ser>
          <c:idx val="4"/>
          <c:order val="4"/>
          <c:tx>
            <c:strRef>
              <c:f>'Mkt share'!$B$90</c:f>
              <c:strCache>
                <c:ptCount val="1"/>
                <c:pt idx="0">
                  <c:v>Do not fill this line</c:v>
                </c:pt>
              </c:strCache>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share'!$C$90:$G$90</c:f>
              <c:numCache>
                <c:formatCode>0%</c:formatCode>
                <c:ptCount val="5"/>
              </c:numCache>
            </c:numRef>
          </c:val>
          <c:extLst>
            <c:ext xmlns:c16="http://schemas.microsoft.com/office/drawing/2014/chart" uri="{C3380CC4-5D6E-409C-BE32-E72D297353CC}">
              <c16:uniqueId val="{00000004-E4D7-4BF3-8AB4-FC739D798478}"/>
            </c:ext>
          </c:extLst>
        </c:ser>
        <c:ser>
          <c:idx val="5"/>
          <c:order val="5"/>
          <c:tx>
            <c:strRef>
              <c:f>'Mkt share'!$B$91</c:f>
              <c:strCache>
                <c:ptCount val="1"/>
                <c:pt idx="0">
                  <c:v>Do not fill this line</c:v>
                </c:pt>
              </c:strCache>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share'!$C$91:$G$91</c:f>
              <c:numCache>
                <c:formatCode>0%</c:formatCode>
                <c:ptCount val="5"/>
              </c:numCache>
            </c:numRef>
          </c:val>
          <c:extLst>
            <c:ext xmlns:c16="http://schemas.microsoft.com/office/drawing/2014/chart" uri="{C3380CC4-5D6E-409C-BE32-E72D297353CC}">
              <c16:uniqueId val="{00000005-E4D7-4BF3-8AB4-FC739D798478}"/>
            </c:ext>
          </c:extLst>
        </c:ser>
        <c:ser>
          <c:idx val="6"/>
          <c:order val="6"/>
          <c:tx>
            <c:strRef>
              <c:f>'Mkt share'!$B$92</c:f>
              <c:strCache>
                <c:ptCount val="1"/>
                <c:pt idx="0">
                  <c:v>Do not fill this line</c:v>
                </c:pt>
              </c:strCache>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share'!$C$92:$G$92</c:f>
              <c:numCache>
                <c:formatCode>0%</c:formatCode>
                <c:ptCount val="5"/>
              </c:numCache>
            </c:numRef>
          </c:val>
          <c:extLst>
            <c:ext xmlns:c16="http://schemas.microsoft.com/office/drawing/2014/chart" uri="{C3380CC4-5D6E-409C-BE32-E72D297353CC}">
              <c16:uniqueId val="{00000006-E4D7-4BF3-8AB4-FC739D798478}"/>
            </c:ext>
          </c:extLst>
        </c:ser>
        <c:ser>
          <c:idx val="7"/>
          <c:order val="7"/>
          <c:tx>
            <c:strRef>
              <c:f>'Mkt share'!$B$93</c:f>
              <c:strCache>
                <c:ptCount val="1"/>
                <c:pt idx="0">
                  <c:v>Do not fill this line</c:v>
                </c:pt>
              </c:strCache>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share'!$C$93:$G$93</c:f>
              <c:numCache>
                <c:formatCode>0%</c:formatCode>
                <c:ptCount val="5"/>
              </c:numCache>
            </c:numRef>
          </c:val>
          <c:extLst>
            <c:ext xmlns:c16="http://schemas.microsoft.com/office/drawing/2014/chart" uri="{C3380CC4-5D6E-409C-BE32-E72D297353CC}">
              <c16:uniqueId val="{00000007-E4D7-4BF3-8AB4-FC739D798478}"/>
            </c:ext>
          </c:extLst>
        </c:ser>
        <c:ser>
          <c:idx val="8"/>
          <c:order val="8"/>
          <c:tx>
            <c:strRef>
              <c:f>'Mkt share'!$B$94</c:f>
              <c:strCache>
                <c:ptCount val="1"/>
                <c:pt idx="0">
                  <c:v>Do not fill this line</c:v>
                </c:pt>
              </c:strCache>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share'!$C$94:$G$94</c:f>
              <c:numCache>
                <c:formatCode>0%</c:formatCode>
                <c:ptCount val="5"/>
              </c:numCache>
            </c:numRef>
          </c:val>
          <c:extLst>
            <c:ext xmlns:c16="http://schemas.microsoft.com/office/drawing/2014/chart" uri="{C3380CC4-5D6E-409C-BE32-E72D297353CC}">
              <c16:uniqueId val="{00000008-E4D7-4BF3-8AB4-FC739D798478}"/>
            </c:ext>
          </c:extLst>
        </c:ser>
        <c:ser>
          <c:idx val="9"/>
          <c:order val="9"/>
          <c:tx>
            <c:strRef>
              <c:f>'Mkt share'!$B$95</c:f>
              <c:strCache>
                <c:ptCount val="1"/>
                <c:pt idx="0">
                  <c:v>Do not fill this line</c:v>
                </c:pt>
              </c:strCache>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share'!$C$95:$G$95</c:f>
              <c:numCache>
                <c:formatCode>0%</c:formatCode>
                <c:ptCount val="5"/>
              </c:numCache>
            </c:numRef>
          </c:val>
          <c:extLst>
            <c:ext xmlns:c16="http://schemas.microsoft.com/office/drawing/2014/chart" uri="{C3380CC4-5D6E-409C-BE32-E72D297353CC}">
              <c16:uniqueId val="{00000009-E4D7-4BF3-8AB4-FC739D798478}"/>
            </c:ext>
          </c:extLst>
        </c:ser>
        <c:ser>
          <c:idx val="10"/>
          <c:order val="10"/>
          <c:tx>
            <c:strRef>
              <c:f>'Mkt share'!$B$82</c:f>
              <c:strCache>
                <c:ptCount val="1"/>
                <c:pt idx="0">
                  <c:v>Drug 1</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share'!$C$82:$G$82</c:f>
              <c:numCache>
                <c:formatCode>0.00%</c:formatCode>
                <c:ptCount val="5"/>
                <c:pt idx="0">
                  <c:v>0.03</c:v>
                </c:pt>
                <c:pt idx="1">
                  <c:v>0.1</c:v>
                </c:pt>
                <c:pt idx="2">
                  <c:v>0.2</c:v>
                </c:pt>
                <c:pt idx="3">
                  <c:v>0.3</c:v>
                </c:pt>
                <c:pt idx="4">
                  <c:v>0.3</c:v>
                </c:pt>
              </c:numCache>
            </c:numRef>
          </c:val>
          <c:extLst>
            <c:ext xmlns:c16="http://schemas.microsoft.com/office/drawing/2014/chart" uri="{C3380CC4-5D6E-409C-BE32-E72D297353CC}">
              <c16:uniqueId val="{0000000A-E4D7-4BF3-8AB4-FC739D798478}"/>
            </c:ext>
          </c:extLst>
        </c:ser>
        <c:ser>
          <c:idx val="11"/>
          <c:order val="11"/>
          <c:tx>
            <c:strRef>
              <c:f>'Mkt share'!$B$83</c:f>
              <c:strCache>
                <c:ptCount val="1"/>
                <c:pt idx="0">
                  <c:v>Drug 2</c:v>
                </c:pt>
              </c:strCache>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share'!$C$83:$G$83</c:f>
              <c:numCache>
                <c:formatCode>0.00%</c:formatCode>
                <c:ptCount val="5"/>
                <c:pt idx="0">
                  <c:v>0.02</c:v>
                </c:pt>
                <c:pt idx="1">
                  <c:v>0.08</c:v>
                </c:pt>
                <c:pt idx="2">
                  <c:v>0.18</c:v>
                </c:pt>
                <c:pt idx="3">
                  <c:v>0.23</c:v>
                </c:pt>
                <c:pt idx="4">
                  <c:v>0.25</c:v>
                </c:pt>
              </c:numCache>
            </c:numRef>
          </c:val>
          <c:extLst>
            <c:ext xmlns:c16="http://schemas.microsoft.com/office/drawing/2014/chart" uri="{C3380CC4-5D6E-409C-BE32-E72D297353CC}">
              <c16:uniqueId val="{0000000B-E4D7-4BF3-8AB4-FC739D798478}"/>
            </c:ext>
          </c:extLst>
        </c:ser>
        <c:ser>
          <c:idx val="12"/>
          <c:order val="12"/>
          <c:tx>
            <c:strRef>
              <c:f>'Mkt share'!$B$84</c:f>
              <c:strCache>
                <c:ptCount val="1"/>
                <c:pt idx="0">
                  <c:v>Do not fill this line</c:v>
                </c:pt>
              </c:strCache>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share'!$C$84:$G$84</c:f>
              <c:numCache>
                <c:formatCode>0%</c:formatCode>
                <c:ptCount val="5"/>
              </c:numCache>
            </c:numRef>
          </c:val>
          <c:extLst>
            <c:ext xmlns:c16="http://schemas.microsoft.com/office/drawing/2014/chart" uri="{C3380CC4-5D6E-409C-BE32-E72D297353CC}">
              <c16:uniqueId val="{0000000C-E4D7-4BF3-8AB4-FC739D798478}"/>
            </c:ext>
          </c:extLst>
        </c:ser>
        <c:ser>
          <c:idx val="13"/>
          <c:order val="13"/>
          <c:tx>
            <c:strRef>
              <c:f>'Mkt share'!$B$85</c:f>
              <c:strCache>
                <c:ptCount val="1"/>
                <c:pt idx="0">
                  <c:v>Do not fill this line</c:v>
                </c:pt>
              </c:strCache>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share'!$C$85:$G$85</c:f>
              <c:numCache>
                <c:formatCode>0%</c:formatCode>
                <c:ptCount val="5"/>
              </c:numCache>
            </c:numRef>
          </c:val>
          <c:extLst>
            <c:ext xmlns:c16="http://schemas.microsoft.com/office/drawing/2014/chart" uri="{C3380CC4-5D6E-409C-BE32-E72D297353CC}">
              <c16:uniqueId val="{0000000D-E4D7-4BF3-8AB4-FC739D798478}"/>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Observed demand</c:v>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1"/>
            <c:dispEq val="1"/>
            <c:trendlineLbl>
              <c:layout>
                <c:manualLayout>
                  <c:x val="-4.2528298800402674E-2"/>
                  <c:y val="0.32071991226797847"/>
                </c:manualLayout>
              </c:layout>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y = 69,5x - 139593</a:t>
                    </a:r>
                    <a:br>
                      <a:rPr lang="en-US"/>
                    </a:br>
                    <a:r>
                      <a:rPr lang="en-US"/>
                      <a:t>R² = 0,9022</a:t>
                    </a:r>
                  </a:p>
                </c:rich>
              </c:tx>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rendlineLbl>
          </c:trendline>
          <c:xVal>
            <c:numRef>
              <c:f>Population!$D$45:$H$45</c:f>
              <c:numCache>
                <c:formatCode>General</c:formatCode>
                <c:ptCount val="5"/>
                <c:pt idx="0">
                  <c:v>2010</c:v>
                </c:pt>
                <c:pt idx="1">
                  <c:v>2011</c:v>
                </c:pt>
                <c:pt idx="2">
                  <c:v>2012</c:v>
                </c:pt>
                <c:pt idx="3">
                  <c:v>2013</c:v>
                </c:pt>
                <c:pt idx="4">
                  <c:v>2014</c:v>
                </c:pt>
              </c:numCache>
            </c:numRef>
          </c:xVal>
          <c:yVal>
            <c:numRef>
              <c:f>Population!$D$53:$H$53</c:f>
              <c:numCache>
                <c:formatCode>General</c:formatCode>
                <c:ptCount val="5"/>
                <c:pt idx="0">
                  <c:v>245</c:v>
                </c:pt>
                <c:pt idx="1">
                  <c:v>256</c:v>
                </c:pt>
                <c:pt idx="2">
                  <c:v>258</c:v>
                </c:pt>
                <c:pt idx="3">
                  <c:v>272</c:v>
                </c:pt>
                <c:pt idx="4">
                  <c:v>283</c:v>
                </c:pt>
              </c:numCache>
            </c:numRef>
          </c:yVal>
          <c:smooth val="0"/>
          <c:extLst>
            <c:ext xmlns:c16="http://schemas.microsoft.com/office/drawing/2014/chart" uri="{C3380CC4-5D6E-409C-BE32-E72D297353CC}">
              <c16:uniqueId val="{00000001-6BFE-4C32-983D-C734D2B2B20D}"/>
            </c:ext>
          </c:extLst>
        </c:ser>
        <c:ser>
          <c:idx val="1"/>
          <c:order val="1"/>
          <c:tx>
            <c:v>Linear projection</c:v>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5"/>
                </a:solidFill>
                <a:prstDash val="sysDot"/>
              </a:ln>
              <a:effectLst/>
            </c:spPr>
            <c:trendlineType val="linear"/>
            <c:dispRSqr val="0"/>
            <c:dispEq val="0"/>
          </c:trendline>
          <c:xVal>
            <c:numRef>
              <c:f>Population!$D$59:$H$59</c:f>
              <c:numCache>
                <c:formatCode>General</c:formatCode>
                <c:ptCount val="5"/>
                <c:pt idx="0">
                  <c:v>2026</c:v>
                </c:pt>
                <c:pt idx="1">
                  <c:v>2027</c:v>
                </c:pt>
                <c:pt idx="2">
                  <c:v>2028</c:v>
                </c:pt>
                <c:pt idx="3">
                  <c:v>2029</c:v>
                </c:pt>
                <c:pt idx="4">
                  <c:v>2030</c:v>
                </c:pt>
              </c:numCache>
            </c:numRef>
          </c:xVal>
          <c:yVal>
            <c:numRef>
              <c:f>Population!$D$60:$H$60</c:f>
              <c:numCache>
                <c:formatCode>#,##0</c:formatCode>
                <c:ptCount val="5"/>
                <c:pt idx="0">
                  <c:v>416.03571428571377</c:v>
                </c:pt>
                <c:pt idx="1">
                  <c:v>426.92857142857247</c:v>
                </c:pt>
                <c:pt idx="2">
                  <c:v>437.82142857143117</c:v>
                </c:pt>
                <c:pt idx="3">
                  <c:v>448.71428571428623</c:v>
                </c:pt>
                <c:pt idx="4">
                  <c:v>459.60714285714494</c:v>
                </c:pt>
              </c:numCache>
            </c:numRef>
          </c:yVal>
          <c:smooth val="0"/>
          <c:extLst>
            <c:ext xmlns:c16="http://schemas.microsoft.com/office/drawing/2014/chart" uri="{C3380CC4-5D6E-409C-BE32-E72D297353CC}">
              <c16:uniqueId val="{00000003-6BFE-4C32-983D-C734D2B2B20D}"/>
            </c:ext>
          </c:extLst>
        </c:ser>
        <c:ser>
          <c:idx val="2"/>
          <c:order val="2"/>
          <c:tx>
            <c:v>Mean projection adjusted</c:v>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Population!$D$62:$H$62</c:f>
              <c:numCache>
                <c:formatCode>General</c:formatCode>
                <c:ptCount val="5"/>
                <c:pt idx="0">
                  <c:v>2026</c:v>
                </c:pt>
                <c:pt idx="1">
                  <c:v>2027</c:v>
                </c:pt>
                <c:pt idx="2">
                  <c:v>2028</c:v>
                </c:pt>
                <c:pt idx="3">
                  <c:v>2029</c:v>
                </c:pt>
                <c:pt idx="4">
                  <c:v>2030</c:v>
                </c:pt>
              </c:numCache>
            </c:numRef>
          </c:xVal>
          <c:yVal>
            <c:numRef>
              <c:f>Population!$D$64:$H$64</c:f>
              <c:numCache>
                <c:formatCode>#,##0</c:formatCode>
                <c:ptCount val="5"/>
                <c:pt idx="0">
                  <c:v>296.38285714285718</c:v>
                </c:pt>
                <c:pt idx="1">
                  <c:v>320.09348571428575</c:v>
                </c:pt>
                <c:pt idx="2">
                  <c:v>345.70096457142864</c:v>
                </c:pt>
                <c:pt idx="3">
                  <c:v>373.35704173714294</c:v>
                </c:pt>
                <c:pt idx="4">
                  <c:v>403.22560507611439</c:v>
                </c:pt>
              </c:numCache>
            </c:numRef>
          </c:yVal>
          <c:smooth val="0"/>
          <c:extLst>
            <c:ext xmlns:c16="http://schemas.microsoft.com/office/drawing/2014/chart" uri="{C3380CC4-5D6E-409C-BE32-E72D297353CC}">
              <c16:uniqueId val="{00000002-00D3-49D4-B830-22624C79BDD3}"/>
            </c:ext>
          </c:extLst>
        </c:ser>
        <c:dLbls>
          <c:dLblPos val="t"/>
          <c:showLegendKey val="0"/>
          <c:showVal val="1"/>
          <c:showCatName val="0"/>
          <c:showSerName val="0"/>
          <c:showPercent val="0"/>
          <c:showBubbleSize val="0"/>
        </c:dLbls>
        <c:axId val="1928177360"/>
        <c:axId val="1928179024"/>
      </c:scatterChart>
      <c:valAx>
        <c:axId val="192817736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Ano</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1928179024"/>
        <c:crosses val="autoZero"/>
        <c:crossBetween val="midCat"/>
      </c:valAx>
      <c:valAx>
        <c:axId val="1928179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N pacientes</a:t>
                </a:r>
              </a:p>
            </c:rich>
          </c:tx>
          <c:layout>
            <c:manualLayout>
              <c:xMode val="edge"/>
              <c:yMode val="edge"/>
              <c:x val="1.1855043620959717E-2"/>
              <c:y val="0.3643770049963263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1928177360"/>
        <c:crosses val="autoZero"/>
        <c:crossBetween val="midCat"/>
      </c:valAx>
      <c:spPr>
        <a:noFill/>
        <a:ln>
          <a:noFill/>
        </a:ln>
        <a:effectLst/>
      </c:spPr>
    </c:plotArea>
    <c:legend>
      <c:legendPos val="b"/>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Scenario 1 -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Results!$C$22</c:f>
              <c:strCache>
                <c:ptCount val="1"/>
                <c:pt idx="0">
                  <c:v>Reference scenario:</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Results!$D$22:$H$22</c:f>
              <c:numCache>
                <c:formatCode>_-[$$-409]* #,##0_ ;_-[$$-409]* \-#,##0\ ;_-[$$-409]* "-"??_ ;_-@_ </c:formatCode>
                <c:ptCount val="5"/>
                <c:pt idx="0">
                  <c:v>8174700.2145509999</c:v>
                </c:pt>
                <c:pt idx="1">
                  <c:v>15386109.045819752</c:v>
                </c:pt>
                <c:pt idx="2">
                  <c:v>22651801.248015001</c:v>
                </c:pt>
                <c:pt idx="3">
                  <c:v>29972283.956600249</c:v>
                </c:pt>
                <c:pt idx="4">
                  <c:v>37348728.764348254</c:v>
                </c:pt>
              </c:numCache>
            </c:numRef>
          </c:val>
          <c:extLst>
            <c:ext xmlns:c16="http://schemas.microsoft.com/office/drawing/2014/chart" uri="{C3380CC4-5D6E-409C-BE32-E72D297353CC}">
              <c16:uniqueId val="{00000000-0FBB-4103-88E2-36586A3E1CEE}"/>
            </c:ext>
          </c:extLst>
        </c:ser>
        <c:ser>
          <c:idx val="1"/>
          <c:order val="1"/>
          <c:tx>
            <c:strRef>
              <c:f>Results!$C$23</c:f>
              <c:strCache>
                <c:ptCount val="1"/>
                <c:pt idx="0">
                  <c:v>Alternative scenario 1:</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Results!$D$23:$H$23</c:f>
              <c:numCache>
                <c:formatCode>_-[$$-409]* #,##0_ ;_-[$$-409]* \-#,##0\ ;_-[$$-409]* "-"??_ ;_-@_ </c:formatCode>
                <c:ptCount val="5"/>
                <c:pt idx="0">
                  <c:v>9332885.4938172009</c:v>
                </c:pt>
                <c:pt idx="1">
                  <c:v>18803176.060058542</c:v>
                </c:pt>
                <c:pt idx="2">
                  <c:v>28037339.923410244</c:v>
                </c:pt>
                <c:pt idx="3">
                  <c:v>37028746.938061014</c:v>
                </c:pt>
                <c:pt idx="4">
                  <c:v>45773106.433956549</c:v>
                </c:pt>
              </c:numCache>
            </c:numRef>
          </c:val>
          <c:extLst>
            <c:ext xmlns:c16="http://schemas.microsoft.com/office/drawing/2014/chart" uri="{C3380CC4-5D6E-409C-BE32-E72D297353CC}">
              <c16:uniqueId val="{00000001-0FBB-4103-88E2-36586A3E1CEE}"/>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Results!$C$22</c:f>
              <c:strCache>
                <c:ptCount val="1"/>
                <c:pt idx="0">
                  <c:v>Reference scenario:</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Results!$D$22:$H$22</c:f>
              <c:numCache>
                <c:formatCode>_-[$$-409]* #,##0_ ;_-[$$-409]* \-#,##0\ ;_-[$$-409]* "-"??_ ;_-@_ </c:formatCode>
                <c:ptCount val="5"/>
                <c:pt idx="0">
                  <c:v>8174700.2145509999</c:v>
                </c:pt>
                <c:pt idx="1">
                  <c:v>15386109.045819752</c:v>
                </c:pt>
                <c:pt idx="2">
                  <c:v>22651801.248015001</c:v>
                </c:pt>
                <c:pt idx="3">
                  <c:v>29972283.956600249</c:v>
                </c:pt>
                <c:pt idx="4">
                  <c:v>37348728.764348254</c:v>
                </c:pt>
              </c:numCache>
            </c:numRef>
          </c:val>
          <c:extLst>
            <c:ext xmlns:c16="http://schemas.microsoft.com/office/drawing/2014/chart" uri="{C3380CC4-5D6E-409C-BE32-E72D297353CC}">
              <c16:uniqueId val="{00000000-3A11-4BD6-9635-A8EBE6582FE0}"/>
            </c:ext>
          </c:extLst>
        </c:ser>
        <c:ser>
          <c:idx val="1"/>
          <c:order val="1"/>
          <c:tx>
            <c:strRef>
              <c:f>Results!$C$24</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Results!$D$24:$H$24</c:f>
              <c:numCache>
                <c:formatCode>_-[$$-409]* #,##0_ ;_-[$$-409]* \-#,##0\ ;_-[$$-409]* "-"??_ ;_-@_ </c:formatCode>
                <c:ptCount val="5"/>
                <c:pt idx="0">
                  <c:v>1158185.279266201</c:v>
                </c:pt>
                <c:pt idx="1">
                  <c:v>3417067.0142387897</c:v>
                </c:pt>
                <c:pt idx="2">
                  <c:v>5385538.6753952429</c:v>
                </c:pt>
                <c:pt idx="3">
                  <c:v>7056462.981460765</c:v>
                </c:pt>
                <c:pt idx="4">
                  <c:v>8424377.669608295</c:v>
                </c:pt>
              </c:numCache>
            </c:numRef>
          </c:val>
          <c:extLst>
            <c:ext xmlns:c16="http://schemas.microsoft.com/office/drawing/2014/chart" uri="{C3380CC4-5D6E-409C-BE32-E72D297353CC}">
              <c16:uniqueId val="{00000001-3A11-4BD6-9635-A8EBE6582FE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Results!$C$31</c:f>
              <c:strCache>
                <c:ptCount val="1"/>
                <c:pt idx="0">
                  <c:v>Reference scenario:</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Results!$D$31:$H$31</c:f>
              <c:numCache>
                <c:formatCode>_-[$$-409]* #,##0_ ;_-[$$-409]* \-#,##0\ ;_-[$$-409]* "-"??_ ;_-@_ </c:formatCode>
                <c:ptCount val="5"/>
                <c:pt idx="0">
                  <c:v>6427969.3994760001</c:v>
                </c:pt>
                <c:pt idx="1">
                  <c:v>12906418.751901001</c:v>
                </c:pt>
                <c:pt idx="2">
                  <c:v>19433897.355390001</c:v>
                </c:pt>
                <c:pt idx="3">
                  <c:v>26010621.642519001</c:v>
                </c:pt>
                <c:pt idx="4">
                  <c:v>32637540.069417</c:v>
                </c:pt>
              </c:numCache>
            </c:numRef>
          </c:val>
          <c:extLst>
            <c:ext xmlns:c16="http://schemas.microsoft.com/office/drawing/2014/chart" uri="{C3380CC4-5D6E-409C-BE32-E72D297353CC}">
              <c16:uniqueId val="{00000000-7267-49E6-A717-062DFCB8311C}"/>
            </c:ext>
          </c:extLst>
        </c:ser>
        <c:ser>
          <c:idx val="1"/>
          <c:order val="1"/>
          <c:tx>
            <c:strRef>
              <c:f>Results!$C$32</c:f>
              <c:strCache>
                <c:ptCount val="1"/>
                <c:pt idx="0">
                  <c:v>Alternative scenario 1:</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Results!$D$32:$H$32</c:f>
              <c:numCache>
                <c:formatCode>_-[$$-409]* #,##0_ ;_-[$$-409]* \-#,##0\ ;_-[$$-409]* "-"??_ ;_-@_ </c:formatCode>
                <c:ptCount val="5"/>
                <c:pt idx="0">
                  <c:v>7586154.6787422001</c:v>
                </c:pt>
                <c:pt idx="1">
                  <c:v>16325186.259962702</c:v>
                </c:pt>
                <c:pt idx="2">
                  <c:v>24826284.236905351</c:v>
                </c:pt>
                <c:pt idx="3">
                  <c:v>33084300.349357054</c:v>
                </c:pt>
                <c:pt idx="4">
                  <c:v>41096519.842525057</c:v>
                </c:pt>
              </c:numCache>
            </c:numRef>
          </c:val>
          <c:extLst>
            <c:ext xmlns:c16="http://schemas.microsoft.com/office/drawing/2014/chart" uri="{C3380CC4-5D6E-409C-BE32-E72D297353CC}">
              <c16:uniqueId val="{00000001-7267-49E6-A717-062DFCB8311C}"/>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Results!$C$31</c:f>
              <c:strCache>
                <c:ptCount val="1"/>
                <c:pt idx="0">
                  <c:v>Reference scenario:</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Results!$D$31:$H$31</c:f>
              <c:numCache>
                <c:formatCode>_-[$$-409]* #,##0_ ;_-[$$-409]* \-#,##0\ ;_-[$$-409]* "-"??_ ;_-@_ </c:formatCode>
                <c:ptCount val="5"/>
                <c:pt idx="0">
                  <c:v>6427969.3994760001</c:v>
                </c:pt>
                <c:pt idx="1">
                  <c:v>12906418.751901001</c:v>
                </c:pt>
                <c:pt idx="2">
                  <c:v>19433897.355390001</c:v>
                </c:pt>
                <c:pt idx="3">
                  <c:v>26010621.642519001</c:v>
                </c:pt>
                <c:pt idx="4">
                  <c:v>32637540.069417</c:v>
                </c:pt>
              </c:numCache>
            </c:numRef>
          </c:val>
          <c:extLst>
            <c:ext xmlns:c16="http://schemas.microsoft.com/office/drawing/2014/chart" uri="{C3380CC4-5D6E-409C-BE32-E72D297353CC}">
              <c16:uniqueId val="{00000000-7C8C-486E-BD95-9A48DF038C59}"/>
            </c:ext>
          </c:extLst>
        </c:ser>
        <c:ser>
          <c:idx val="1"/>
          <c:order val="1"/>
          <c:tx>
            <c:strRef>
              <c:f>Results!$C$33</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Results!$D$33:$H$33</c:f>
              <c:numCache>
                <c:formatCode>_-[$$-409]* #,##0_ ;_-[$$-409]* \-#,##0\ ;_-[$$-409]* "-"??_ ;_-@_ </c:formatCode>
                <c:ptCount val="5"/>
                <c:pt idx="0">
                  <c:v>1158185.2792662</c:v>
                </c:pt>
                <c:pt idx="1">
                  <c:v>3418767.5080617014</c:v>
                </c:pt>
                <c:pt idx="2">
                  <c:v>5392386.8815153502</c:v>
                </c:pt>
                <c:pt idx="3">
                  <c:v>7073678.7068380527</c:v>
                </c:pt>
                <c:pt idx="4">
                  <c:v>8458979.7731080577</c:v>
                </c:pt>
              </c:numCache>
            </c:numRef>
          </c:val>
          <c:extLst>
            <c:ext xmlns:c16="http://schemas.microsoft.com/office/drawing/2014/chart" uri="{C3380CC4-5D6E-409C-BE32-E72D297353CC}">
              <c16:uniqueId val="{00000001-7C8C-486E-BD95-9A48DF038C59}"/>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Results!$C$48</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Results!$D$48:$H$48</c:f>
              <c:numCache>
                <c:formatCode>_-[$$-409]* #,##0_ ;_-[$$-409]* \-#,##0\ ;_-[$$-409]* "-"??_ ;_-@_ </c:formatCode>
                <c:ptCount val="5"/>
                <c:pt idx="0">
                  <c:v>8174700.2145509999</c:v>
                </c:pt>
                <c:pt idx="1">
                  <c:v>15386109.045819752</c:v>
                </c:pt>
                <c:pt idx="2">
                  <c:v>22651801.248015001</c:v>
                </c:pt>
                <c:pt idx="3">
                  <c:v>29972283.956600249</c:v>
                </c:pt>
                <c:pt idx="4">
                  <c:v>37348728.764348254</c:v>
                </c:pt>
              </c:numCache>
            </c:numRef>
          </c:val>
          <c:extLst>
            <c:ext xmlns:c16="http://schemas.microsoft.com/office/drawing/2014/chart" uri="{C3380CC4-5D6E-409C-BE32-E72D297353CC}">
              <c16:uniqueId val="{00000000-72A1-4148-B260-0F923B113940}"/>
            </c:ext>
          </c:extLst>
        </c:ser>
        <c:ser>
          <c:idx val="1"/>
          <c:order val="1"/>
          <c:tx>
            <c:strRef>
              <c:f>Results!$C$49</c:f>
              <c:strCache>
                <c:ptCount val="1"/>
                <c:pt idx="0">
                  <c:v>Alternative scenario 2:</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Results!$D$49:$H$49</c:f>
              <c:numCache>
                <c:formatCode>_-[$$-409]* #,##0_ ;_-[$$-409]* \-#,##0\ ;_-[$$-409]* "-"??_ ;_-@_ </c:formatCode>
                <c:ptCount val="5"/>
                <c:pt idx="0">
                  <c:v>8464890.4272954594</c:v>
                </c:pt>
                <c:pt idx="1">
                  <c:v>16834843.523279484</c:v>
                </c:pt>
                <c:pt idx="2">
                  <c:v>26698393.639541358</c:v>
                </c:pt>
                <c:pt idx="3">
                  <c:v>37277860.49891749</c:v>
                </c:pt>
                <c:pt idx="4">
                  <c:v>48104107.085258774</c:v>
                </c:pt>
              </c:numCache>
            </c:numRef>
          </c:val>
          <c:extLst>
            <c:ext xmlns:c16="http://schemas.microsoft.com/office/drawing/2014/chart" uri="{C3380CC4-5D6E-409C-BE32-E72D297353CC}">
              <c16:uniqueId val="{00000001-72A1-4148-B260-0F923B113940}"/>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Results!$C$48</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Results!$D$48:$H$48</c:f>
              <c:numCache>
                <c:formatCode>_-[$$-409]* #,##0_ ;_-[$$-409]* \-#,##0\ ;_-[$$-409]* "-"??_ ;_-@_ </c:formatCode>
                <c:ptCount val="5"/>
                <c:pt idx="0">
                  <c:v>8174700.2145509999</c:v>
                </c:pt>
                <c:pt idx="1">
                  <c:v>15386109.045819752</c:v>
                </c:pt>
                <c:pt idx="2">
                  <c:v>22651801.248015001</c:v>
                </c:pt>
                <c:pt idx="3">
                  <c:v>29972283.956600249</c:v>
                </c:pt>
                <c:pt idx="4">
                  <c:v>37348728.764348254</c:v>
                </c:pt>
              </c:numCache>
            </c:numRef>
          </c:val>
          <c:extLst>
            <c:ext xmlns:c16="http://schemas.microsoft.com/office/drawing/2014/chart" uri="{C3380CC4-5D6E-409C-BE32-E72D297353CC}">
              <c16:uniqueId val="{00000000-534A-4A84-8B19-8FCB193368F3}"/>
            </c:ext>
          </c:extLst>
        </c:ser>
        <c:ser>
          <c:idx val="1"/>
          <c:order val="1"/>
          <c:tx>
            <c:strRef>
              <c:f>Results!$C$50</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Results!$D$50:$H$50</c:f>
              <c:numCache>
                <c:formatCode>_-[$$-409]* #,##0_ ;_-[$$-409]* \-#,##0\ ;_-[$$-409]* "-"??_ ;_-@_ </c:formatCode>
                <c:ptCount val="5"/>
                <c:pt idx="0">
                  <c:v>290190.21274445951</c:v>
                </c:pt>
                <c:pt idx="1">
                  <c:v>1448734.4774597324</c:v>
                </c:pt>
                <c:pt idx="2">
                  <c:v>4046592.3915263563</c:v>
                </c:pt>
                <c:pt idx="3">
                  <c:v>7305576.5423172414</c:v>
                </c:pt>
                <c:pt idx="4">
                  <c:v>10755378.320910521</c:v>
                </c:pt>
              </c:numCache>
            </c:numRef>
          </c:val>
          <c:extLst>
            <c:ext xmlns:c16="http://schemas.microsoft.com/office/drawing/2014/chart" uri="{C3380CC4-5D6E-409C-BE32-E72D297353CC}">
              <c16:uniqueId val="{00000001-534A-4A84-8B19-8FCB193368F3}"/>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Results!$C$57</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Results!$D$57:$H$57</c:f>
              <c:numCache>
                <c:formatCode>_-[$$-409]* #,##0_ ;_-[$$-409]* \-#,##0\ ;_-[$$-409]* "-"??_ ;_-@_ </c:formatCode>
                <c:ptCount val="5"/>
                <c:pt idx="0">
                  <c:v>6427969.3994760001</c:v>
                </c:pt>
                <c:pt idx="1">
                  <c:v>12906418.751901001</c:v>
                </c:pt>
                <c:pt idx="2">
                  <c:v>19433897.355390001</c:v>
                </c:pt>
                <c:pt idx="3">
                  <c:v>26010621.642519001</c:v>
                </c:pt>
                <c:pt idx="4">
                  <c:v>32637540.069417</c:v>
                </c:pt>
              </c:numCache>
            </c:numRef>
          </c:val>
          <c:extLst>
            <c:ext xmlns:c16="http://schemas.microsoft.com/office/drawing/2014/chart" uri="{C3380CC4-5D6E-409C-BE32-E72D297353CC}">
              <c16:uniqueId val="{00000000-ECB1-4FA9-9A97-05A3659426B6}"/>
            </c:ext>
          </c:extLst>
        </c:ser>
        <c:ser>
          <c:idx val="1"/>
          <c:order val="1"/>
          <c:tx>
            <c:strRef>
              <c:f>Results!$C$58</c:f>
              <c:strCache>
                <c:ptCount val="1"/>
                <c:pt idx="0">
                  <c:v>Alternative scenario 2:</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Results!$D$58:$H$58</c:f>
              <c:numCache>
                <c:formatCode>_-[$$-409]* #,##0_ ;_-[$$-409]* \-#,##0\ ;_-[$$-409]* "-"??_ ;_-@_ </c:formatCode>
                <c:ptCount val="5"/>
                <c:pt idx="0">
                  <c:v>6718159.6122204605</c:v>
                </c:pt>
                <c:pt idx="1">
                  <c:v>14355425.308372401</c:v>
                </c:pt>
                <c:pt idx="2">
                  <c:v>23482138.576634306</c:v>
                </c:pt>
                <c:pt idx="3">
                  <c:v>33322013.943995312</c:v>
                </c:pt>
                <c:pt idx="4">
                  <c:v>43406998.548172072</c:v>
                </c:pt>
              </c:numCache>
            </c:numRef>
          </c:val>
          <c:extLst>
            <c:ext xmlns:c16="http://schemas.microsoft.com/office/drawing/2014/chart" uri="{C3380CC4-5D6E-409C-BE32-E72D297353CC}">
              <c16:uniqueId val="{00000001-ECB1-4FA9-9A97-05A3659426B6}"/>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Results!$C$57</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Results!$D$57:$H$57</c:f>
              <c:numCache>
                <c:formatCode>_-[$$-409]* #,##0_ ;_-[$$-409]* \-#,##0\ ;_-[$$-409]* "-"??_ ;_-@_ </c:formatCode>
                <c:ptCount val="5"/>
                <c:pt idx="0">
                  <c:v>6427969.3994760001</c:v>
                </c:pt>
                <c:pt idx="1">
                  <c:v>12906418.751901001</c:v>
                </c:pt>
                <c:pt idx="2">
                  <c:v>19433897.355390001</c:v>
                </c:pt>
                <c:pt idx="3">
                  <c:v>26010621.642519001</c:v>
                </c:pt>
                <c:pt idx="4">
                  <c:v>32637540.069417</c:v>
                </c:pt>
              </c:numCache>
            </c:numRef>
          </c:val>
          <c:extLst>
            <c:ext xmlns:c16="http://schemas.microsoft.com/office/drawing/2014/chart" uri="{C3380CC4-5D6E-409C-BE32-E72D297353CC}">
              <c16:uniqueId val="{00000000-D817-4E2E-A5B1-5E088628247E}"/>
            </c:ext>
          </c:extLst>
        </c:ser>
        <c:ser>
          <c:idx val="1"/>
          <c:order val="1"/>
          <c:tx>
            <c:strRef>
              <c:f>Results!$C$59</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Results!$D$59:$H$59</c:f>
              <c:numCache>
                <c:formatCode>_-[$$-409]* #,##0_ ;_-[$$-409]* \-#,##0\ ;_-[$$-409]* "-"??_ ;_-@_ </c:formatCode>
                <c:ptCount val="5"/>
                <c:pt idx="0">
                  <c:v>290190.21274446044</c:v>
                </c:pt>
                <c:pt idx="1">
                  <c:v>1449006.5564714</c:v>
                </c:pt>
                <c:pt idx="2">
                  <c:v>4048241.2212443054</c:v>
                </c:pt>
                <c:pt idx="3">
                  <c:v>7311392.3014763109</c:v>
                </c:pt>
                <c:pt idx="4">
                  <c:v>10769458.478755072</c:v>
                </c:pt>
              </c:numCache>
            </c:numRef>
          </c:val>
          <c:extLst>
            <c:ext xmlns:c16="http://schemas.microsoft.com/office/drawing/2014/chart" uri="{C3380CC4-5D6E-409C-BE32-E72D297353CC}">
              <c16:uniqueId val="{00000001-D817-4E2E-A5B1-5E088628247E}"/>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Results!$C$73</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Results!$D$73:$H$73</c:f>
              <c:numCache>
                <c:formatCode>_-[$$-409]* #,##0_ ;_-[$$-409]* \-#,##0\ ;_-[$$-409]* "-"??_ ;_-@_ </c:formatCode>
                <c:ptCount val="5"/>
                <c:pt idx="0">
                  <c:v>8174700.2145509999</c:v>
                </c:pt>
                <c:pt idx="1">
                  <c:v>15386109.045819752</c:v>
                </c:pt>
                <c:pt idx="2">
                  <c:v>22651801.248015001</c:v>
                </c:pt>
                <c:pt idx="3">
                  <c:v>29972283.956600249</c:v>
                </c:pt>
                <c:pt idx="4">
                  <c:v>37348728.764348254</c:v>
                </c:pt>
              </c:numCache>
            </c:numRef>
          </c:val>
          <c:extLst>
            <c:ext xmlns:c16="http://schemas.microsoft.com/office/drawing/2014/chart" uri="{C3380CC4-5D6E-409C-BE32-E72D297353CC}">
              <c16:uniqueId val="{00000000-3DC5-43F7-9D12-A0ACE979D0FF}"/>
            </c:ext>
          </c:extLst>
        </c:ser>
        <c:ser>
          <c:idx val="1"/>
          <c:order val="1"/>
          <c:tx>
            <c:strRef>
              <c:f>Results!$C$74</c:f>
              <c:strCache>
                <c:ptCount val="1"/>
                <c:pt idx="0">
                  <c:v>Alternative scenario 3:</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Results!$D$74:$H$74</c:f>
              <c:numCache>
                <c:formatCode>_-[$$-409]* #,##0_ ;_-[$$-409]* \-#,##0\ ;_-[$$-409]* "-"??_ ;_-@_ </c:formatCode>
                <c:ptCount val="5"/>
                <c:pt idx="0">
                  <c:v>9159801.59485518</c:v>
                </c:pt>
                <c:pt idx="1">
                  <c:v>19818908.298325758</c:v>
                </c:pt>
                <c:pt idx="2">
                  <c:v>33389974.657834232</c:v>
                </c:pt>
                <c:pt idx="3">
                  <c:v>47934178.157782525</c:v>
                </c:pt>
                <c:pt idx="4">
                  <c:v>59739086.177095048</c:v>
                </c:pt>
              </c:numCache>
            </c:numRef>
          </c:val>
          <c:extLst>
            <c:ext xmlns:c16="http://schemas.microsoft.com/office/drawing/2014/chart" uri="{C3380CC4-5D6E-409C-BE32-E72D297353CC}">
              <c16:uniqueId val="{00000001-3DC5-43F7-9D12-A0ACE979D0FF}"/>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Results!$C$73</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Results!$D$73:$H$73</c:f>
              <c:numCache>
                <c:formatCode>_-[$$-409]* #,##0_ ;_-[$$-409]* \-#,##0\ ;_-[$$-409]* "-"??_ ;_-@_ </c:formatCode>
                <c:ptCount val="5"/>
                <c:pt idx="0">
                  <c:v>8174700.2145509999</c:v>
                </c:pt>
                <c:pt idx="1">
                  <c:v>15386109.045819752</c:v>
                </c:pt>
                <c:pt idx="2">
                  <c:v>22651801.248015001</c:v>
                </c:pt>
                <c:pt idx="3">
                  <c:v>29972283.956600249</c:v>
                </c:pt>
                <c:pt idx="4">
                  <c:v>37348728.764348254</c:v>
                </c:pt>
              </c:numCache>
            </c:numRef>
          </c:val>
          <c:extLst>
            <c:ext xmlns:c16="http://schemas.microsoft.com/office/drawing/2014/chart" uri="{C3380CC4-5D6E-409C-BE32-E72D297353CC}">
              <c16:uniqueId val="{00000000-66F2-4FDA-893E-6DA2B75AB790}"/>
            </c:ext>
          </c:extLst>
        </c:ser>
        <c:ser>
          <c:idx val="1"/>
          <c:order val="1"/>
          <c:tx>
            <c:strRef>
              <c:f>Results!$C$75</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Results!$D$75:$H$75</c:f>
              <c:numCache>
                <c:formatCode>_-[$$-409]* #,##0_ ;_-[$$-409]* \-#,##0\ ;_-[$$-409]* "-"??_ ;_-@_ </c:formatCode>
                <c:ptCount val="5"/>
                <c:pt idx="0">
                  <c:v>985101.38030418009</c:v>
                </c:pt>
                <c:pt idx="1">
                  <c:v>4432799.2525060065</c:v>
                </c:pt>
                <c:pt idx="2">
                  <c:v>10738173.40981923</c:v>
                </c:pt>
                <c:pt idx="3">
                  <c:v>17961894.201182276</c:v>
                </c:pt>
                <c:pt idx="4">
                  <c:v>22390357.412746795</c:v>
                </c:pt>
              </c:numCache>
            </c:numRef>
          </c:val>
          <c:extLst>
            <c:ext xmlns:c16="http://schemas.microsoft.com/office/drawing/2014/chart" uri="{C3380CC4-5D6E-409C-BE32-E72D297353CC}">
              <c16:uniqueId val="{00000001-66F2-4FDA-893E-6DA2B75AB79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Results!$C$82</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Results!$D$82:$H$82</c:f>
              <c:numCache>
                <c:formatCode>_-[$$-409]* #,##0_ ;_-[$$-409]* \-#,##0\ ;_-[$$-409]* "-"??_ ;_-@_ </c:formatCode>
                <c:ptCount val="5"/>
                <c:pt idx="0">
                  <c:v>6427969.3994760001</c:v>
                </c:pt>
                <c:pt idx="1">
                  <c:v>12906418.751901001</c:v>
                </c:pt>
                <c:pt idx="2">
                  <c:v>19433897.355390001</c:v>
                </c:pt>
                <c:pt idx="3">
                  <c:v>26010621.642519001</c:v>
                </c:pt>
                <c:pt idx="4">
                  <c:v>32637540.069417</c:v>
                </c:pt>
              </c:numCache>
            </c:numRef>
          </c:val>
          <c:extLst>
            <c:ext xmlns:c16="http://schemas.microsoft.com/office/drawing/2014/chart" uri="{C3380CC4-5D6E-409C-BE32-E72D297353CC}">
              <c16:uniqueId val="{00000000-585F-4E35-A576-AE15D18DCB8A}"/>
            </c:ext>
          </c:extLst>
        </c:ser>
        <c:ser>
          <c:idx val="1"/>
          <c:order val="1"/>
          <c:tx>
            <c:strRef>
              <c:f>Results!$C$83</c:f>
              <c:strCache>
                <c:ptCount val="1"/>
                <c:pt idx="0">
                  <c:v>Alternative scenario 3:</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Results!$D$83:$H$83</c:f>
              <c:numCache>
                <c:formatCode>_-[$$-409]* #,##0_ ;_-[$$-409]* \-#,##0\ ;_-[$$-409]* "-"??_ ;_-@_ </c:formatCode>
                <c:ptCount val="5"/>
                <c:pt idx="0">
                  <c:v>7413070.7797801802</c:v>
                </c:pt>
                <c:pt idx="1">
                  <c:v>17340510.379712421</c:v>
                </c:pt>
                <c:pt idx="2">
                  <c:v>30179199.597074728</c:v>
                </c:pt>
                <c:pt idx="3">
                  <c:v>43995217.936410032</c:v>
                </c:pt>
                <c:pt idx="4">
                  <c:v>55080788.681006394</c:v>
                </c:pt>
              </c:numCache>
            </c:numRef>
          </c:val>
          <c:extLst>
            <c:ext xmlns:c16="http://schemas.microsoft.com/office/drawing/2014/chart" uri="{C3380CC4-5D6E-409C-BE32-E72D297353CC}">
              <c16:uniqueId val="{00000001-585F-4E35-A576-AE15D18DCB8A}"/>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Results!$C$82</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Results!$D$82:$H$82</c:f>
              <c:numCache>
                <c:formatCode>_-[$$-409]* #,##0_ ;_-[$$-409]* \-#,##0\ ;_-[$$-409]* "-"??_ ;_-@_ </c:formatCode>
                <c:ptCount val="5"/>
                <c:pt idx="0">
                  <c:v>6427969.3994760001</c:v>
                </c:pt>
                <c:pt idx="1">
                  <c:v>12906418.751901001</c:v>
                </c:pt>
                <c:pt idx="2">
                  <c:v>19433897.355390001</c:v>
                </c:pt>
                <c:pt idx="3">
                  <c:v>26010621.642519001</c:v>
                </c:pt>
                <c:pt idx="4">
                  <c:v>32637540.069417</c:v>
                </c:pt>
              </c:numCache>
            </c:numRef>
          </c:val>
          <c:extLst>
            <c:ext xmlns:c16="http://schemas.microsoft.com/office/drawing/2014/chart" uri="{C3380CC4-5D6E-409C-BE32-E72D297353CC}">
              <c16:uniqueId val="{00000000-B373-489F-95B4-A51104BE228F}"/>
            </c:ext>
          </c:extLst>
        </c:ser>
        <c:ser>
          <c:idx val="1"/>
          <c:order val="1"/>
          <c:tx>
            <c:strRef>
              <c:f>Results!$C$84</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Results!$D$84:$H$84</c:f>
              <c:numCache>
                <c:formatCode>_-[$$-409]* #,##0_ ;_-[$$-409]* \-#,##0\ ;_-[$$-409]* "-"??_ ;_-@_ </c:formatCode>
                <c:ptCount val="5"/>
                <c:pt idx="0">
                  <c:v>985101.38030418009</c:v>
                </c:pt>
                <c:pt idx="1">
                  <c:v>4434091.6278114207</c:v>
                </c:pt>
                <c:pt idx="2">
                  <c:v>10745302.241684727</c:v>
                </c:pt>
                <c:pt idx="3">
                  <c:v>17984596.293891031</c:v>
                </c:pt>
                <c:pt idx="4">
                  <c:v>22443248.611589395</c:v>
                </c:pt>
              </c:numCache>
            </c:numRef>
          </c:val>
          <c:extLst>
            <c:ext xmlns:c16="http://schemas.microsoft.com/office/drawing/2014/chart" uri="{C3380CC4-5D6E-409C-BE32-E72D297353CC}">
              <c16:uniqueId val="{00000001-B373-489F-95B4-A51104BE228F}"/>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Lower limit</c:v>
          </c:tx>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DSA!$H$113:$H$123</c:f>
              <c:strCache>
                <c:ptCount val="11"/>
                <c:pt idx="0">
                  <c:v>Additional costs </c:v>
                </c:pt>
                <c:pt idx="1">
                  <c:v>Additional costs </c:v>
                </c:pt>
                <c:pt idx="2">
                  <c:v>Additional costs </c:v>
                </c:pt>
                <c:pt idx="3">
                  <c:v>Initial general costs</c:v>
                </c:pt>
                <c:pt idx="4">
                  <c:v>Monthly costs during treatment</c:v>
                </c:pt>
                <c:pt idx="5">
                  <c:v>Monthly costs after treatment</c:v>
                </c:pt>
                <c:pt idx="6">
                  <c:v>Treatment costs BSC</c:v>
                </c:pt>
                <c:pt idx="7">
                  <c:v>Advanced disease</c:v>
                </c:pt>
                <c:pt idx="8">
                  <c:v>X mutation</c:v>
                </c:pt>
                <c:pt idx="9">
                  <c:v>Incidence of cancer</c:v>
                </c:pt>
                <c:pt idx="10">
                  <c:v>Treatment costs Drug 1</c:v>
                </c:pt>
              </c:strCache>
            </c:strRef>
          </c:cat>
          <c:val>
            <c:numRef>
              <c:f>DSA!$I$113:$I$123</c:f>
              <c:numCache>
                <c:formatCode>_-[$$-409]* #,##0_ ;_-[$$-409]* \-#,##0\ ;_-[$$-409]* "-"??_ ;_-@_ </c:formatCode>
                <c:ptCount val="11"/>
                <c:pt idx="0">
                  <c:v>25501998.148789361</c:v>
                </c:pt>
                <c:pt idx="1">
                  <c:v>25501998.148789361</c:v>
                </c:pt>
                <c:pt idx="2">
                  <c:v>25501998.148789361</c:v>
                </c:pt>
                <c:pt idx="3">
                  <c:v>25501998.148789361</c:v>
                </c:pt>
                <c:pt idx="4">
                  <c:v>25501998.148789361</c:v>
                </c:pt>
                <c:pt idx="5">
                  <c:v>25501998.148789361</c:v>
                </c:pt>
                <c:pt idx="6">
                  <c:v>27786629.505586375</c:v>
                </c:pt>
                <c:pt idx="7">
                  <c:v>20401598.519031484</c:v>
                </c:pt>
                <c:pt idx="8">
                  <c:v>20401598.519031484</c:v>
                </c:pt>
                <c:pt idx="9">
                  <c:v>20401598.519031484</c:v>
                </c:pt>
                <c:pt idx="10">
                  <c:v>18116967.162234463</c:v>
                </c:pt>
              </c:numCache>
            </c:numRef>
          </c:val>
          <c:extLst>
            <c:ext xmlns:c16="http://schemas.microsoft.com/office/drawing/2014/chart" uri="{C3380CC4-5D6E-409C-BE32-E72D297353CC}">
              <c16:uniqueId val="{00000000-6F69-4E23-A2D7-088A9738F2A7}"/>
            </c:ext>
          </c:extLst>
        </c:ser>
        <c:ser>
          <c:idx val="0"/>
          <c:order val="1"/>
          <c:tx>
            <c:v>Upper limit</c:v>
          </c:tx>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DSA!$H$113:$H$123</c:f>
              <c:strCache>
                <c:ptCount val="11"/>
                <c:pt idx="0">
                  <c:v>Additional costs </c:v>
                </c:pt>
                <c:pt idx="1">
                  <c:v>Additional costs </c:v>
                </c:pt>
                <c:pt idx="2">
                  <c:v>Additional costs </c:v>
                </c:pt>
                <c:pt idx="3">
                  <c:v>Initial general costs</c:v>
                </c:pt>
                <c:pt idx="4">
                  <c:v>Monthly costs during treatment</c:v>
                </c:pt>
                <c:pt idx="5">
                  <c:v>Monthly costs after treatment</c:v>
                </c:pt>
                <c:pt idx="6">
                  <c:v>Treatment costs BSC</c:v>
                </c:pt>
                <c:pt idx="7">
                  <c:v>Advanced disease</c:v>
                </c:pt>
                <c:pt idx="8">
                  <c:v>X mutation</c:v>
                </c:pt>
                <c:pt idx="9">
                  <c:v>Incidence of cancer</c:v>
                </c:pt>
                <c:pt idx="10">
                  <c:v>Treatment costs Drug 1</c:v>
                </c:pt>
              </c:strCache>
            </c:strRef>
          </c:cat>
          <c:val>
            <c:numRef>
              <c:f>DSA!$J$113:$J$123</c:f>
              <c:numCache>
                <c:formatCode>_-[$$-409]* #,##0_ ;_-[$$-409]* \-#,##0\ ;_-[$$-409]* "-"??_ ;_-@_ </c:formatCode>
                <c:ptCount val="11"/>
                <c:pt idx="0">
                  <c:v>25501998.148789361</c:v>
                </c:pt>
                <c:pt idx="1">
                  <c:v>25501998.148789361</c:v>
                </c:pt>
                <c:pt idx="2">
                  <c:v>25501998.148789361</c:v>
                </c:pt>
                <c:pt idx="3">
                  <c:v>25501998.148789361</c:v>
                </c:pt>
                <c:pt idx="4">
                  <c:v>25501998.148789361</c:v>
                </c:pt>
                <c:pt idx="5">
                  <c:v>25501998.148789361</c:v>
                </c:pt>
                <c:pt idx="6">
                  <c:v>23217366.791992329</c:v>
                </c:pt>
                <c:pt idx="7">
                  <c:v>30602397.778547227</c:v>
                </c:pt>
                <c:pt idx="8">
                  <c:v>30602397.778547227</c:v>
                </c:pt>
                <c:pt idx="9">
                  <c:v>30602397.778547235</c:v>
                </c:pt>
                <c:pt idx="10">
                  <c:v>32887029.135344271</c:v>
                </c:pt>
              </c:numCache>
            </c:numRef>
          </c:val>
          <c:extLst>
            <c:ext xmlns:c16="http://schemas.microsoft.com/office/drawing/2014/chart" uri="{C3380CC4-5D6E-409C-BE32-E72D297353CC}">
              <c16:uniqueId val="{00000001-6F69-4E23-A2D7-088A9738F2A7}"/>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25501998.148789361"/>
        <c:auto val="1"/>
        <c:lblAlgn val="ctr"/>
        <c:lblOffset val="100"/>
        <c:noMultiLvlLbl val="0"/>
      </c:catAx>
      <c:valAx>
        <c:axId val="100990272"/>
        <c:scaling>
          <c:orientation val="minMax"/>
          <c:max val="39464434.962413125"/>
          <c:min val="14493573.729787571"/>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Lower limit</c:v>
          </c:tx>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DSA!$B$113:$B$123</c:f>
              <c:strCache>
                <c:ptCount val="11"/>
                <c:pt idx="0">
                  <c:v>Additional costs </c:v>
                </c:pt>
                <c:pt idx="1">
                  <c:v>Additional costs </c:v>
                </c:pt>
                <c:pt idx="2">
                  <c:v>Additional costs </c:v>
                </c:pt>
                <c:pt idx="3">
                  <c:v>Initial general costs</c:v>
                </c:pt>
                <c:pt idx="4">
                  <c:v>Monthly costs after treatment</c:v>
                </c:pt>
                <c:pt idx="5">
                  <c:v>Monthly costs during treatment</c:v>
                </c:pt>
                <c:pt idx="6">
                  <c:v>Treatment costs BSC</c:v>
                </c:pt>
                <c:pt idx="7">
                  <c:v>Advanced disease</c:v>
                </c:pt>
                <c:pt idx="8">
                  <c:v>X mutation</c:v>
                </c:pt>
                <c:pt idx="9">
                  <c:v>Incidence of cancer</c:v>
                </c:pt>
                <c:pt idx="10">
                  <c:v>Treatment costs Drug 1</c:v>
                </c:pt>
              </c:strCache>
            </c:strRef>
          </c:cat>
          <c:val>
            <c:numRef>
              <c:f>DSA!$C$113:$C$123</c:f>
              <c:numCache>
                <c:formatCode>_-[$$-409]* #,##0_ ;_-[$$-409]* \-#,##0\ ;_-[$$-409]* "-"??_ ;_-@_ </c:formatCode>
                <c:ptCount val="11"/>
                <c:pt idx="0">
                  <c:v>25441631.619969293</c:v>
                </c:pt>
                <c:pt idx="1">
                  <c:v>25441631.619969293</c:v>
                </c:pt>
                <c:pt idx="2">
                  <c:v>25441631.619969293</c:v>
                </c:pt>
                <c:pt idx="3">
                  <c:v>25441631.619969286</c:v>
                </c:pt>
                <c:pt idx="4">
                  <c:v>25441000.905307893</c:v>
                </c:pt>
                <c:pt idx="5">
                  <c:v>25454335.640394688</c:v>
                </c:pt>
                <c:pt idx="6">
                  <c:v>27726262.976766311</c:v>
                </c:pt>
                <c:pt idx="7">
                  <c:v>20353305.295975413</c:v>
                </c:pt>
                <c:pt idx="8">
                  <c:v>20353305.295975413</c:v>
                </c:pt>
                <c:pt idx="9">
                  <c:v>20353305.295975413</c:v>
                </c:pt>
                <c:pt idx="10">
                  <c:v>18056600.633414388</c:v>
                </c:pt>
              </c:numCache>
            </c:numRef>
          </c:val>
          <c:extLst>
            <c:ext xmlns:c16="http://schemas.microsoft.com/office/drawing/2014/chart" uri="{C3380CC4-5D6E-409C-BE32-E72D297353CC}">
              <c16:uniqueId val="{00000000-9C8D-4F3F-A7D6-1570694874F6}"/>
            </c:ext>
          </c:extLst>
        </c:ser>
        <c:ser>
          <c:idx val="0"/>
          <c:order val="1"/>
          <c:tx>
            <c:v>Upper limit</c:v>
          </c:tx>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DSA!$B$113:$B$123</c:f>
              <c:strCache>
                <c:ptCount val="11"/>
                <c:pt idx="0">
                  <c:v>Additional costs </c:v>
                </c:pt>
                <c:pt idx="1">
                  <c:v>Additional costs </c:v>
                </c:pt>
                <c:pt idx="2">
                  <c:v>Additional costs </c:v>
                </c:pt>
                <c:pt idx="3">
                  <c:v>Initial general costs</c:v>
                </c:pt>
                <c:pt idx="4">
                  <c:v>Monthly costs after treatment</c:v>
                </c:pt>
                <c:pt idx="5">
                  <c:v>Monthly costs during treatment</c:v>
                </c:pt>
                <c:pt idx="6">
                  <c:v>Treatment costs BSC</c:v>
                </c:pt>
                <c:pt idx="7">
                  <c:v>Advanced disease</c:v>
                </c:pt>
                <c:pt idx="8">
                  <c:v>X mutation</c:v>
                </c:pt>
                <c:pt idx="9">
                  <c:v>Incidence of cancer</c:v>
                </c:pt>
                <c:pt idx="10">
                  <c:v>Treatment costs Drug 1</c:v>
                </c:pt>
              </c:strCache>
            </c:strRef>
          </c:cat>
          <c:val>
            <c:numRef>
              <c:f>DSA!$D$113:$D$123</c:f>
              <c:numCache>
                <c:formatCode>_-[$$-409]* #,##0_ ;_-[$$-409]* \-#,##0\ ;_-[$$-409]* "-"??_ ;_-@_ </c:formatCode>
                <c:ptCount val="11"/>
                <c:pt idx="0">
                  <c:v>25441631.619969293</c:v>
                </c:pt>
                <c:pt idx="1">
                  <c:v>25441631.619969293</c:v>
                </c:pt>
                <c:pt idx="2">
                  <c:v>25441631.619969293</c:v>
                </c:pt>
                <c:pt idx="3">
                  <c:v>25441631.61996929</c:v>
                </c:pt>
                <c:pt idx="4">
                  <c:v>25442262.334630676</c:v>
                </c:pt>
                <c:pt idx="5">
                  <c:v>25428927.599543877</c:v>
                </c:pt>
                <c:pt idx="6">
                  <c:v>23157000.263172239</c:v>
                </c:pt>
                <c:pt idx="7">
                  <c:v>30529957.943963118</c:v>
                </c:pt>
                <c:pt idx="8">
                  <c:v>30529957.943963118</c:v>
                </c:pt>
                <c:pt idx="9">
                  <c:v>30529957.943963122</c:v>
                </c:pt>
                <c:pt idx="10">
                  <c:v>32826662.606524184</c:v>
                </c:pt>
              </c:numCache>
            </c:numRef>
          </c:val>
          <c:extLst>
            <c:ext xmlns:c16="http://schemas.microsoft.com/office/drawing/2014/chart" uri="{C3380CC4-5D6E-409C-BE32-E72D297353CC}">
              <c16:uniqueId val="{00000001-9C8D-4F3F-A7D6-1570694874F6}"/>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25441631.619969293"/>
        <c:auto val="1"/>
        <c:lblAlgn val="ctr"/>
        <c:lblOffset val="100"/>
        <c:noMultiLvlLbl val="0"/>
      </c:catAx>
      <c:valAx>
        <c:axId val="100990272"/>
        <c:scaling>
          <c:orientation val="minMax"/>
          <c:max val="39391995.127829023"/>
          <c:min val="14445280.50673151"/>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Treatment Time Curves - Extrapolation from the median time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Data!$AK$8</c:f>
              <c:strCache>
                <c:ptCount val="1"/>
                <c:pt idx="0">
                  <c:v>Drug 1</c:v>
                </c:pt>
              </c:strCache>
            </c:strRef>
          </c:tx>
          <c:spPr>
            <a:ln w="28575" cap="rnd">
              <a:solidFill>
                <a:schemeClr val="accent1"/>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Data!$AK$10:$AK$58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0-2488-4F1D-966E-29BA501416B6}"/>
            </c:ext>
          </c:extLst>
        </c:ser>
        <c:ser>
          <c:idx val="1"/>
          <c:order val="1"/>
          <c:tx>
            <c:strRef>
              <c:f>Data!$AL$8</c:f>
              <c:strCache>
                <c:ptCount val="1"/>
                <c:pt idx="0">
                  <c:v>Drug 2</c:v>
                </c:pt>
              </c:strCache>
            </c:strRef>
          </c:tx>
          <c:spPr>
            <a:ln w="28575" cap="rnd">
              <a:solidFill>
                <a:schemeClr val="accent2"/>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Data!$AL$10:$AL$58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1-2488-4F1D-966E-29BA501416B6}"/>
            </c:ext>
          </c:extLst>
        </c:ser>
        <c:ser>
          <c:idx val="2"/>
          <c:order val="2"/>
          <c:tx>
            <c:strRef>
              <c:f>Data!$AM$8</c:f>
              <c:strCache>
                <c:ptCount val="1"/>
                <c:pt idx="0">
                  <c:v>Do not fill</c:v>
                </c:pt>
              </c:strCache>
            </c:strRef>
          </c:tx>
          <c:spPr>
            <a:ln w="28575" cap="rnd">
              <a:solidFill>
                <a:schemeClr val="accent3"/>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Data!$AM$10:$AM$58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2488-4F1D-966E-29BA501416B6}"/>
            </c:ext>
          </c:extLst>
        </c:ser>
        <c:ser>
          <c:idx val="3"/>
          <c:order val="3"/>
          <c:tx>
            <c:strRef>
              <c:f>Data!$AN$8</c:f>
              <c:strCache>
                <c:ptCount val="1"/>
                <c:pt idx="0">
                  <c:v>Do not fill</c:v>
                </c:pt>
              </c:strCache>
            </c:strRef>
          </c:tx>
          <c:spPr>
            <a:ln w="28575" cap="rnd">
              <a:solidFill>
                <a:schemeClr val="accent4"/>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Data!$AN$10:$AN$58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2488-4F1D-966E-29BA501416B6}"/>
            </c:ext>
          </c:extLst>
        </c:ser>
        <c:ser>
          <c:idx val="4"/>
          <c:order val="4"/>
          <c:tx>
            <c:strRef>
              <c:f>Data!$AO$8</c:f>
              <c:strCache>
                <c:ptCount val="1"/>
                <c:pt idx="0">
                  <c:v>BSC</c:v>
                </c:pt>
              </c:strCache>
            </c:strRef>
          </c:tx>
          <c:spPr>
            <a:ln w="28575" cap="rnd">
              <a:solidFill>
                <a:schemeClr val="accent5"/>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Data!$AO$10:$AO$58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4-2488-4F1D-966E-29BA501416B6}"/>
            </c:ext>
          </c:extLst>
        </c:ser>
        <c:ser>
          <c:idx val="5"/>
          <c:order val="5"/>
          <c:tx>
            <c:strRef>
              <c:f>Data!$AP$8</c:f>
              <c:strCache>
                <c:ptCount val="1"/>
                <c:pt idx="0">
                  <c:v>Do not fill</c:v>
                </c:pt>
              </c:strCache>
            </c:strRef>
          </c:tx>
          <c:spPr>
            <a:ln w="28575" cap="rnd">
              <a:solidFill>
                <a:schemeClr val="accent6"/>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Data!$AP$10:$AP$58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2488-4F1D-966E-29BA501416B6}"/>
            </c:ext>
          </c:extLst>
        </c:ser>
        <c:ser>
          <c:idx val="6"/>
          <c:order val="6"/>
          <c:tx>
            <c:strRef>
              <c:f>Data!$AQ$8</c:f>
              <c:strCache>
                <c:ptCount val="1"/>
                <c:pt idx="0">
                  <c:v>Do not fill</c:v>
                </c:pt>
              </c:strCache>
            </c:strRef>
          </c:tx>
          <c:spPr>
            <a:ln w="28575" cap="rnd">
              <a:solidFill>
                <a:schemeClr val="accent1">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Data!$AQ$10:$AQ$58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2488-4F1D-966E-29BA501416B6}"/>
            </c:ext>
          </c:extLst>
        </c:ser>
        <c:ser>
          <c:idx val="7"/>
          <c:order val="7"/>
          <c:tx>
            <c:strRef>
              <c:f>Data!$AR$8</c:f>
              <c:strCache>
                <c:ptCount val="1"/>
                <c:pt idx="0">
                  <c:v>Do not fill</c:v>
                </c:pt>
              </c:strCache>
            </c:strRef>
          </c:tx>
          <c:spPr>
            <a:ln w="28575" cap="rnd">
              <a:solidFill>
                <a:schemeClr val="accent2">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Data!$AR$10:$AR$58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2488-4F1D-966E-29BA501416B6}"/>
            </c:ext>
          </c:extLst>
        </c:ser>
        <c:ser>
          <c:idx val="8"/>
          <c:order val="8"/>
          <c:tx>
            <c:strRef>
              <c:f>Data!$AS$8</c:f>
              <c:strCache>
                <c:ptCount val="1"/>
                <c:pt idx="0">
                  <c:v>Do not fill</c:v>
                </c:pt>
              </c:strCache>
            </c:strRef>
          </c:tx>
          <c:spPr>
            <a:ln w="28575" cap="rnd">
              <a:solidFill>
                <a:schemeClr val="accent3">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Data!$AS$10:$AS$58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2488-4F1D-966E-29BA501416B6}"/>
            </c:ext>
          </c:extLst>
        </c:ser>
        <c:ser>
          <c:idx val="9"/>
          <c:order val="9"/>
          <c:tx>
            <c:strRef>
              <c:f>Data!$AT$8</c:f>
              <c:strCache>
                <c:ptCount val="1"/>
                <c:pt idx="0">
                  <c:v>Do not fill</c:v>
                </c:pt>
              </c:strCache>
            </c:strRef>
          </c:tx>
          <c:spPr>
            <a:ln w="28575" cap="rnd">
              <a:solidFill>
                <a:schemeClr val="accent4">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Data!$AT$10:$AT$58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2488-4F1D-966E-29BA501416B6}"/>
            </c:ext>
          </c:extLst>
        </c:ser>
        <c:ser>
          <c:idx val="10"/>
          <c:order val="10"/>
          <c:tx>
            <c:strRef>
              <c:f>Data!$AU$8</c:f>
              <c:strCache>
                <c:ptCount val="1"/>
                <c:pt idx="0">
                  <c:v>Do not fill</c:v>
                </c:pt>
              </c:strCache>
            </c:strRef>
          </c:tx>
          <c:spPr>
            <a:ln w="28575" cap="rnd">
              <a:solidFill>
                <a:schemeClr val="accent5">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Data!$AU$10:$AU$58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2488-4F1D-966E-29BA501416B6}"/>
            </c:ext>
          </c:extLst>
        </c:ser>
        <c:ser>
          <c:idx val="11"/>
          <c:order val="11"/>
          <c:tx>
            <c:strRef>
              <c:f>Data!$AV$8</c:f>
              <c:strCache>
                <c:ptCount val="1"/>
                <c:pt idx="0">
                  <c:v>Do not fill</c:v>
                </c:pt>
              </c:strCache>
            </c:strRef>
          </c:tx>
          <c:spPr>
            <a:ln w="28575" cap="rnd">
              <a:solidFill>
                <a:schemeClr val="accent6">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Data!$AV$10:$AV$58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2488-4F1D-966E-29BA501416B6}"/>
            </c:ext>
          </c:extLst>
        </c:ser>
        <c:ser>
          <c:idx val="12"/>
          <c:order val="12"/>
          <c:tx>
            <c:strRef>
              <c:f>Data!$AW$8</c:f>
              <c:strCache>
                <c:ptCount val="1"/>
                <c:pt idx="0">
                  <c:v>Do not fill</c:v>
                </c:pt>
              </c:strCache>
            </c:strRef>
          </c:tx>
          <c:spPr>
            <a:ln w="28575" cap="rnd">
              <a:solidFill>
                <a:schemeClr val="accent1">
                  <a:lumMod val="80000"/>
                  <a:lumOff val="2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Data!$AW$10:$AW$58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2488-4F1D-966E-29BA501416B6}"/>
            </c:ext>
          </c:extLst>
        </c:ser>
        <c:ser>
          <c:idx val="13"/>
          <c:order val="13"/>
          <c:tx>
            <c:strRef>
              <c:f>Data!$AX$8</c:f>
              <c:strCache>
                <c:ptCount val="1"/>
                <c:pt idx="0">
                  <c:v>Do not fill</c:v>
                </c:pt>
              </c:strCache>
            </c:strRef>
          </c:tx>
          <c:spPr>
            <a:ln w="28575" cap="rnd">
              <a:solidFill>
                <a:schemeClr val="accent2">
                  <a:lumMod val="80000"/>
                  <a:lumOff val="2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Data!$AX$10:$AX$58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2488-4F1D-966E-29BA501416B6}"/>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Overall Survival Curves - Extrapolation from Median Survival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Data!$AK$8</c:f>
              <c:strCache>
                <c:ptCount val="1"/>
                <c:pt idx="0">
                  <c:v>Drug 1</c:v>
                </c:pt>
              </c:strCache>
            </c:strRef>
          </c:tx>
          <c:spPr>
            <a:ln w="28575" cap="rnd">
              <a:solidFill>
                <a:schemeClr val="accent1"/>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Data!$AK$110:$AK$158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0-A598-4193-BA3D-4C7BDA1C2625}"/>
            </c:ext>
          </c:extLst>
        </c:ser>
        <c:ser>
          <c:idx val="1"/>
          <c:order val="1"/>
          <c:tx>
            <c:strRef>
              <c:f>Data!$AL$8</c:f>
              <c:strCache>
                <c:ptCount val="1"/>
                <c:pt idx="0">
                  <c:v>Drug 2</c:v>
                </c:pt>
              </c:strCache>
            </c:strRef>
          </c:tx>
          <c:spPr>
            <a:ln w="28575" cap="rnd">
              <a:solidFill>
                <a:schemeClr val="accent2"/>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Data!$AL$110:$AL$158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1-A598-4193-BA3D-4C7BDA1C2625}"/>
            </c:ext>
          </c:extLst>
        </c:ser>
        <c:ser>
          <c:idx val="2"/>
          <c:order val="2"/>
          <c:tx>
            <c:strRef>
              <c:f>Data!$AM$8</c:f>
              <c:strCache>
                <c:ptCount val="1"/>
                <c:pt idx="0">
                  <c:v>Do not fill</c:v>
                </c:pt>
              </c:strCache>
            </c:strRef>
          </c:tx>
          <c:spPr>
            <a:ln w="28575" cap="rnd">
              <a:solidFill>
                <a:schemeClr val="accent3"/>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Data!$AM$110:$AM$158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A598-4193-BA3D-4C7BDA1C2625}"/>
            </c:ext>
          </c:extLst>
        </c:ser>
        <c:ser>
          <c:idx val="3"/>
          <c:order val="3"/>
          <c:tx>
            <c:strRef>
              <c:f>Data!$AN$8</c:f>
              <c:strCache>
                <c:ptCount val="1"/>
                <c:pt idx="0">
                  <c:v>Do not fill</c:v>
                </c:pt>
              </c:strCache>
            </c:strRef>
          </c:tx>
          <c:spPr>
            <a:ln w="28575" cap="rnd">
              <a:solidFill>
                <a:schemeClr val="accent4"/>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Data!$AN$110:$AN$158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A598-4193-BA3D-4C7BDA1C2625}"/>
            </c:ext>
          </c:extLst>
        </c:ser>
        <c:ser>
          <c:idx val="4"/>
          <c:order val="4"/>
          <c:tx>
            <c:strRef>
              <c:f>Data!$AO$8</c:f>
              <c:strCache>
                <c:ptCount val="1"/>
                <c:pt idx="0">
                  <c:v>BSC</c:v>
                </c:pt>
              </c:strCache>
            </c:strRef>
          </c:tx>
          <c:spPr>
            <a:ln w="28575" cap="rnd">
              <a:solidFill>
                <a:schemeClr val="accent5"/>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Data!$AO$110:$AO$158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4-A598-4193-BA3D-4C7BDA1C2625}"/>
            </c:ext>
          </c:extLst>
        </c:ser>
        <c:ser>
          <c:idx val="5"/>
          <c:order val="5"/>
          <c:tx>
            <c:strRef>
              <c:f>Data!$AP$8</c:f>
              <c:strCache>
                <c:ptCount val="1"/>
                <c:pt idx="0">
                  <c:v>Do not fill</c:v>
                </c:pt>
              </c:strCache>
            </c:strRef>
          </c:tx>
          <c:spPr>
            <a:ln w="28575" cap="rnd">
              <a:solidFill>
                <a:schemeClr val="accent6"/>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Data!$AP$110:$AP$158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A598-4193-BA3D-4C7BDA1C2625}"/>
            </c:ext>
          </c:extLst>
        </c:ser>
        <c:ser>
          <c:idx val="6"/>
          <c:order val="6"/>
          <c:tx>
            <c:strRef>
              <c:f>Data!$AQ$8</c:f>
              <c:strCache>
                <c:ptCount val="1"/>
                <c:pt idx="0">
                  <c:v>Do not fill</c:v>
                </c:pt>
              </c:strCache>
            </c:strRef>
          </c:tx>
          <c:spPr>
            <a:ln w="28575" cap="rnd">
              <a:solidFill>
                <a:schemeClr val="accent1">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Data!$AQ$110:$AQ$158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A598-4193-BA3D-4C7BDA1C2625}"/>
            </c:ext>
          </c:extLst>
        </c:ser>
        <c:ser>
          <c:idx val="7"/>
          <c:order val="7"/>
          <c:tx>
            <c:strRef>
              <c:f>Data!$AR$8</c:f>
              <c:strCache>
                <c:ptCount val="1"/>
                <c:pt idx="0">
                  <c:v>Do not fill</c:v>
                </c:pt>
              </c:strCache>
            </c:strRef>
          </c:tx>
          <c:spPr>
            <a:ln w="28575" cap="rnd">
              <a:solidFill>
                <a:schemeClr val="accent2">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Data!$AR$110:$AR$158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A598-4193-BA3D-4C7BDA1C2625}"/>
            </c:ext>
          </c:extLst>
        </c:ser>
        <c:ser>
          <c:idx val="8"/>
          <c:order val="8"/>
          <c:tx>
            <c:strRef>
              <c:f>Data!$AS$8</c:f>
              <c:strCache>
                <c:ptCount val="1"/>
                <c:pt idx="0">
                  <c:v>Do not fill</c:v>
                </c:pt>
              </c:strCache>
            </c:strRef>
          </c:tx>
          <c:spPr>
            <a:ln w="28575" cap="rnd">
              <a:solidFill>
                <a:schemeClr val="accent3">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Data!$AS$110:$AS$158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A598-4193-BA3D-4C7BDA1C2625}"/>
            </c:ext>
          </c:extLst>
        </c:ser>
        <c:ser>
          <c:idx val="9"/>
          <c:order val="9"/>
          <c:tx>
            <c:strRef>
              <c:f>Data!$AT$8</c:f>
              <c:strCache>
                <c:ptCount val="1"/>
                <c:pt idx="0">
                  <c:v>Do not fill</c:v>
                </c:pt>
              </c:strCache>
            </c:strRef>
          </c:tx>
          <c:spPr>
            <a:ln w="28575" cap="rnd">
              <a:solidFill>
                <a:schemeClr val="accent4">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Data!$AT$110:$AT$158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A598-4193-BA3D-4C7BDA1C2625}"/>
            </c:ext>
          </c:extLst>
        </c:ser>
        <c:ser>
          <c:idx val="10"/>
          <c:order val="10"/>
          <c:tx>
            <c:strRef>
              <c:f>Data!$AU$8</c:f>
              <c:strCache>
                <c:ptCount val="1"/>
                <c:pt idx="0">
                  <c:v>Do not fill</c:v>
                </c:pt>
              </c:strCache>
            </c:strRef>
          </c:tx>
          <c:spPr>
            <a:ln w="28575" cap="rnd">
              <a:solidFill>
                <a:schemeClr val="accent5">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Data!$AU$110:$AU$158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A598-4193-BA3D-4C7BDA1C2625}"/>
            </c:ext>
          </c:extLst>
        </c:ser>
        <c:ser>
          <c:idx val="11"/>
          <c:order val="11"/>
          <c:tx>
            <c:strRef>
              <c:f>Data!$AV$8</c:f>
              <c:strCache>
                <c:ptCount val="1"/>
                <c:pt idx="0">
                  <c:v>Do not fill</c:v>
                </c:pt>
              </c:strCache>
            </c:strRef>
          </c:tx>
          <c:spPr>
            <a:ln w="28575" cap="rnd">
              <a:solidFill>
                <a:schemeClr val="accent6">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Data!$AV$110:$AV$158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A598-4193-BA3D-4C7BDA1C2625}"/>
            </c:ext>
          </c:extLst>
        </c:ser>
        <c:ser>
          <c:idx val="12"/>
          <c:order val="12"/>
          <c:tx>
            <c:strRef>
              <c:f>Data!$AW$8</c:f>
              <c:strCache>
                <c:ptCount val="1"/>
                <c:pt idx="0">
                  <c:v>Do not fill</c:v>
                </c:pt>
              </c:strCache>
            </c:strRef>
          </c:tx>
          <c:spPr>
            <a:ln w="28575" cap="rnd">
              <a:solidFill>
                <a:schemeClr val="accent1">
                  <a:lumMod val="80000"/>
                  <a:lumOff val="2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Data!$AW$110:$AW$158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A598-4193-BA3D-4C7BDA1C2625}"/>
            </c:ext>
          </c:extLst>
        </c:ser>
        <c:ser>
          <c:idx val="13"/>
          <c:order val="13"/>
          <c:tx>
            <c:strRef>
              <c:f>Data!$AX$8</c:f>
              <c:strCache>
                <c:ptCount val="1"/>
                <c:pt idx="0">
                  <c:v>Do not fill</c:v>
                </c:pt>
              </c:strCache>
            </c:strRef>
          </c:tx>
          <c:spPr>
            <a:ln w="28575" cap="rnd">
              <a:solidFill>
                <a:schemeClr val="accent2">
                  <a:lumMod val="80000"/>
                  <a:lumOff val="2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Data!$AX$110:$AX$158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A598-4193-BA3D-4C7BDA1C2625}"/>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1</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Calculations!$B$54</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Calculations!$AI$54:$AM$54</c:f>
              <c:numCache>
                <c:formatCode>#,##0</c:formatCode>
                <c:ptCount val="5"/>
                <c:pt idx="0">
                  <c:v>650.74285267499999</c:v>
                </c:pt>
                <c:pt idx="1">
                  <c:v>1272.0775092375002</c:v>
                </c:pt>
                <c:pt idx="2">
                  <c:v>1863.3346291187502</c:v>
                </c:pt>
                <c:pt idx="3">
                  <c:v>2424.01018641875</c:v>
                </c:pt>
                <c:pt idx="4">
                  <c:v>2953.65520135625</c:v>
                </c:pt>
              </c:numCache>
            </c:numRef>
          </c:val>
          <c:extLst>
            <c:ext xmlns:c16="http://schemas.microsoft.com/office/drawing/2014/chart" uri="{C3380CC4-5D6E-409C-BE32-E72D297353CC}">
              <c16:uniqueId val="{00000000-D9D0-4702-A069-7BD861F3271F}"/>
            </c:ext>
          </c:extLst>
        </c:ser>
        <c:ser>
          <c:idx val="1"/>
          <c:order val="1"/>
          <c:tx>
            <c:strRef>
              <c:f>Calculations!$B$55</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Calculations!$AI$55:$AM$55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9D0-4702-A069-7BD861F3271F}"/>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2</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Calculations!$B$69</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Calculations!$AI$69:$AM$69</c:f>
              <c:numCache>
                <c:formatCode>#,##0</c:formatCode>
                <c:ptCount val="5"/>
                <c:pt idx="0">
                  <c:v>671.29262697000001</c:v>
                </c:pt>
                <c:pt idx="1">
                  <c:v>1306.4347203450002</c:v>
                </c:pt>
                <c:pt idx="2">
                  <c:v>1876.8239418775001</c:v>
                </c:pt>
                <c:pt idx="3">
                  <c:v>2416.4741657787499</c:v>
                </c:pt>
                <c:pt idx="4">
                  <c:v>2946.11918071625</c:v>
                </c:pt>
              </c:numCache>
            </c:numRef>
          </c:val>
          <c:extLst>
            <c:ext xmlns:c16="http://schemas.microsoft.com/office/drawing/2014/chart" uri="{C3380CC4-5D6E-409C-BE32-E72D297353CC}">
              <c16:uniqueId val="{00000000-8E9C-4EEE-8DE4-8FD9896C8393}"/>
            </c:ext>
          </c:extLst>
        </c:ser>
        <c:ser>
          <c:idx val="1"/>
          <c:order val="1"/>
          <c:tx>
            <c:strRef>
              <c:f>Calculations!$B$70</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Calculations!$AI$70:$AM$70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8E9C-4EEE-8DE4-8FD9896C8393}"/>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3</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Calculations!$B$84</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Calculations!$AI$84:$AM$84</c:f>
              <c:numCache>
                <c:formatCode>#,##0</c:formatCode>
                <c:ptCount val="5"/>
                <c:pt idx="0">
                  <c:v>650.74285267499999</c:v>
                </c:pt>
                <c:pt idx="1">
                  <c:v>1216.8477619875</c:v>
                </c:pt>
                <c:pt idx="2">
                  <c:v>1648.117661195</c:v>
                </c:pt>
                <c:pt idx="3">
                  <c:v>1977.5145511087499</c:v>
                </c:pt>
                <c:pt idx="4">
                  <c:v>2295.3015600712497</c:v>
                </c:pt>
              </c:numCache>
            </c:numRef>
          </c:val>
          <c:extLst>
            <c:ext xmlns:c16="http://schemas.microsoft.com/office/drawing/2014/chart" uri="{C3380CC4-5D6E-409C-BE32-E72D297353CC}">
              <c16:uniqueId val="{00000000-353A-4956-987B-171D0B2F1D8F}"/>
            </c:ext>
          </c:extLst>
        </c:ser>
        <c:ser>
          <c:idx val="1"/>
          <c:order val="1"/>
          <c:tx>
            <c:strRef>
              <c:f>Calculations!$B$85</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Calculations!$AI$85:$AM$85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53A-4956-987B-171D0B2F1D8F}"/>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a:t>
            </a:r>
            <a:r>
              <a:rPr lang="pt-BR" baseline="0"/>
              <a:t> 1 - Cenário atual</a:t>
            </a:r>
            <a:endParaRPr lang="pt-B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Calculations!$AH$39</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Calculations!$C$27:$G$27</c:f>
              <c:numCache>
                <c:formatCode>General</c:formatCode>
                <c:ptCount val="5"/>
                <c:pt idx="0">
                  <c:v>2026</c:v>
                </c:pt>
                <c:pt idx="1">
                  <c:v>2027</c:v>
                </c:pt>
                <c:pt idx="2">
                  <c:v>2028</c:v>
                </c:pt>
                <c:pt idx="3">
                  <c:v>2029</c:v>
                </c:pt>
                <c:pt idx="4">
                  <c:v>2030</c:v>
                </c:pt>
              </c:numCache>
            </c:numRef>
          </c:cat>
          <c:val>
            <c:numRef>
              <c:f>Calculations!$AI$39:$AM$39</c:f>
              <c:numCache>
                <c:formatCode>#,##0</c:formatCode>
                <c:ptCount val="5"/>
                <c:pt idx="0">
                  <c:v>684.99247650000007</c:v>
                </c:pt>
                <c:pt idx="1">
                  <c:v>1375.3643171250001</c:v>
                </c:pt>
                <c:pt idx="2">
                  <c:v>2070.9609287500002</c:v>
                </c:pt>
                <c:pt idx="3">
                  <c:v>2771.805375375</c:v>
                </c:pt>
                <c:pt idx="4">
                  <c:v>3477.9987286250002</c:v>
                </c:pt>
              </c:numCache>
            </c:numRef>
          </c:val>
          <c:extLst>
            <c:ext xmlns:c16="http://schemas.microsoft.com/office/drawing/2014/chart" uri="{C3380CC4-5D6E-409C-BE32-E72D297353CC}">
              <c16:uniqueId val="{00000000-338F-438D-A047-5C7ED784E182}"/>
            </c:ext>
          </c:extLst>
        </c:ser>
        <c:ser>
          <c:idx val="1"/>
          <c:order val="1"/>
          <c:tx>
            <c:strRef>
              <c:f>Calculations!$AH$40</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Calculations!$C$27:$G$27</c:f>
              <c:numCache>
                <c:formatCode>General</c:formatCode>
                <c:ptCount val="5"/>
                <c:pt idx="0">
                  <c:v>2026</c:v>
                </c:pt>
                <c:pt idx="1">
                  <c:v>2027</c:v>
                </c:pt>
                <c:pt idx="2">
                  <c:v>2028</c:v>
                </c:pt>
                <c:pt idx="3">
                  <c:v>2029</c:v>
                </c:pt>
                <c:pt idx="4">
                  <c:v>2030</c:v>
                </c:pt>
              </c:numCache>
            </c:numRef>
          </c:cat>
          <c:val>
            <c:numRef>
              <c:f>Calculations!$AI$40:$AM$40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38F-438D-A047-5C7ED784E182}"/>
            </c:ext>
          </c:extLst>
        </c:ser>
        <c:dLbls>
          <c:dLblPos val="ctr"/>
          <c:showLegendKey val="0"/>
          <c:showVal val="1"/>
          <c:showCatName val="0"/>
          <c:showSerName val="0"/>
          <c:showPercent val="0"/>
          <c:showBubbleSize val="0"/>
        </c:dLbls>
        <c:gapWidth val="150"/>
        <c:overlap val="100"/>
        <c:axId val="544272464"/>
        <c:axId val="544273424"/>
      </c:barChart>
      <c:catAx>
        <c:axId val="54427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44273424"/>
        <c:crosses val="autoZero"/>
        <c:auto val="1"/>
        <c:lblAlgn val="ctr"/>
        <c:lblOffset val="100"/>
        <c:noMultiLvlLbl val="0"/>
      </c:catAx>
      <c:valAx>
        <c:axId val="5442734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44272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Epidemiological funnel</cx:v>
        </cx:txData>
      </cx:tx>
      <cx:txPr>
        <a:bodyPr spcFirstLastPara="1" vertOverflow="ellipsis" horzOverflow="overflow" wrap="square" lIns="0" tIns="0" rIns="0" bIns="0" anchor="ctr" anchorCtr="1"/>
        <a:lstStyle/>
        <a:p>
          <a:pPr algn="ctr" rtl="0">
            <a:defRPr sz="1000">
              <a:solidFill>
                <a:schemeClr val="tx1"/>
              </a:solidFill>
              <a:latin typeface="+mn-lt"/>
            </a:defRPr>
          </a:pPr>
          <a:r>
            <a:rPr lang="pt-BR" sz="1000" b="0" i="0" u="none" strike="noStrike" baseline="0">
              <a:solidFill>
                <a:schemeClr val="tx1"/>
              </a:solidFill>
              <a:latin typeface="+mn-lt"/>
            </a:rPr>
            <a:t>Epidemiological funnel</a:t>
          </a:r>
        </a:p>
      </cx:txPr>
    </cx:title>
    <cx:plotArea>
      <cx:plotAreaRegion>
        <cx:series layoutId="funnel" uniqueId="{659EFB29-B691-4FE8-8FD6-A97E546F1953}">
          <cx:tx>
            <cx:txData>
              <cx:f>_xlchart.v2.1</cx:f>
              <cx:v>Total</cx:v>
            </cx:txData>
          </cx:tx>
          <cx:dataLabels>
            <cx:txPr>
              <a:bodyPr vertOverflow="overflow" horzOverflow="overflow" wrap="square" lIns="0" tIns="0" rIns="0" bIns="0"/>
              <a:lstStyle/>
              <a:p>
                <a:pPr algn="ctr" rtl="0">
                  <a:defRPr sz="1000" b="0" i="0">
                    <a:solidFill>
                      <a:schemeClr val="tx1"/>
                    </a:solidFill>
                    <a:latin typeface="+mn-lt"/>
                    <a:ea typeface="Calibri" panose="020F0502020204030204" pitchFamily="34" charset="0"/>
                    <a:cs typeface="Calibri" panose="020F0502020204030204" pitchFamily="34" charset="0"/>
                  </a:defRPr>
                </a:pPr>
                <a:endParaRPr sz="1000">
                  <a:solidFill>
                    <a:schemeClr val="tx1"/>
                  </a:solidFill>
                  <a:latin typeface="+mn-lt"/>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000" b="0" i="0">
                <a:solidFill>
                  <a:schemeClr val="tx1"/>
                </a:solidFill>
                <a:latin typeface="+mn-lt"/>
                <a:ea typeface="Calibri" panose="020F0502020204030204" pitchFamily="34" charset="0"/>
                <a:cs typeface="Calibri" panose="020F0502020204030204" pitchFamily="34" charset="0"/>
              </a:defRPr>
            </a:pPr>
            <a:endParaRPr sz="1000">
              <a:solidFill>
                <a:schemeClr val="tx1"/>
              </a:solidFill>
              <a:latin typeface="+mn-lt"/>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56DE26DF-9FF5-4B60-8818-E32C1DEE212F}" type="doc">
      <dgm:prSet loTypeId="urn:microsoft.com/office/officeart/2005/8/layout/lProcess2" loCatId="list" qsTypeId="urn:microsoft.com/office/officeart/2005/8/quickstyle/simple1" qsCatId="simple" csTypeId="urn:microsoft.com/office/officeart/2005/8/colors/accent1_2" csCatId="accent1" phldr="1"/>
      <dgm:spPr/>
      <dgm:t>
        <a:bodyPr/>
        <a:lstStyle/>
        <a:p>
          <a:endParaRPr lang="pt-BR"/>
        </a:p>
      </dgm:t>
    </dgm:pt>
    <dgm:pt modelId="{82A04AFB-F35C-4906-8984-FB9C1388B8BC}">
      <dgm:prSet phldrT="[Texto]" custT="1"/>
      <dgm:spPr>
        <a:solidFill>
          <a:schemeClr val="accent6">
            <a:lumMod val="40000"/>
            <a:lumOff val="60000"/>
          </a:schemeClr>
        </a:solidFill>
      </dgm:spPr>
      <dgm:t>
        <a:bodyPr/>
        <a:lstStyle/>
        <a:p>
          <a:r>
            <a:rPr lang="pt-BR" sz="1200" b="1" dirty="0"/>
            <a:t>Technology-Specific Costs</a:t>
          </a:r>
        </a:p>
      </dgm:t>
    </dgm:pt>
    <dgm:pt modelId="{FAEEE7C9-FD1E-4D0F-B396-293EE9963374}" type="parTrans" cxnId="{16492548-5670-48E6-9FAD-68717A5A2AD3}">
      <dgm:prSet/>
      <dgm:spPr/>
      <dgm:t>
        <a:bodyPr/>
        <a:lstStyle/>
        <a:p>
          <a:endParaRPr lang="pt-BR" sz="1000"/>
        </a:p>
      </dgm:t>
    </dgm:pt>
    <dgm:pt modelId="{B71D6376-CF06-462F-8D41-625D6537621D}" type="sibTrans" cxnId="{16492548-5670-48E6-9FAD-68717A5A2AD3}">
      <dgm:prSet/>
      <dgm:spPr/>
      <dgm:t>
        <a:bodyPr/>
        <a:lstStyle/>
        <a:p>
          <a:endParaRPr lang="pt-BR" sz="1000"/>
        </a:p>
      </dgm:t>
    </dgm:pt>
    <dgm:pt modelId="{D7E91861-5BC4-4537-8ABE-A067DD0003DB}">
      <dgm:prSet phldrT="[Texto]" custT="1"/>
      <dgm:spPr>
        <a:solidFill>
          <a:srgbClr val="686A10"/>
        </a:solidFill>
      </dgm:spPr>
      <dgm:t>
        <a:bodyPr/>
        <a:lstStyle/>
        <a:p>
          <a:r>
            <a:rPr lang="pt-BR" sz="1000" dirty="0"/>
            <a:t>6.1.1. Initial treatment cost (e.g., induction therapy)</a:t>
          </a:r>
        </a:p>
      </dgm:t>
    </dgm:pt>
    <dgm:pt modelId="{FA4B955A-CDA7-4946-B38C-DF78112B19D0}" type="parTrans" cxnId="{C515205B-1CC8-4105-A38B-996309470C35}">
      <dgm:prSet/>
      <dgm:spPr/>
      <dgm:t>
        <a:bodyPr/>
        <a:lstStyle/>
        <a:p>
          <a:endParaRPr lang="pt-BR" sz="1000"/>
        </a:p>
      </dgm:t>
    </dgm:pt>
    <dgm:pt modelId="{EA176569-7390-4D86-A99E-F077F0D35B0B}" type="sibTrans" cxnId="{C515205B-1CC8-4105-A38B-996309470C35}">
      <dgm:prSet/>
      <dgm:spPr/>
      <dgm:t>
        <a:bodyPr/>
        <a:lstStyle/>
        <a:p>
          <a:endParaRPr lang="pt-BR" sz="1000"/>
        </a:p>
      </dgm:t>
    </dgm:pt>
    <dgm:pt modelId="{D3FC16ED-2D62-420F-A894-6543BE6E45A1}">
      <dgm:prSet phldrT="[Texto]" custT="1"/>
      <dgm:spPr>
        <a:solidFill>
          <a:srgbClr val="686A10"/>
        </a:solidFill>
      </dgm:spPr>
      <dgm:t>
        <a:bodyPr/>
        <a:lstStyle/>
        <a:p>
          <a:r>
            <a:rPr lang="pt-BR" sz="1000" dirty="0"/>
            <a:t>6.1.2. Ongoing monthly treatment cost (recurrent/continuous)</a:t>
          </a:r>
        </a:p>
      </dgm:t>
    </dgm:pt>
    <dgm:pt modelId="{2CD6DF31-91B0-43D1-BF1C-B76007ED9628}" type="parTrans" cxnId="{5B70744E-6F97-4BC6-926C-568628F1BC33}">
      <dgm:prSet/>
      <dgm:spPr/>
      <dgm:t>
        <a:bodyPr/>
        <a:lstStyle/>
        <a:p>
          <a:endParaRPr lang="pt-BR" sz="1000"/>
        </a:p>
      </dgm:t>
    </dgm:pt>
    <dgm:pt modelId="{A275EC1F-323C-4468-B50E-2603AE6A250D}" type="sibTrans" cxnId="{5B70744E-6F97-4BC6-926C-568628F1BC33}">
      <dgm:prSet/>
      <dgm:spPr/>
      <dgm:t>
        <a:bodyPr/>
        <a:lstStyle/>
        <a:p>
          <a:endParaRPr lang="pt-BR" sz="1000"/>
        </a:p>
      </dgm:t>
    </dgm:pt>
    <dgm:pt modelId="{0543F66E-5D4E-4EA4-9D0A-14FDE5F25CD3}">
      <dgm:prSet phldrT="[Texto]" custT="1"/>
      <dgm:spPr>
        <a:solidFill>
          <a:schemeClr val="accent3">
            <a:lumMod val="20000"/>
            <a:lumOff val="80000"/>
          </a:schemeClr>
        </a:solidFill>
      </dgm:spPr>
      <dgm:t>
        <a:bodyPr/>
        <a:lstStyle/>
        <a:p>
          <a:r>
            <a:rPr lang="pt-BR" sz="1200" b="1" dirty="0"/>
            <a:t>General Costs for All Technologies</a:t>
          </a:r>
        </a:p>
      </dgm:t>
    </dgm:pt>
    <dgm:pt modelId="{71E71121-63E6-4BA1-8EDF-3B3EDE720CFB}" type="parTrans" cxnId="{756E7E7E-A15A-4F58-8BCB-662DB4523B43}">
      <dgm:prSet/>
      <dgm:spPr/>
      <dgm:t>
        <a:bodyPr/>
        <a:lstStyle/>
        <a:p>
          <a:endParaRPr lang="pt-BR" sz="1000"/>
        </a:p>
      </dgm:t>
    </dgm:pt>
    <dgm:pt modelId="{4445D0FD-F19B-4AA1-9F15-0B6E8A195F02}" type="sibTrans" cxnId="{756E7E7E-A15A-4F58-8BCB-662DB4523B43}">
      <dgm:prSet/>
      <dgm:spPr/>
      <dgm:t>
        <a:bodyPr/>
        <a:lstStyle/>
        <a:p>
          <a:endParaRPr lang="pt-BR" sz="1000"/>
        </a:p>
      </dgm:t>
    </dgm:pt>
    <dgm:pt modelId="{68B04809-A1B8-4504-BE35-1FE060095996}">
      <dgm:prSet phldrT="[Texto]" custT="1"/>
      <dgm:spPr>
        <a:solidFill>
          <a:schemeClr val="tx2">
            <a:lumMod val="75000"/>
          </a:schemeClr>
        </a:solidFill>
      </dgm:spPr>
      <dgm:t>
        <a:bodyPr/>
        <a:lstStyle/>
        <a:p>
          <a:r>
            <a:rPr lang="pt-BR" sz="1000" dirty="0"/>
            <a:t>6.1.4. Initial general costs (e.g., molecular testing)</a:t>
          </a:r>
        </a:p>
      </dgm:t>
    </dgm:pt>
    <dgm:pt modelId="{501C7D79-F2DB-4FD3-9397-10D95D42A59B}" type="parTrans" cxnId="{ED711A15-3F97-42DE-912C-08E7D4E5ED52}">
      <dgm:prSet/>
      <dgm:spPr/>
      <dgm:t>
        <a:bodyPr/>
        <a:lstStyle/>
        <a:p>
          <a:endParaRPr lang="pt-BR" sz="1000"/>
        </a:p>
      </dgm:t>
    </dgm:pt>
    <dgm:pt modelId="{416A5528-3A69-4ED1-8D4F-4497F912BFDB}" type="sibTrans" cxnId="{ED711A15-3F97-42DE-912C-08E7D4E5ED52}">
      <dgm:prSet/>
      <dgm:spPr/>
      <dgm:t>
        <a:bodyPr/>
        <a:lstStyle/>
        <a:p>
          <a:endParaRPr lang="pt-BR" sz="1000"/>
        </a:p>
      </dgm:t>
    </dgm:pt>
    <dgm:pt modelId="{533A196C-CFEC-4AE5-BADC-B0BC21CC25AA}">
      <dgm:prSet phldrT="[Texto]" custT="1"/>
      <dgm:spPr>
        <a:solidFill>
          <a:srgbClr val="686A10"/>
        </a:solidFill>
      </dgm:spPr>
      <dgm:t>
        <a:bodyPr/>
        <a:lstStyle/>
        <a:p>
          <a:r>
            <a:rPr lang="pt-BR" sz="1000" dirty="0"/>
            <a:t>6.1.3. Additional monthly costs (e.g., adverse event monitoring)</a:t>
          </a:r>
        </a:p>
      </dgm:t>
    </dgm:pt>
    <dgm:pt modelId="{6A95C5A3-30D5-4B9E-A976-E3D7749622FD}" type="parTrans" cxnId="{1D7E3122-43C4-4C57-8289-AD2E7C77CC1E}">
      <dgm:prSet/>
      <dgm:spPr/>
      <dgm:t>
        <a:bodyPr/>
        <a:lstStyle/>
        <a:p>
          <a:endParaRPr lang="pt-BR" sz="1000"/>
        </a:p>
      </dgm:t>
    </dgm:pt>
    <dgm:pt modelId="{1CC77DA4-FEFD-4335-8B8D-0DAF8A75136E}" type="sibTrans" cxnId="{1D7E3122-43C4-4C57-8289-AD2E7C77CC1E}">
      <dgm:prSet/>
      <dgm:spPr/>
      <dgm:t>
        <a:bodyPr/>
        <a:lstStyle/>
        <a:p>
          <a:endParaRPr lang="pt-BR" sz="1000"/>
        </a:p>
      </dgm:t>
    </dgm:pt>
    <dgm:pt modelId="{5D901CDD-36D5-4F8F-8783-1CEE002B5771}">
      <dgm:prSet phldrT="[Texto]" custT="1"/>
      <dgm:spPr>
        <a:solidFill>
          <a:schemeClr val="tx2">
            <a:lumMod val="75000"/>
          </a:schemeClr>
        </a:solidFill>
      </dgm:spPr>
      <dgm:t>
        <a:bodyPr/>
        <a:lstStyle/>
        <a:p>
          <a:r>
            <a:rPr lang="pt-BR" sz="1000" dirty="0"/>
            <a:t>6.1.5. Monthly costs DURING treatment (e.g., routine follow-up)</a:t>
          </a:r>
        </a:p>
      </dgm:t>
    </dgm:pt>
    <dgm:pt modelId="{1BBBEA50-3146-495F-B85C-6678D71A8FB0}" type="parTrans" cxnId="{591BF026-5367-49A2-B008-2168E0F601CE}">
      <dgm:prSet/>
      <dgm:spPr/>
      <dgm:t>
        <a:bodyPr/>
        <a:lstStyle/>
        <a:p>
          <a:endParaRPr lang="pt-BR" sz="1000"/>
        </a:p>
      </dgm:t>
    </dgm:pt>
    <dgm:pt modelId="{6020C550-7398-4578-B429-47346C52DD78}" type="sibTrans" cxnId="{591BF026-5367-49A2-B008-2168E0F601CE}">
      <dgm:prSet/>
      <dgm:spPr/>
      <dgm:t>
        <a:bodyPr/>
        <a:lstStyle/>
        <a:p>
          <a:endParaRPr lang="pt-BR" sz="1000"/>
        </a:p>
      </dgm:t>
    </dgm:pt>
    <dgm:pt modelId="{D350B595-2166-47ED-A1C3-F51114F0F56D}">
      <dgm:prSet phldrT="[Texto]" custT="1"/>
      <dgm:spPr>
        <a:solidFill>
          <a:schemeClr val="tx2">
            <a:lumMod val="75000"/>
          </a:schemeClr>
        </a:solidFill>
      </dgm:spPr>
      <dgm:t>
        <a:bodyPr/>
        <a:lstStyle/>
        <a:p>
          <a:r>
            <a:rPr lang="pt-BR" sz="1000" dirty="0"/>
            <a:t>6.1.6. Monthly costs AFTER treatment (e.g., progression-related costs)</a:t>
          </a:r>
        </a:p>
      </dgm:t>
    </dgm:pt>
    <dgm:pt modelId="{336AF82C-E8FB-4395-9756-B3455031E946}" type="parTrans" cxnId="{45C166C6-C974-4177-8643-8A5F78604F39}">
      <dgm:prSet/>
      <dgm:spPr/>
      <dgm:t>
        <a:bodyPr/>
        <a:lstStyle/>
        <a:p>
          <a:endParaRPr lang="pt-BR" sz="1000"/>
        </a:p>
      </dgm:t>
    </dgm:pt>
    <dgm:pt modelId="{8EDC820A-A423-45AD-97A8-5C988C8E5DB7}" type="sibTrans" cxnId="{45C166C6-C974-4177-8643-8A5F78604F39}">
      <dgm:prSet/>
      <dgm:spPr/>
      <dgm:t>
        <a:bodyPr/>
        <a:lstStyle/>
        <a:p>
          <a:endParaRPr lang="pt-BR" sz="1000"/>
        </a:p>
      </dgm:t>
    </dgm:pt>
    <dgm:pt modelId="{5FE7150C-8591-4770-8FE3-9B043C3D576E}" type="pres">
      <dgm:prSet presAssocID="{56DE26DF-9FF5-4B60-8818-E32C1DEE212F}" presName="theList" presStyleCnt="0">
        <dgm:presLayoutVars>
          <dgm:dir/>
          <dgm:animLvl val="lvl"/>
          <dgm:resizeHandles val="exact"/>
        </dgm:presLayoutVars>
      </dgm:prSet>
      <dgm:spPr/>
    </dgm:pt>
    <dgm:pt modelId="{E66F1DB7-78CD-4E2B-9AED-36CD6A19BAF2}" type="pres">
      <dgm:prSet presAssocID="{82A04AFB-F35C-4906-8984-FB9C1388B8BC}" presName="compNode" presStyleCnt="0"/>
      <dgm:spPr/>
    </dgm:pt>
    <dgm:pt modelId="{E57D96B0-5DDE-4861-9BC7-7FF0718B60EA}" type="pres">
      <dgm:prSet presAssocID="{82A04AFB-F35C-4906-8984-FB9C1388B8BC}" presName="aNode" presStyleLbl="bgShp" presStyleIdx="0" presStyleCnt="2" custLinFactNeighborX="-18987" custLinFactNeighborY="-16908"/>
      <dgm:spPr/>
    </dgm:pt>
    <dgm:pt modelId="{A971ABF2-C245-4CDA-B508-24D2CBA68F51}" type="pres">
      <dgm:prSet presAssocID="{82A04AFB-F35C-4906-8984-FB9C1388B8BC}" presName="textNode" presStyleLbl="bgShp" presStyleIdx="0" presStyleCnt="2"/>
      <dgm:spPr/>
    </dgm:pt>
    <dgm:pt modelId="{28FC0A97-92C3-4361-BACE-4D4DCCDAEC5E}" type="pres">
      <dgm:prSet presAssocID="{82A04AFB-F35C-4906-8984-FB9C1388B8BC}" presName="compChildNode" presStyleCnt="0"/>
      <dgm:spPr/>
    </dgm:pt>
    <dgm:pt modelId="{9E0FC7B4-2814-446C-9D72-9FB682175E6C}" type="pres">
      <dgm:prSet presAssocID="{82A04AFB-F35C-4906-8984-FB9C1388B8BC}" presName="theInnerList" presStyleCnt="0"/>
      <dgm:spPr/>
    </dgm:pt>
    <dgm:pt modelId="{88512D4D-0D2B-4960-B981-45FD8E6902FF}" type="pres">
      <dgm:prSet presAssocID="{D7E91861-5BC4-4537-8ABE-A067DD0003DB}" presName="childNode" presStyleLbl="node1" presStyleIdx="0" presStyleCnt="6">
        <dgm:presLayoutVars>
          <dgm:bulletEnabled val="1"/>
        </dgm:presLayoutVars>
      </dgm:prSet>
      <dgm:spPr/>
    </dgm:pt>
    <dgm:pt modelId="{C56120B0-13B3-4A8E-AF17-7D7997F45365}" type="pres">
      <dgm:prSet presAssocID="{D7E91861-5BC4-4537-8ABE-A067DD0003DB}" presName="aSpace2" presStyleCnt="0"/>
      <dgm:spPr/>
    </dgm:pt>
    <dgm:pt modelId="{87937309-444C-47D5-B38C-A1FE2518E68E}" type="pres">
      <dgm:prSet presAssocID="{D3FC16ED-2D62-420F-A894-6543BE6E45A1}" presName="childNode" presStyleLbl="node1" presStyleIdx="1" presStyleCnt="6">
        <dgm:presLayoutVars>
          <dgm:bulletEnabled val="1"/>
        </dgm:presLayoutVars>
      </dgm:prSet>
      <dgm:spPr/>
    </dgm:pt>
    <dgm:pt modelId="{D708E788-7314-49A2-8934-AF8208FC57C1}" type="pres">
      <dgm:prSet presAssocID="{D3FC16ED-2D62-420F-A894-6543BE6E45A1}" presName="aSpace2" presStyleCnt="0"/>
      <dgm:spPr/>
    </dgm:pt>
    <dgm:pt modelId="{E7D0DB12-B9DE-4B49-A14C-AE9BDA250EC1}" type="pres">
      <dgm:prSet presAssocID="{533A196C-CFEC-4AE5-BADC-B0BC21CC25AA}" presName="childNode" presStyleLbl="node1" presStyleIdx="2" presStyleCnt="6">
        <dgm:presLayoutVars>
          <dgm:bulletEnabled val="1"/>
        </dgm:presLayoutVars>
      </dgm:prSet>
      <dgm:spPr/>
    </dgm:pt>
    <dgm:pt modelId="{8D3AF980-2B14-49C3-8811-DC8D88D2AA93}" type="pres">
      <dgm:prSet presAssocID="{82A04AFB-F35C-4906-8984-FB9C1388B8BC}" presName="aSpace" presStyleCnt="0"/>
      <dgm:spPr/>
    </dgm:pt>
    <dgm:pt modelId="{315A2809-B4B7-4EE9-872D-0817C75A0B4C}" type="pres">
      <dgm:prSet presAssocID="{0543F66E-5D4E-4EA4-9D0A-14FDE5F25CD3}" presName="compNode" presStyleCnt="0"/>
      <dgm:spPr/>
    </dgm:pt>
    <dgm:pt modelId="{6D4A1F18-AB19-42D1-B23B-99F41011B617}" type="pres">
      <dgm:prSet presAssocID="{0543F66E-5D4E-4EA4-9D0A-14FDE5F25CD3}" presName="aNode" presStyleLbl="bgShp" presStyleIdx="1" presStyleCnt="2"/>
      <dgm:spPr/>
    </dgm:pt>
    <dgm:pt modelId="{8705E5C2-45AE-4EED-A585-3D0E14BB6FD9}" type="pres">
      <dgm:prSet presAssocID="{0543F66E-5D4E-4EA4-9D0A-14FDE5F25CD3}" presName="textNode" presStyleLbl="bgShp" presStyleIdx="1" presStyleCnt="2"/>
      <dgm:spPr/>
    </dgm:pt>
    <dgm:pt modelId="{CEF54AA1-6690-4D19-80A4-302E4069FCC5}" type="pres">
      <dgm:prSet presAssocID="{0543F66E-5D4E-4EA4-9D0A-14FDE5F25CD3}" presName="compChildNode" presStyleCnt="0"/>
      <dgm:spPr/>
    </dgm:pt>
    <dgm:pt modelId="{EDE3B3DB-48C3-4351-A0BA-F04281BEBD8D}" type="pres">
      <dgm:prSet presAssocID="{0543F66E-5D4E-4EA4-9D0A-14FDE5F25CD3}" presName="theInnerList" presStyleCnt="0"/>
      <dgm:spPr/>
    </dgm:pt>
    <dgm:pt modelId="{B407A87B-58B8-4399-BCAA-8CF8B3915EAF}" type="pres">
      <dgm:prSet presAssocID="{68B04809-A1B8-4504-BE35-1FE060095996}" presName="childNode" presStyleLbl="node1" presStyleIdx="3" presStyleCnt="6">
        <dgm:presLayoutVars>
          <dgm:bulletEnabled val="1"/>
        </dgm:presLayoutVars>
      </dgm:prSet>
      <dgm:spPr/>
    </dgm:pt>
    <dgm:pt modelId="{4904F188-A0ED-4463-8111-60599200E013}" type="pres">
      <dgm:prSet presAssocID="{68B04809-A1B8-4504-BE35-1FE060095996}" presName="aSpace2" presStyleCnt="0"/>
      <dgm:spPr/>
    </dgm:pt>
    <dgm:pt modelId="{CAD01943-AF78-49A9-A5A7-D9253BDC1D38}" type="pres">
      <dgm:prSet presAssocID="{5D901CDD-36D5-4F8F-8783-1CEE002B5771}" presName="childNode" presStyleLbl="node1" presStyleIdx="4" presStyleCnt="6">
        <dgm:presLayoutVars>
          <dgm:bulletEnabled val="1"/>
        </dgm:presLayoutVars>
      </dgm:prSet>
      <dgm:spPr/>
    </dgm:pt>
    <dgm:pt modelId="{B6AD1283-B01D-499C-A12C-342A5B444FEF}" type="pres">
      <dgm:prSet presAssocID="{5D901CDD-36D5-4F8F-8783-1CEE002B5771}" presName="aSpace2" presStyleCnt="0"/>
      <dgm:spPr/>
    </dgm:pt>
    <dgm:pt modelId="{D24F3DF7-D72B-452B-A723-8AFDBB205F7B}" type="pres">
      <dgm:prSet presAssocID="{D350B595-2166-47ED-A1C3-F51114F0F56D}" presName="childNode" presStyleLbl="node1" presStyleIdx="5" presStyleCnt="6">
        <dgm:presLayoutVars>
          <dgm:bulletEnabled val="1"/>
        </dgm:presLayoutVars>
      </dgm:prSet>
      <dgm:spPr/>
    </dgm:pt>
  </dgm:ptLst>
  <dgm:cxnLst>
    <dgm:cxn modelId="{F5FD320B-D84E-4726-B1A6-69941423B930}" type="presOf" srcId="{56DE26DF-9FF5-4B60-8818-E32C1DEE212F}" destId="{5FE7150C-8591-4770-8FE3-9B043C3D576E}" srcOrd="0" destOrd="0" presId="urn:microsoft.com/office/officeart/2005/8/layout/lProcess2"/>
    <dgm:cxn modelId="{ED711A15-3F97-42DE-912C-08E7D4E5ED52}" srcId="{0543F66E-5D4E-4EA4-9D0A-14FDE5F25CD3}" destId="{68B04809-A1B8-4504-BE35-1FE060095996}" srcOrd="0" destOrd="0" parTransId="{501C7D79-F2DB-4FD3-9397-10D95D42A59B}" sibTransId="{416A5528-3A69-4ED1-8D4F-4497F912BFDB}"/>
    <dgm:cxn modelId="{1D7E3122-43C4-4C57-8289-AD2E7C77CC1E}" srcId="{82A04AFB-F35C-4906-8984-FB9C1388B8BC}" destId="{533A196C-CFEC-4AE5-BADC-B0BC21CC25AA}" srcOrd="2" destOrd="0" parTransId="{6A95C5A3-30D5-4B9E-A976-E3D7749622FD}" sibTransId="{1CC77DA4-FEFD-4335-8B8D-0DAF8A75136E}"/>
    <dgm:cxn modelId="{887DA422-CA8A-4C86-A5D1-8F34624B8021}" type="presOf" srcId="{D7E91861-5BC4-4537-8ABE-A067DD0003DB}" destId="{88512D4D-0D2B-4960-B981-45FD8E6902FF}" srcOrd="0" destOrd="0" presId="urn:microsoft.com/office/officeart/2005/8/layout/lProcess2"/>
    <dgm:cxn modelId="{5FC5BF23-B796-4DB7-ACF6-CFCED33F992D}" type="presOf" srcId="{68B04809-A1B8-4504-BE35-1FE060095996}" destId="{B407A87B-58B8-4399-BCAA-8CF8B3915EAF}" srcOrd="0" destOrd="0" presId="urn:microsoft.com/office/officeart/2005/8/layout/lProcess2"/>
    <dgm:cxn modelId="{591BF026-5367-49A2-B008-2168E0F601CE}" srcId="{0543F66E-5D4E-4EA4-9D0A-14FDE5F25CD3}" destId="{5D901CDD-36D5-4F8F-8783-1CEE002B5771}" srcOrd="1" destOrd="0" parTransId="{1BBBEA50-3146-495F-B85C-6678D71A8FB0}" sibTransId="{6020C550-7398-4578-B429-47346C52DD78}"/>
    <dgm:cxn modelId="{C515205B-1CC8-4105-A38B-996309470C35}" srcId="{82A04AFB-F35C-4906-8984-FB9C1388B8BC}" destId="{D7E91861-5BC4-4537-8ABE-A067DD0003DB}" srcOrd="0" destOrd="0" parTransId="{FA4B955A-CDA7-4946-B38C-DF78112B19D0}" sibTransId="{EA176569-7390-4D86-A99E-F077F0D35B0B}"/>
    <dgm:cxn modelId="{16492548-5670-48E6-9FAD-68717A5A2AD3}" srcId="{56DE26DF-9FF5-4B60-8818-E32C1DEE212F}" destId="{82A04AFB-F35C-4906-8984-FB9C1388B8BC}" srcOrd="0" destOrd="0" parTransId="{FAEEE7C9-FD1E-4D0F-B396-293EE9963374}" sibTransId="{B71D6376-CF06-462F-8D41-625D6537621D}"/>
    <dgm:cxn modelId="{30B9926C-B52C-4040-9FD3-EB849ED7CF0E}" type="presOf" srcId="{82A04AFB-F35C-4906-8984-FB9C1388B8BC}" destId="{A971ABF2-C245-4CDA-B508-24D2CBA68F51}" srcOrd="1" destOrd="0" presId="urn:microsoft.com/office/officeart/2005/8/layout/lProcess2"/>
    <dgm:cxn modelId="{5B70744E-6F97-4BC6-926C-568628F1BC33}" srcId="{82A04AFB-F35C-4906-8984-FB9C1388B8BC}" destId="{D3FC16ED-2D62-420F-A894-6543BE6E45A1}" srcOrd="1" destOrd="0" parTransId="{2CD6DF31-91B0-43D1-BF1C-B76007ED9628}" sibTransId="{A275EC1F-323C-4468-B50E-2603AE6A250D}"/>
    <dgm:cxn modelId="{1C6D1854-D229-4D2A-A4A5-B07DA1C33589}" type="presOf" srcId="{0543F66E-5D4E-4EA4-9D0A-14FDE5F25CD3}" destId="{6D4A1F18-AB19-42D1-B23B-99F41011B617}" srcOrd="0" destOrd="0" presId="urn:microsoft.com/office/officeart/2005/8/layout/lProcess2"/>
    <dgm:cxn modelId="{756E7E7E-A15A-4F58-8BCB-662DB4523B43}" srcId="{56DE26DF-9FF5-4B60-8818-E32C1DEE212F}" destId="{0543F66E-5D4E-4EA4-9D0A-14FDE5F25CD3}" srcOrd="1" destOrd="0" parTransId="{71E71121-63E6-4BA1-8EDF-3B3EDE720CFB}" sibTransId="{4445D0FD-F19B-4AA1-9F15-0B6E8A195F02}"/>
    <dgm:cxn modelId="{7F0AAD8A-9D94-4A72-B964-F8773001FE6C}" type="presOf" srcId="{D350B595-2166-47ED-A1C3-F51114F0F56D}" destId="{D24F3DF7-D72B-452B-A723-8AFDBB205F7B}" srcOrd="0" destOrd="0" presId="urn:microsoft.com/office/officeart/2005/8/layout/lProcess2"/>
    <dgm:cxn modelId="{75F73A9D-7B23-45CE-925D-FD8AC2E0C8BF}" type="presOf" srcId="{D3FC16ED-2D62-420F-A894-6543BE6E45A1}" destId="{87937309-444C-47D5-B38C-A1FE2518E68E}" srcOrd="0" destOrd="0" presId="urn:microsoft.com/office/officeart/2005/8/layout/lProcess2"/>
    <dgm:cxn modelId="{A88B9FA9-F5A8-48E1-A206-EB9E7D899742}" type="presOf" srcId="{0543F66E-5D4E-4EA4-9D0A-14FDE5F25CD3}" destId="{8705E5C2-45AE-4EED-A585-3D0E14BB6FD9}" srcOrd="1" destOrd="0" presId="urn:microsoft.com/office/officeart/2005/8/layout/lProcess2"/>
    <dgm:cxn modelId="{2D41DFB2-CA08-46B9-924C-5345C500F60A}" type="presOf" srcId="{533A196C-CFEC-4AE5-BADC-B0BC21CC25AA}" destId="{E7D0DB12-B9DE-4B49-A14C-AE9BDA250EC1}" srcOrd="0" destOrd="0" presId="urn:microsoft.com/office/officeart/2005/8/layout/lProcess2"/>
    <dgm:cxn modelId="{45C166C6-C974-4177-8643-8A5F78604F39}" srcId="{0543F66E-5D4E-4EA4-9D0A-14FDE5F25CD3}" destId="{D350B595-2166-47ED-A1C3-F51114F0F56D}" srcOrd="2" destOrd="0" parTransId="{336AF82C-E8FB-4395-9756-B3455031E946}" sibTransId="{8EDC820A-A423-45AD-97A8-5C988C8E5DB7}"/>
    <dgm:cxn modelId="{26F431DB-0024-4F95-92D9-C8AAFA500EB6}" type="presOf" srcId="{82A04AFB-F35C-4906-8984-FB9C1388B8BC}" destId="{E57D96B0-5DDE-4861-9BC7-7FF0718B60EA}" srcOrd="0" destOrd="0" presId="urn:microsoft.com/office/officeart/2005/8/layout/lProcess2"/>
    <dgm:cxn modelId="{A0F2CEED-B019-4899-9970-8B7A169952D6}" type="presOf" srcId="{5D901CDD-36D5-4F8F-8783-1CEE002B5771}" destId="{CAD01943-AF78-49A9-A5A7-D9253BDC1D38}" srcOrd="0" destOrd="0" presId="urn:microsoft.com/office/officeart/2005/8/layout/lProcess2"/>
    <dgm:cxn modelId="{71566644-0DD2-41DB-8437-573ADBD5C0B2}" type="presParOf" srcId="{5FE7150C-8591-4770-8FE3-9B043C3D576E}" destId="{E66F1DB7-78CD-4E2B-9AED-36CD6A19BAF2}" srcOrd="0" destOrd="0" presId="urn:microsoft.com/office/officeart/2005/8/layout/lProcess2"/>
    <dgm:cxn modelId="{D577F0FB-0723-4371-8084-1FBB8E416A8A}" type="presParOf" srcId="{E66F1DB7-78CD-4E2B-9AED-36CD6A19BAF2}" destId="{E57D96B0-5DDE-4861-9BC7-7FF0718B60EA}" srcOrd="0" destOrd="0" presId="urn:microsoft.com/office/officeart/2005/8/layout/lProcess2"/>
    <dgm:cxn modelId="{711CEEE8-4AE1-4029-B490-45AA75F2658B}" type="presParOf" srcId="{E66F1DB7-78CD-4E2B-9AED-36CD6A19BAF2}" destId="{A971ABF2-C245-4CDA-B508-24D2CBA68F51}" srcOrd="1" destOrd="0" presId="urn:microsoft.com/office/officeart/2005/8/layout/lProcess2"/>
    <dgm:cxn modelId="{5D33B945-54FF-4D27-9E11-1191A6A49825}" type="presParOf" srcId="{E66F1DB7-78CD-4E2B-9AED-36CD6A19BAF2}" destId="{28FC0A97-92C3-4361-BACE-4D4DCCDAEC5E}" srcOrd="2" destOrd="0" presId="urn:microsoft.com/office/officeart/2005/8/layout/lProcess2"/>
    <dgm:cxn modelId="{3B4E09BF-8FEC-4E8E-B2F9-C81B448ABCDC}" type="presParOf" srcId="{28FC0A97-92C3-4361-BACE-4D4DCCDAEC5E}" destId="{9E0FC7B4-2814-446C-9D72-9FB682175E6C}" srcOrd="0" destOrd="0" presId="urn:microsoft.com/office/officeart/2005/8/layout/lProcess2"/>
    <dgm:cxn modelId="{028C5920-3D66-4E91-AD35-9FB48F1F373B}" type="presParOf" srcId="{9E0FC7B4-2814-446C-9D72-9FB682175E6C}" destId="{88512D4D-0D2B-4960-B981-45FD8E6902FF}" srcOrd="0" destOrd="0" presId="urn:microsoft.com/office/officeart/2005/8/layout/lProcess2"/>
    <dgm:cxn modelId="{132FF2F5-96FF-4D27-91B0-F57D175AC20F}" type="presParOf" srcId="{9E0FC7B4-2814-446C-9D72-9FB682175E6C}" destId="{C56120B0-13B3-4A8E-AF17-7D7997F45365}" srcOrd="1" destOrd="0" presId="urn:microsoft.com/office/officeart/2005/8/layout/lProcess2"/>
    <dgm:cxn modelId="{C717E857-EE30-40F6-855A-DCC52D6D0579}" type="presParOf" srcId="{9E0FC7B4-2814-446C-9D72-9FB682175E6C}" destId="{87937309-444C-47D5-B38C-A1FE2518E68E}" srcOrd="2" destOrd="0" presId="urn:microsoft.com/office/officeart/2005/8/layout/lProcess2"/>
    <dgm:cxn modelId="{475D2CBB-E917-4752-9F47-BD04EA6D1796}" type="presParOf" srcId="{9E0FC7B4-2814-446C-9D72-9FB682175E6C}" destId="{D708E788-7314-49A2-8934-AF8208FC57C1}" srcOrd="3" destOrd="0" presId="urn:microsoft.com/office/officeart/2005/8/layout/lProcess2"/>
    <dgm:cxn modelId="{C3D955E7-298A-4756-8BB0-AAC0C86AD578}" type="presParOf" srcId="{9E0FC7B4-2814-446C-9D72-9FB682175E6C}" destId="{E7D0DB12-B9DE-4B49-A14C-AE9BDA250EC1}" srcOrd="4" destOrd="0" presId="urn:microsoft.com/office/officeart/2005/8/layout/lProcess2"/>
    <dgm:cxn modelId="{130DC318-E4CD-4EB8-B100-17B2F4B129FD}" type="presParOf" srcId="{5FE7150C-8591-4770-8FE3-9B043C3D576E}" destId="{8D3AF980-2B14-49C3-8811-DC8D88D2AA93}" srcOrd="1" destOrd="0" presId="urn:microsoft.com/office/officeart/2005/8/layout/lProcess2"/>
    <dgm:cxn modelId="{ADB605DB-A393-4568-80A3-08EEDF13354B}" type="presParOf" srcId="{5FE7150C-8591-4770-8FE3-9B043C3D576E}" destId="{315A2809-B4B7-4EE9-872D-0817C75A0B4C}" srcOrd="2" destOrd="0" presId="urn:microsoft.com/office/officeart/2005/8/layout/lProcess2"/>
    <dgm:cxn modelId="{6E6DB5CB-CEB1-47A9-AD21-1E18432C72E8}" type="presParOf" srcId="{315A2809-B4B7-4EE9-872D-0817C75A0B4C}" destId="{6D4A1F18-AB19-42D1-B23B-99F41011B617}" srcOrd="0" destOrd="0" presId="urn:microsoft.com/office/officeart/2005/8/layout/lProcess2"/>
    <dgm:cxn modelId="{834F9A3F-61AE-4D99-BA68-C71FE2AB69F0}" type="presParOf" srcId="{315A2809-B4B7-4EE9-872D-0817C75A0B4C}" destId="{8705E5C2-45AE-4EED-A585-3D0E14BB6FD9}" srcOrd="1" destOrd="0" presId="urn:microsoft.com/office/officeart/2005/8/layout/lProcess2"/>
    <dgm:cxn modelId="{51DA4CF5-DADC-40CA-A9FF-AAD5A9C77D5C}" type="presParOf" srcId="{315A2809-B4B7-4EE9-872D-0817C75A0B4C}" destId="{CEF54AA1-6690-4D19-80A4-302E4069FCC5}" srcOrd="2" destOrd="0" presId="urn:microsoft.com/office/officeart/2005/8/layout/lProcess2"/>
    <dgm:cxn modelId="{E2C9C481-7BF1-48AE-A067-65706D033D8A}" type="presParOf" srcId="{CEF54AA1-6690-4D19-80A4-302E4069FCC5}" destId="{EDE3B3DB-48C3-4351-A0BA-F04281BEBD8D}" srcOrd="0" destOrd="0" presId="urn:microsoft.com/office/officeart/2005/8/layout/lProcess2"/>
    <dgm:cxn modelId="{B35BAC54-EC03-4233-A6A6-629AD1C62698}" type="presParOf" srcId="{EDE3B3DB-48C3-4351-A0BA-F04281BEBD8D}" destId="{B407A87B-58B8-4399-BCAA-8CF8B3915EAF}" srcOrd="0" destOrd="0" presId="urn:microsoft.com/office/officeart/2005/8/layout/lProcess2"/>
    <dgm:cxn modelId="{28E3AB79-9C60-41F7-9402-EECA2C19DF38}" type="presParOf" srcId="{EDE3B3DB-48C3-4351-A0BA-F04281BEBD8D}" destId="{4904F188-A0ED-4463-8111-60599200E013}" srcOrd="1" destOrd="0" presId="urn:microsoft.com/office/officeart/2005/8/layout/lProcess2"/>
    <dgm:cxn modelId="{7CEE80C6-A610-4322-A56E-601CD991742B}" type="presParOf" srcId="{EDE3B3DB-48C3-4351-A0BA-F04281BEBD8D}" destId="{CAD01943-AF78-49A9-A5A7-D9253BDC1D38}" srcOrd="2" destOrd="0" presId="urn:microsoft.com/office/officeart/2005/8/layout/lProcess2"/>
    <dgm:cxn modelId="{57F1961A-03A3-4C18-B1A5-D14F55F890C0}" type="presParOf" srcId="{EDE3B3DB-48C3-4351-A0BA-F04281BEBD8D}" destId="{B6AD1283-B01D-499C-A12C-342A5B444FEF}" srcOrd="3" destOrd="0" presId="urn:microsoft.com/office/officeart/2005/8/layout/lProcess2"/>
    <dgm:cxn modelId="{598DAB1C-8FAD-422A-A222-A99020F75D05}" type="presParOf" srcId="{EDE3B3DB-48C3-4351-A0BA-F04281BEBD8D}" destId="{D24F3DF7-D72B-452B-A723-8AFDBB205F7B}" srcOrd="4" destOrd="0" presId="urn:microsoft.com/office/officeart/2005/8/layout/lProcess2"/>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57D96B0-5DDE-4861-9BC7-7FF0718B60EA}">
      <dsp:nvSpPr>
        <dsp:cNvPr id="0" name=""/>
        <dsp:cNvSpPr/>
      </dsp:nvSpPr>
      <dsp:spPr>
        <a:xfrm>
          <a:off x="0" y="0"/>
          <a:ext cx="3981056" cy="1743074"/>
        </a:xfrm>
        <a:prstGeom prst="roundRect">
          <a:avLst>
            <a:gd name="adj" fmla="val 10000"/>
          </a:avLst>
        </a:prstGeom>
        <a:solidFill>
          <a:schemeClr val="accent6">
            <a:lumMod val="40000"/>
            <a:lumOff val="6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Technology-Specific Costs</a:t>
          </a:r>
        </a:p>
      </dsp:txBody>
      <dsp:txXfrm>
        <a:off x="0" y="0"/>
        <a:ext cx="3981056" cy="522922"/>
      </dsp:txXfrm>
    </dsp:sp>
    <dsp:sp modelId="{88512D4D-0D2B-4960-B981-45FD8E6902FF}">
      <dsp:nvSpPr>
        <dsp:cNvPr id="0" name=""/>
        <dsp:cNvSpPr/>
      </dsp:nvSpPr>
      <dsp:spPr>
        <a:xfrm>
          <a:off x="402244" y="523071"/>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6.1.1. Initial treatment cost (e.g., induction therapy)</a:t>
          </a:r>
        </a:p>
      </dsp:txBody>
      <dsp:txXfrm>
        <a:off x="412274" y="533101"/>
        <a:ext cx="3164785" cy="322384"/>
      </dsp:txXfrm>
    </dsp:sp>
    <dsp:sp modelId="{87937309-444C-47D5-B38C-A1FE2518E68E}">
      <dsp:nvSpPr>
        <dsp:cNvPr id="0" name=""/>
        <dsp:cNvSpPr/>
      </dsp:nvSpPr>
      <dsp:spPr>
        <a:xfrm>
          <a:off x="402244" y="918199"/>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6.1.2. Ongoing monthly treatment cost (recurrent/continuous)</a:t>
          </a:r>
        </a:p>
      </dsp:txBody>
      <dsp:txXfrm>
        <a:off x="412274" y="928229"/>
        <a:ext cx="3164785" cy="322384"/>
      </dsp:txXfrm>
    </dsp:sp>
    <dsp:sp modelId="{E7D0DB12-B9DE-4B49-A14C-AE9BDA250EC1}">
      <dsp:nvSpPr>
        <dsp:cNvPr id="0" name=""/>
        <dsp:cNvSpPr/>
      </dsp:nvSpPr>
      <dsp:spPr>
        <a:xfrm>
          <a:off x="402244" y="1313327"/>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6.1.3. Additional monthly costs (e.g., adverse event monitoring)</a:t>
          </a:r>
        </a:p>
      </dsp:txBody>
      <dsp:txXfrm>
        <a:off x="412274" y="1323357"/>
        <a:ext cx="3164785" cy="322384"/>
      </dsp:txXfrm>
    </dsp:sp>
    <dsp:sp modelId="{6D4A1F18-AB19-42D1-B23B-99F41011B617}">
      <dsp:nvSpPr>
        <dsp:cNvPr id="0" name=""/>
        <dsp:cNvSpPr/>
      </dsp:nvSpPr>
      <dsp:spPr>
        <a:xfrm>
          <a:off x="4283774" y="0"/>
          <a:ext cx="3981056" cy="1743074"/>
        </a:xfrm>
        <a:prstGeom prst="roundRect">
          <a:avLst>
            <a:gd name="adj" fmla="val 10000"/>
          </a:avLst>
        </a:prstGeom>
        <a:solidFill>
          <a:schemeClr val="accent3">
            <a:lumMod val="20000"/>
            <a:lumOff val="8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General Costs for All Technologies</a:t>
          </a:r>
        </a:p>
      </dsp:txBody>
      <dsp:txXfrm>
        <a:off x="4283774" y="0"/>
        <a:ext cx="3981056" cy="522922"/>
      </dsp:txXfrm>
    </dsp:sp>
    <dsp:sp modelId="{B407A87B-58B8-4399-BCAA-8CF8B3915EAF}">
      <dsp:nvSpPr>
        <dsp:cNvPr id="0" name=""/>
        <dsp:cNvSpPr/>
      </dsp:nvSpPr>
      <dsp:spPr>
        <a:xfrm>
          <a:off x="4681880" y="523071"/>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6.1.4. Initial general costs (e.g., molecular testing)</a:t>
          </a:r>
        </a:p>
      </dsp:txBody>
      <dsp:txXfrm>
        <a:off x="4691910" y="533101"/>
        <a:ext cx="3164785" cy="322384"/>
      </dsp:txXfrm>
    </dsp:sp>
    <dsp:sp modelId="{CAD01943-AF78-49A9-A5A7-D9253BDC1D38}">
      <dsp:nvSpPr>
        <dsp:cNvPr id="0" name=""/>
        <dsp:cNvSpPr/>
      </dsp:nvSpPr>
      <dsp:spPr>
        <a:xfrm>
          <a:off x="4681880" y="918199"/>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6.1.5. Monthly costs DURING treatment (e.g., routine follow-up)</a:t>
          </a:r>
        </a:p>
      </dsp:txBody>
      <dsp:txXfrm>
        <a:off x="4691910" y="928229"/>
        <a:ext cx="3164785" cy="322384"/>
      </dsp:txXfrm>
    </dsp:sp>
    <dsp:sp modelId="{D24F3DF7-D72B-452B-A723-8AFDBB205F7B}">
      <dsp:nvSpPr>
        <dsp:cNvPr id="0" name=""/>
        <dsp:cNvSpPr/>
      </dsp:nvSpPr>
      <dsp:spPr>
        <a:xfrm>
          <a:off x="4681880" y="1313327"/>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6.1.6. Monthly costs AFTER treatment (e.g., progression-related costs)</a:t>
          </a:r>
        </a:p>
      </dsp:txBody>
      <dsp:txXfrm>
        <a:off x="4691910" y="1323357"/>
        <a:ext cx="3164785" cy="322384"/>
      </dsp:txXfrm>
    </dsp:sp>
  </dsp:spTree>
</dsp:drawing>
</file>

<file path=xl/diagrams/layout1.xml><?xml version="1.0" encoding="utf-8"?>
<dgm:layoutDef xmlns:dgm="http://schemas.openxmlformats.org/drawingml/2006/diagram" xmlns:a="http://schemas.openxmlformats.org/drawingml/2006/main" uniqueId="urn:microsoft.com/office/officeart/2005/8/layout/lProcess2">
  <dgm:title val=""/>
  <dgm:desc val=""/>
  <dgm:catLst>
    <dgm:cat type="list" pri="10000"/>
    <dgm:cat type="relationship" pri="13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13" srcId="1" destId="11" srcOrd="0" destOrd="0"/>
        <dgm:cxn modelId="14" srcId="1" destId="12" srcOrd="0" destOrd="0"/>
        <dgm:cxn modelId="23" srcId="2" destId="21" srcOrd="0" destOrd="0"/>
        <dgm:cxn modelId="24" srcId="2" destId="22" srcOrd="0" destOrd="0"/>
        <dgm:cxn modelId="33" srcId="3" destId="31" srcOrd="0" destOrd="0"/>
        <dgm:cxn modelId="34" srcId="3" destId="32" srcOrd="0" destOrd="0"/>
      </dgm:cxnLst>
      <dgm:bg/>
      <dgm:whole/>
    </dgm:dataModel>
  </dgm:sampData>
  <dgm:styleData useDef="1">
    <dgm:dataModel>
      <dgm:ptLst/>
      <dgm:bg/>
      <dgm:whole/>
    </dgm:dataModel>
  </dgm:styleData>
  <dgm:clrData useDef="1">
    <dgm:dataModel>
      <dgm:ptLst/>
      <dgm:bg/>
      <dgm:whole/>
    </dgm:dataModel>
  </dgm:clrData>
  <dgm:layoutNode name="theList">
    <dgm:varLst>
      <dgm:dir/>
      <dgm:animLvl val="lvl"/>
      <dgm:resizeHandles val="exact"/>
    </dgm:varLst>
    <dgm:choose name="Name0">
      <dgm:if name="Name1" func="var" arg="dir" op="equ" val="norm">
        <dgm:alg type="lin"/>
      </dgm:if>
      <dgm:else name="Name2">
        <dgm:alg type="lin">
          <dgm:param type="linDir" val="fromR"/>
        </dgm:alg>
      </dgm:else>
    </dgm:choose>
    <dgm:shape xmlns:r="http://schemas.openxmlformats.org/officeDocument/2006/relationships" r:blip="">
      <dgm:adjLst/>
    </dgm:shape>
    <dgm:presOf/>
    <dgm:constrLst>
      <dgm:constr type="w" for="ch" forName="compNode" refType="w"/>
      <dgm:constr type="h" for="ch" forName="compNode" refType="h"/>
      <dgm:constr type="w" for="ch" forName="aSpace" refType="w" fact="0.075"/>
      <dgm:constr type="h" for="des" forName="aSpace2" refType="h" fact="0.1"/>
      <dgm:constr type="primFontSz" for="des" forName="textNode" op="equ"/>
      <dgm:constr type="primFontSz" for="des" forName="childNode" op="equ"/>
    </dgm:constrLst>
    <dgm:ruleLst/>
    <dgm:forEach name="aNodeForEach" axis="ch" ptType="node">
      <dgm:layoutNode name="compNode">
        <dgm:alg type="composite"/>
        <dgm:shape xmlns:r="http://schemas.openxmlformats.org/officeDocument/2006/relationships" r:blip="">
          <dgm:adjLst/>
        </dgm:shape>
        <dgm:presOf/>
        <dgm:constrLst>
          <dgm:constr type="w" for="ch" forName="aNode" refType="w"/>
          <dgm:constr type="h" for="ch" forName="aNode" refType="h"/>
          <dgm:constr type="w" for="ch" forName="textNode" refType="w"/>
          <dgm:constr type="h" for="ch" forName="textNode" refType="h" fact="0.3"/>
          <dgm:constr type="ctrX" for="ch" forName="textNode" refType="w" fact="0.5"/>
          <dgm:constr type="w" for="ch" forName="compChildNode" refType="w" fact="0.8"/>
          <dgm:constr type="h" for="ch" forName="compChildNode" refType="h" fact="0.65"/>
          <dgm:constr type="t" for="ch" forName="compChildNode" refType="h" fact="0.3"/>
          <dgm:constr type="ctrX" for="ch" forName="compChildNode" refType="w" fact="0.5"/>
        </dgm:constrLst>
        <dgm:ruleLst/>
        <dgm:layoutNode name="aNode" styleLbl="bgShp">
          <dgm:alg type="sp"/>
          <dgm:shape xmlns:r="http://schemas.openxmlformats.org/officeDocument/2006/relationships" type="roundRect" r:blip="">
            <dgm:adjLst>
              <dgm:adj idx="1" val="0.1"/>
            </dgm:adjLst>
          </dgm:shape>
          <dgm:presOf axis="self"/>
          <dgm:constrLst/>
          <dgm:ruleLst/>
        </dgm:layoutNode>
        <dgm:layoutNode name="textNode" styleLbl="bgShp">
          <dgm:alg type="tx"/>
          <dgm:shape xmlns:r="http://schemas.openxmlformats.org/officeDocument/2006/relationships" type="rect" r:blip="" hideGeom="1">
            <dgm:adjLst>
              <dgm:adj idx="1" val="0.1"/>
            </dgm:adjLst>
          </dgm:shape>
          <dgm:presOf axis="self"/>
          <dgm:constrLst>
            <dgm:constr type="primFontSz" val="65"/>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compChildNode">
          <dgm:alg type="composite"/>
          <dgm:shape xmlns:r="http://schemas.openxmlformats.org/officeDocument/2006/relationships" r:blip="">
            <dgm:adjLst/>
          </dgm:shape>
          <dgm:presOf/>
          <dgm:constrLst>
            <dgm:constr type="w" for="des" forName="childNode" refType="w"/>
            <dgm:constr type="h" for="des" forName="childNode" refType="h"/>
          </dgm:constrLst>
          <dgm:ruleLst/>
          <dgm:layoutNode name="theInnerList">
            <dgm:alg type="lin">
              <dgm:param type="linDir" val="fromT"/>
            </dgm:alg>
            <dgm:shape xmlns:r="http://schemas.openxmlformats.org/officeDocument/2006/relationships" r:blip="">
              <dgm:adjLst/>
            </dgm:shape>
            <dgm:presOf/>
            <dgm:constrLst/>
            <dgm:ruleLst/>
            <dgm:forEach name="childNodeForEach" axis="ch" ptType="node">
              <dgm:layoutNode name="childNode" styleLbl="node1">
                <dgm:varLst>
                  <dgm:bulletEnabled val="1"/>
                </dgm:varLst>
                <dgm:alg type="tx"/>
                <dgm:shape xmlns:r="http://schemas.openxmlformats.org/officeDocument/2006/relationships" type="roundRect" r:blip="">
                  <dgm:adjLst>
                    <dgm:adj idx="1" val="0.1"/>
                  </dgm:adjLst>
                </dgm:shape>
                <dgm:presOf axis="desOrSelf" ptType="node"/>
                <dgm:constrLst>
                  <dgm:constr type="primFontSz" val="65"/>
                  <dgm:constr type="tMarg" refType="primFontSz" fact="0.15"/>
                  <dgm:constr type="bMarg" refType="primFontSz" fact="0.15"/>
                  <dgm:constr type="lMarg" refType="primFontSz" fact="0.2"/>
                  <dgm:constr type="rMarg" refType="primFontSz" fact="0.2"/>
                </dgm:constrLst>
                <dgm:ruleLst>
                  <dgm:rule type="primFontSz" val="5" fact="NaN" max="NaN"/>
                </dgm:ruleLst>
              </dgm:layoutNode>
              <dgm:choose name="Name3">
                <dgm:if name="Name4" axis="self" ptType="node" func="revPos" op="equ" val="1"/>
                <dgm:else name="Name5">
                  <dgm:layoutNode name="aSpace2">
                    <dgm:alg type="sp"/>
                    <dgm:shape xmlns:r="http://schemas.openxmlformats.org/officeDocument/2006/relationships" r:blip="">
                      <dgm:adjLst/>
                    </dgm:shape>
                    <dgm:presOf/>
                    <dgm:constrLst/>
                    <dgm:ruleLst/>
                  </dgm:layoutNode>
                </dgm:else>
              </dgm:choose>
            </dgm:forEach>
          </dgm:layoutNode>
        </dgm:layoutNode>
      </dgm:layoutNode>
      <dgm:choose name="Name6">
        <dgm:if name="Name7" axis="self" ptType="node" func="revPos" op="equ" val="1"/>
        <dgm:else name="Name8">
          <dgm:layoutNode name="aSpace">
            <dgm:alg type="sp"/>
            <dgm:shape xmlns:r="http://schemas.openxmlformats.org/officeDocument/2006/relationships" r:blip="">
              <dgm:adjLst/>
            </dgm:shape>
            <dgm:presOf/>
            <dgm:constrLst/>
            <dgm:ruleLst/>
          </dgm:layoutNode>
        </dgm:else>
      </dgm:choos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Definitions!A1"/></Relationships>
</file>

<file path=xl/drawings/_rels/drawing2.xml.rels><?xml version="1.0" encoding="UTF-8" standalone="yes"?>
<Relationships xmlns="http://schemas.openxmlformats.org/package/2006/relationships"><Relationship Id="rId2" Type="http://schemas.openxmlformats.org/officeDocument/2006/relationships/hyperlink" Target="#Introduction!A1"/><Relationship Id="rId1" Type="http://schemas.openxmlformats.org/officeDocument/2006/relationships/hyperlink" Target="#'Mkt share'!A1"/></Relationships>
</file>

<file path=xl/drawings/_rels/drawing3.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chart" Target="../charts/chart1.xml"/><Relationship Id="rId7" Type="http://schemas.openxmlformats.org/officeDocument/2006/relationships/image" Target="../media/image2.png"/><Relationship Id="rId2" Type="http://schemas.openxmlformats.org/officeDocument/2006/relationships/hyperlink" Target="#Definitions!A1"/><Relationship Id="rId1" Type="http://schemas.openxmlformats.org/officeDocument/2006/relationships/hyperlink" Target="#Population!A1"/><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hyperlink" Target="#'Mkt share'!A1"/><Relationship Id="rId1" Type="http://schemas.openxmlformats.org/officeDocument/2006/relationships/hyperlink" Target="#Costs!A1"/><Relationship Id="rId6" Type="http://schemas.openxmlformats.org/officeDocument/2006/relationships/image" Target="../media/image3.svg"/><Relationship Id="rId5" Type="http://schemas.openxmlformats.org/officeDocument/2006/relationships/image" Target="../media/image2.png"/><Relationship Id="rId4" Type="http://schemas.microsoft.com/office/2014/relationships/chartEx" Target="../charts/chartEx1.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diagramData" Target="../diagrams/data1.xml"/><Relationship Id="rId7" Type="http://schemas.microsoft.com/office/2007/relationships/diagramDrawing" Target="../diagrams/drawing1.xml"/><Relationship Id="rId2" Type="http://schemas.openxmlformats.org/officeDocument/2006/relationships/hyperlink" Target="#Population!A1"/><Relationship Id="rId1" Type="http://schemas.openxmlformats.org/officeDocument/2006/relationships/hyperlink" Target="#'Time on treatment'!A1"/><Relationship Id="rId6" Type="http://schemas.openxmlformats.org/officeDocument/2006/relationships/diagramColors" Target="../diagrams/colors1.xml"/><Relationship Id="rId5" Type="http://schemas.openxmlformats.org/officeDocument/2006/relationships/diagramQuickStyle" Target="../diagrams/quickStyle1.xml"/><Relationship Id="rId4" Type="http://schemas.openxmlformats.org/officeDocument/2006/relationships/diagramLayout" Target="../diagrams/layout1.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3" Type="http://schemas.openxmlformats.org/officeDocument/2006/relationships/hyperlink" Target="#Data!A1"/><Relationship Id="rId2" Type="http://schemas.openxmlformats.org/officeDocument/2006/relationships/hyperlink" Target="#Costs!A1"/><Relationship Id="rId1" Type="http://schemas.openxmlformats.org/officeDocument/2006/relationships/hyperlink" Target="#Results!A1"/><Relationship Id="rId5" Type="http://schemas.openxmlformats.org/officeDocument/2006/relationships/image" Target="../media/image3.sv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hyperlink" Target="#'Time on treatment'!A1"/><Relationship Id="rId1" Type="http://schemas.openxmlformats.org/officeDocument/2006/relationships/hyperlink" Target="#SensibilityAn!A1"/><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hyperlink" Target="#Results!A1"/><Relationship Id="rId1" Type="http://schemas.openxmlformats.org/officeDocument/2006/relationships/hyperlink" Target="#PSA!A1"/><Relationship Id="rId4"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Calculations!A1"/><Relationship Id="rId1" Type="http://schemas.openxmlformats.org/officeDocument/2006/relationships/hyperlink" Target="#Results!A1"/><Relationship Id="rId4" Type="http://schemas.openxmlformats.org/officeDocument/2006/relationships/image" Target="../media/image3.svg"/></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hyperlink" Target="#'Time on treatment'!A1"/></Relationships>
</file>

<file path=xl/drawings/_rels/drawing13.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5" Type="http://schemas.openxmlformats.org/officeDocument/2006/relationships/hyperlink" Target="#Results!A1"/><Relationship Id="rId4" Type="http://schemas.openxmlformats.org/officeDocument/2006/relationships/chart" Target="../charts/chart25.xml"/></Relationships>
</file>

<file path=xl/drawings/_rels/drawing14.xml.rels><?xml version="1.0" encoding="UTF-8" standalone="yes"?>
<Relationships xmlns="http://schemas.openxmlformats.org/package/2006/relationships"><Relationship Id="rId1" Type="http://schemas.openxmlformats.org/officeDocument/2006/relationships/hyperlink" Target="#Results!A1"/></Relationships>
</file>

<file path=xl/drawings/_rels/drawing15.xml.rels><?xml version="1.0" encoding="UTF-8" standalone="yes"?>
<Relationships xmlns="http://schemas.openxmlformats.org/package/2006/relationships"><Relationship Id="rId1" Type="http://schemas.openxmlformats.org/officeDocument/2006/relationships/hyperlink" Target="#Results!A1"/></Relationships>
</file>

<file path=xl/drawings/_rels/drawing16.xml.rels><?xml version="1.0" encoding="UTF-8" standalone="yes"?>
<Relationships xmlns="http://schemas.openxmlformats.org/package/2006/relationships"><Relationship Id="rId1" Type="http://schemas.openxmlformats.org/officeDocument/2006/relationships/hyperlink" Target="#Results!A1"/></Relationships>
</file>

<file path=xl/drawings/_rels/drawing17.xml.rels><?xml version="1.0" encoding="UTF-8" standalone="yes"?>
<Relationships xmlns="http://schemas.openxmlformats.org/package/2006/relationships"><Relationship Id="rId1" Type="http://schemas.openxmlformats.org/officeDocument/2006/relationships/hyperlink" Target="#SensibilityAn!A1"/></Relationships>
</file>

<file path=xl/drawings/drawing1.xml><?xml version="1.0" encoding="utf-8"?>
<xdr:wsDr xmlns:xdr="http://schemas.openxmlformats.org/drawingml/2006/spreadsheetDrawing" xmlns:a="http://schemas.openxmlformats.org/drawingml/2006/main">
  <xdr:twoCellAnchor editAs="absolute">
    <xdr:from>
      <xdr:col>1</xdr:col>
      <xdr:colOff>190502</xdr:colOff>
      <xdr:row>4</xdr:row>
      <xdr:rowOff>8660</xdr:rowOff>
    </xdr:from>
    <xdr:to>
      <xdr:col>5</xdr:col>
      <xdr:colOff>910167</xdr:colOff>
      <xdr:row>12</xdr:row>
      <xdr:rowOff>25978</xdr:rowOff>
    </xdr:to>
    <xdr:sp macro="" textlink="">
      <xdr:nvSpPr>
        <xdr:cNvPr id="12" name="CaixaDeTexto 11">
          <a:extLst>
            <a:ext uri="{FF2B5EF4-FFF2-40B4-BE49-F238E27FC236}">
              <a16:creationId xmlns:a16="http://schemas.microsoft.com/office/drawing/2014/main" id="{A3A583F4-1F6F-C830-F0C7-AD1A82B1CE77}"/>
            </a:ext>
          </a:extLst>
        </xdr:cNvPr>
        <xdr:cNvSpPr txBox="1"/>
      </xdr:nvSpPr>
      <xdr:spPr>
        <a:xfrm>
          <a:off x="635002" y="897660"/>
          <a:ext cx="7164915" cy="1541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a:solidFill>
                <a:srgbClr val="0EB1BA"/>
              </a:solidFill>
              <a:effectLst/>
              <a:latin typeface="Calibri" panose="020F0502020204030204" pitchFamily="34" charset="0"/>
            </a:rPr>
            <a:t>General Information</a:t>
          </a:r>
        </a:p>
        <a:p>
          <a:r>
            <a:rPr lang="pt-BR" sz="1100" b="0" i="0" u="none" strike="noStrike">
              <a:solidFill>
                <a:srgbClr val="000000"/>
              </a:solidFill>
              <a:effectLst/>
              <a:latin typeface="Calibri" panose="020F0502020204030204" pitchFamily="34" charset="0"/>
            </a:rPr>
            <a:t>This document was developed by the Unit of Health Technology Assessment (UATS) of the Hospital Alemão Oswaldo Cruz, through a Proadi-SUS partnership.</a:t>
          </a:r>
        </a:p>
        <a:p>
          <a:r>
            <a:rPr lang="pt-BR" b="1">
              <a:solidFill>
                <a:srgbClr val="C00000"/>
              </a:solidFill>
            </a:rPr>
            <a:t>This spreadsheet is intended solely for educational and non-commercial purposes. Reproduction, distribution, or use for commercial gain without prior written permission is strictly prohibited.</a:t>
          </a:r>
          <a:endParaRPr lang="pt-BR" sz="1100" b="0" i="0" u="none" strike="noStrike">
            <a:solidFill>
              <a:srgbClr val="000000"/>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Instructions for Use</a:t>
          </a:r>
          <a:endParaRPr lang="pt-BR" sz="1100" b="0" i="0" u="none" strike="noStrike">
            <a:solidFill>
              <a:schemeClr val="dk1"/>
            </a:solidFill>
            <a:effectLst/>
            <a:latin typeface="+mn-lt"/>
          </a:endParaRPr>
        </a:p>
        <a:p>
          <a:r>
            <a:rPr lang="pt-BR" sz="1100" b="0" i="0" u="none" strike="noStrike">
              <a:solidFill>
                <a:srgbClr val="000000"/>
              </a:solidFill>
              <a:effectLst/>
              <a:latin typeface="Calibri" panose="020F0502020204030204" pitchFamily="34" charset="0"/>
            </a:rPr>
            <a:t>Build the model by defining the number of scenarios, alternatives, and time horizon in the following tabs.</a:t>
          </a:r>
        </a:p>
        <a:p>
          <a:r>
            <a:rPr lang="pt-BR" sz="1100" b="0" i="0" u="none" strike="noStrike">
              <a:solidFill>
                <a:srgbClr val="000000"/>
              </a:solidFill>
              <a:effectLst/>
              <a:latin typeface="Calibri" panose="020F0502020204030204" pitchFamily="34" charset="0"/>
            </a:rPr>
            <a:t>For further guidance, see the instruction manual.</a:t>
          </a:r>
          <a:endParaRPr lang="pt-BR" sz="1100" b="0" i="0" u="none" strike="noStrike">
            <a:solidFill>
              <a:schemeClr val="dk1"/>
            </a:solidFill>
            <a:effectLst/>
            <a:latin typeface="+mn-lt"/>
          </a:endParaRPr>
        </a:p>
      </xdr:txBody>
    </xdr:sp>
    <xdr:clientData/>
  </xdr:twoCellAnchor>
  <xdr:twoCellAnchor editAs="absolute">
    <xdr:from>
      <xdr:col>1</xdr:col>
      <xdr:colOff>181839</xdr:colOff>
      <xdr:row>22</xdr:row>
      <xdr:rowOff>69273</xdr:rowOff>
    </xdr:from>
    <xdr:to>
      <xdr:col>8</xdr:col>
      <xdr:colOff>232834</xdr:colOff>
      <xdr:row>27</xdr:row>
      <xdr:rowOff>86590</xdr:rowOff>
    </xdr:to>
    <xdr:sp macro="" textlink="">
      <xdr:nvSpPr>
        <xdr:cNvPr id="33" name="CaixaDeTexto 32">
          <a:extLst>
            <a:ext uri="{FF2B5EF4-FFF2-40B4-BE49-F238E27FC236}">
              <a16:creationId xmlns:a16="http://schemas.microsoft.com/office/drawing/2014/main" id="{EF077DCC-36E2-499E-BA46-A7EEA0E7A32B}"/>
            </a:ext>
          </a:extLst>
        </xdr:cNvPr>
        <xdr:cNvSpPr txBox="1"/>
      </xdr:nvSpPr>
      <xdr:spPr>
        <a:xfrm>
          <a:off x="571498" y="4390159"/>
          <a:ext cx="10235047" cy="969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0" lang="pt-BR" sz="1100" b="1" i="0" u="none" strike="noStrike" kern="0" cap="none" spc="0" normalizeH="0" baseline="0" noProof="0">
              <a:ln>
                <a:noFill/>
              </a:ln>
              <a:solidFill>
                <a:srgbClr val="0EB1BA"/>
              </a:solidFill>
              <a:effectLst/>
              <a:uLnTx/>
              <a:uFillTx/>
              <a:latin typeface="Calibri" panose="020F0502020204030204" pitchFamily="34" charset="0"/>
              <a:ea typeface="+mn-ea"/>
              <a:cs typeface="+mn-cs"/>
            </a:rPr>
            <a:t>Date of last update of the template spreadsheet:</a:t>
          </a:r>
          <a:r>
            <a:rPr kumimoji="0" lang="pt-BR" sz="1100" b="1" i="0" u="none" strike="noStrike" kern="0" cap="none" spc="0" normalizeH="0" baseline="0" noProof="0">
              <a:ln>
                <a:noFill/>
              </a:ln>
              <a:solidFill>
                <a:sysClr val="windowText" lastClr="000000"/>
              </a:solidFill>
              <a:effectLst/>
              <a:uLnTx/>
              <a:uFillTx/>
              <a:latin typeface="Calibri" panose="020F0502020204030204" pitchFamily="34" charset="0"/>
              <a:ea typeface="+mn-ea"/>
              <a:cs typeface="+mn-cs"/>
            </a:rPr>
            <a:t> September, 2026</a:t>
          </a:r>
          <a:endParaRPr lang="pt-BR" sz="1100" b="1" i="0" u="none" strike="noStrike">
            <a:solidFill>
              <a:srgbClr val="0EB1BA"/>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Prepared by:</a:t>
          </a:r>
          <a:r>
            <a:rPr lang="pt-BR"/>
            <a:t> </a:t>
          </a:r>
          <a:r>
            <a:rPr lang="pt-BR" sz="1000" b="0" i="0" u="none" strike="noStrike">
              <a:solidFill>
                <a:srgbClr val="000000"/>
              </a:solidFill>
              <a:effectLst/>
              <a:latin typeface="Calibri" panose="020F0502020204030204" pitchFamily="34" charset="0"/>
            </a:rPr>
            <a:t>Layssa Andrade Oliveira </a:t>
          </a:r>
          <a:r>
            <a:rPr lang="pt-BR" sz="1000" b="0" i="0" u="none" strike="noStrike">
              <a:solidFill>
                <a:srgbClr val="000000"/>
              </a:solidFill>
              <a:effectLst/>
              <a:latin typeface="Calibri" panose="020F0502020204030204" pitchFamily="34" charset="0"/>
              <a:ea typeface="+mn-ea"/>
              <a:cs typeface="+mn-cs"/>
            </a:rPr>
            <a:t>and Ludmila Peres Gargano</a:t>
          </a:r>
        </a:p>
        <a:p>
          <a:r>
            <a:rPr lang="pt-BR" sz="1100" b="1" i="0" u="none" strike="noStrike">
              <a:solidFill>
                <a:srgbClr val="0EB1BA"/>
              </a:solidFill>
              <a:effectLst/>
              <a:latin typeface="Calibri" panose="020F0502020204030204" pitchFamily="34" charset="0"/>
            </a:rPr>
            <a:t>Coordinated/Reviewed by</a:t>
          </a:r>
          <a:r>
            <a:rPr lang="pt-BR"/>
            <a:t>: </a:t>
          </a:r>
          <a:r>
            <a:rPr lang="pt-BR" sz="1000" b="0" i="0" u="none" strike="noStrike">
              <a:solidFill>
                <a:srgbClr val="000000"/>
              </a:solidFill>
              <a:effectLst/>
              <a:latin typeface="Calibri" panose="020F0502020204030204" pitchFamily="34" charset="0"/>
            </a:rPr>
            <a:t>Rosa Camila Lucchetta</a:t>
          </a:r>
          <a:endParaRPr lang="pt-BR" sz="1100" b="0" i="0" u="none" strike="noStrike">
            <a:solidFill>
              <a:schemeClr val="dk1"/>
            </a:solidFill>
            <a:effectLst/>
            <a:latin typeface="+mn-lt"/>
          </a:endParaRPr>
        </a:p>
        <a:p>
          <a:r>
            <a:rPr lang="pt-BR" sz="1100" b="1" i="0" u="none" strike="noStrike">
              <a:solidFill>
                <a:srgbClr val="0EB1BA"/>
              </a:solidFill>
              <a:effectLst/>
              <a:latin typeface="Calibri" panose="020F0502020204030204" pitchFamily="34" charset="0"/>
            </a:rPr>
            <a:t>Validated by:</a:t>
          </a:r>
          <a:r>
            <a:rPr lang="pt-BR"/>
            <a:t> </a:t>
          </a:r>
          <a:r>
            <a:rPr lang="pt-BR" sz="1000" b="0" i="0" u="none" strike="noStrike">
              <a:solidFill>
                <a:srgbClr val="000000"/>
              </a:solidFill>
              <a:effectLst/>
              <a:latin typeface="Calibri" panose="020F0502020204030204" pitchFamily="34" charset="0"/>
            </a:rPr>
            <a:t>Cecília Menezes; Francino Azevedo; Juliana Viscondi; Mariana Fachi; Tassiane de Paula; Vinicius Ferreira</a:t>
          </a:r>
          <a:r>
            <a:rPr lang="pt-BR"/>
            <a:t> </a:t>
          </a:r>
          <a:endParaRPr lang="pt-BR" sz="1100" kern="1200"/>
        </a:p>
      </xdr:txBody>
    </xdr:sp>
    <xdr:clientData/>
  </xdr:twoCellAnchor>
  <xdr:twoCellAnchor editAs="absolute">
    <xdr:from>
      <xdr:col>1</xdr:col>
      <xdr:colOff>173529</xdr:colOff>
      <xdr:row>12</xdr:row>
      <xdr:rowOff>129540</xdr:rowOff>
    </xdr:from>
    <xdr:to>
      <xdr:col>8</xdr:col>
      <xdr:colOff>220345</xdr:colOff>
      <xdr:row>21</xdr:row>
      <xdr:rowOff>152399</xdr:rowOff>
    </xdr:to>
    <xdr:sp macro="" textlink="">
      <xdr:nvSpPr>
        <xdr:cNvPr id="34" name="CaixaDeTexto 33">
          <a:extLst>
            <a:ext uri="{FF2B5EF4-FFF2-40B4-BE49-F238E27FC236}">
              <a16:creationId xmlns:a16="http://schemas.microsoft.com/office/drawing/2014/main" id="{1027B31E-A77E-4B44-9F63-682C6CD9F14B}"/>
            </a:ext>
          </a:extLst>
        </xdr:cNvPr>
        <xdr:cNvSpPr txBox="1"/>
      </xdr:nvSpPr>
      <xdr:spPr>
        <a:xfrm>
          <a:off x="573579" y="2434590"/>
          <a:ext cx="10524316" cy="1651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baseline="0">
              <a:solidFill>
                <a:srgbClr val="0EB1BA"/>
              </a:solidFill>
              <a:effectLst/>
              <a:latin typeface="Calibri" panose="020F0502020204030204" pitchFamily="34" charset="0"/>
            </a:rPr>
            <a:t>Rationale for using the spreadsheet</a:t>
          </a:r>
          <a:endParaRPr lang="pt-BR" sz="1100" b="1" i="0" u="none" strike="noStrike">
            <a:solidFill>
              <a:srgbClr val="0EB1BA"/>
            </a:solidFill>
            <a:effectLst/>
            <a:latin typeface="Calibri" panose="020F0502020204030204" pitchFamily="34" charset="0"/>
          </a:endParaRPr>
        </a:p>
        <a:p>
          <a:r>
            <a:rPr lang="pt-BR" sz="1100" b="0" i="0" u="none" strike="noStrike">
              <a:solidFill>
                <a:srgbClr val="000000"/>
              </a:solidFill>
              <a:effectLst/>
              <a:latin typeface="Calibri" panose="020F0502020204030204" pitchFamily="34" charset="0"/>
            </a:rPr>
            <a:t>1. Save a copy of the spreadsheet to start a new analysis;</a:t>
          </a:r>
        </a:p>
        <a:p>
          <a:r>
            <a:rPr lang="pt-BR" sz="1100" b="0" i="0" u="none" strike="noStrike">
              <a:solidFill>
                <a:srgbClr val="000000"/>
              </a:solidFill>
              <a:effectLst/>
              <a:latin typeface="Calibri" panose="020F0502020204030204" pitchFamily="34" charset="0"/>
            </a:rPr>
            <a:t>2. Under </a:t>
          </a:r>
          <a:r>
            <a:rPr lang="pt-BR" sz="1100" b="1" i="0" u="none" strike="noStrike">
              <a:solidFill>
                <a:srgbClr val="000000"/>
              </a:solidFill>
              <a:effectLst/>
              <a:latin typeface="Calibri" panose="020F0502020204030204" pitchFamily="34" charset="0"/>
            </a:rPr>
            <a:t>'Definitions</a:t>
          </a:r>
          <a:r>
            <a:rPr lang="pt-BR" sz="1100" b="0" i="0" u="none" strike="noStrike">
              <a:solidFill>
                <a:srgbClr val="000000"/>
              </a:solidFill>
              <a:effectLst/>
              <a:latin typeface="Calibri" panose="020F0502020204030204" pitchFamily="34" charset="0"/>
            </a:rPr>
            <a:t>', describe the components of the research question: population (clinical condition), intervention(s), and comparators (alternatives);</a:t>
          </a:r>
        </a:p>
        <a:p>
          <a:r>
            <a:rPr lang="pt-BR" sz="1100" b="0" i="0" u="none" strike="noStrike">
              <a:solidFill>
                <a:srgbClr val="000000"/>
              </a:solidFill>
              <a:effectLst/>
              <a:latin typeface="Calibri" panose="020F0502020204030204" pitchFamily="34" charset="0"/>
            </a:rPr>
            <a:t>3. and 4. Under </a:t>
          </a:r>
          <a:r>
            <a:rPr lang="pt-BR" sz="1100" b="1" i="0" u="none" strike="noStrike">
              <a:solidFill>
                <a:srgbClr val="000000"/>
              </a:solidFill>
              <a:effectLst/>
              <a:latin typeface="Calibri" panose="020F0502020204030204" pitchFamily="34" charset="0"/>
            </a:rPr>
            <a:t>'Market Share</a:t>
          </a:r>
          <a:r>
            <a:rPr lang="pt-BR" sz="1100" b="0" i="0" u="none" strike="noStrike">
              <a:solidFill>
                <a:srgbClr val="000000"/>
              </a:solidFill>
              <a:effectLst/>
              <a:latin typeface="Calibri" panose="020F0502020204030204" pitchFamily="34" charset="0"/>
            </a:rPr>
            <a:t>' enter the year the analysis began and the expected market share percentages for each scenario (current and proposed scenarios);</a:t>
          </a:r>
        </a:p>
        <a:p>
          <a:r>
            <a:rPr lang="pt-BR" sz="1100" b="0" i="0" u="none" strike="noStrike">
              <a:solidFill>
                <a:srgbClr val="000000"/>
              </a:solidFill>
              <a:effectLst/>
              <a:latin typeface="Calibri" panose="020F0502020204030204" pitchFamily="34" charset="0"/>
            </a:rPr>
            <a:t>5. Under </a:t>
          </a:r>
          <a:r>
            <a:rPr lang="pt-BR" sz="1100" b="1" i="0" u="none" strike="noStrike">
              <a:solidFill>
                <a:srgbClr val="000000"/>
              </a:solidFill>
              <a:effectLst/>
              <a:latin typeface="Calibri" panose="020F0502020204030204" pitchFamily="34" charset="0"/>
            </a:rPr>
            <a:t>'Population'</a:t>
          </a:r>
          <a:r>
            <a:rPr lang="pt-BR" sz="1100" b="0" i="0" u="none" strike="noStrike">
              <a:solidFill>
                <a:srgbClr val="000000"/>
              </a:solidFill>
              <a:effectLst/>
              <a:latin typeface="Calibri" panose="020F0502020204030204" pitchFamily="34" charset="0"/>
            </a:rPr>
            <a:t>, enter the method for calculating the eligible population and the parameters required for the estimates;</a:t>
          </a:r>
        </a:p>
        <a:p>
          <a:r>
            <a:rPr lang="pt-BR" sz="1100" b="0" i="0" u="none" strike="noStrike">
              <a:solidFill>
                <a:srgbClr val="000000"/>
              </a:solidFill>
              <a:effectLst/>
              <a:latin typeface="Calibri" panose="020F0502020204030204" pitchFamily="34" charset="0"/>
            </a:rPr>
            <a:t>6. Under </a:t>
          </a:r>
          <a:r>
            <a:rPr lang="pt-BR" sz="1100" b="1" i="0" u="none" strike="noStrike">
              <a:solidFill>
                <a:srgbClr val="000000"/>
              </a:solidFill>
              <a:effectLst/>
              <a:latin typeface="Calibri" panose="020F0502020204030204" pitchFamily="34" charset="0"/>
            </a:rPr>
            <a:t>'Costs</a:t>
          </a:r>
          <a:r>
            <a:rPr lang="pt-BR" sz="1100" b="0" i="0" u="none" strike="noStrike">
              <a:solidFill>
                <a:srgbClr val="000000"/>
              </a:solidFill>
              <a:effectLst/>
              <a:latin typeface="Calibri" panose="020F0502020204030204" pitchFamily="34" charset="0"/>
            </a:rPr>
            <a:t>,' enter the resources and costs involved according to the type of technology;</a:t>
          </a:r>
        </a:p>
        <a:p>
          <a:r>
            <a:rPr lang="pt-BR" sz="1100" b="0" i="0" u="none" strike="noStrike">
              <a:solidFill>
                <a:srgbClr val="000000"/>
              </a:solidFill>
              <a:effectLst/>
              <a:latin typeface="Calibri" panose="020F0502020204030204" pitchFamily="34" charset="0"/>
            </a:rPr>
            <a:t>7. Under </a:t>
          </a:r>
          <a:r>
            <a:rPr lang="pt-BR" sz="1100" b="1" i="0" u="none" strike="noStrike">
              <a:solidFill>
                <a:srgbClr val="000000"/>
              </a:solidFill>
              <a:effectLst/>
              <a:latin typeface="Calibri" panose="020F0502020204030204" pitchFamily="34" charset="0"/>
            </a:rPr>
            <a:t>'Time of Use'</a:t>
          </a:r>
          <a:r>
            <a:rPr lang="pt-BR" sz="1100" b="0" i="0" u="none" strike="noStrike">
              <a:solidFill>
                <a:srgbClr val="000000"/>
              </a:solidFill>
              <a:effectLst/>
              <a:latin typeface="Calibri" panose="020F0502020204030204" pitchFamily="34" charset="0"/>
            </a:rPr>
            <a:t>, indicate which strategy will be used to report the time of use of the technologies over the years;</a:t>
          </a:r>
        </a:p>
        <a:p>
          <a:r>
            <a:rPr lang="pt-BR" sz="1100" b="0" i="0" u="none" strike="noStrike">
              <a:solidFill>
                <a:srgbClr val="000000"/>
              </a:solidFill>
              <a:effectLst/>
              <a:latin typeface="Calibri" panose="020F0502020204030204" pitchFamily="34" charset="0"/>
            </a:rPr>
            <a:t>8 and 9. Evaluate the results and sensitivity analyses in the </a:t>
          </a:r>
          <a:r>
            <a:rPr lang="pt-BR" sz="1100" b="1" i="0" u="none" strike="noStrike">
              <a:solidFill>
                <a:srgbClr val="000000"/>
              </a:solidFill>
              <a:effectLst/>
              <a:latin typeface="Calibri" panose="020F0502020204030204" pitchFamily="34" charset="0"/>
            </a:rPr>
            <a:t>'Results</a:t>
          </a:r>
          <a:r>
            <a:rPr lang="pt-BR" sz="1100" b="0" i="0" u="none" strike="noStrike">
              <a:solidFill>
                <a:srgbClr val="000000"/>
              </a:solidFill>
              <a:effectLst/>
              <a:latin typeface="Calibri" panose="020F0502020204030204" pitchFamily="34" charset="0"/>
            </a:rPr>
            <a:t>' and</a:t>
          </a:r>
          <a:r>
            <a:rPr lang="pt-BR" sz="1100" b="0" i="0" u="none" strike="noStrike" baseline="0">
              <a:solidFill>
                <a:srgbClr val="000000"/>
              </a:solidFill>
              <a:effectLst/>
              <a:latin typeface="Calibri" panose="020F0502020204030204" pitchFamily="34" charset="0"/>
            </a:rPr>
            <a:t> '</a:t>
          </a:r>
          <a:r>
            <a:rPr lang="pt-BR" sz="1100" b="1" i="0" u="none" strike="noStrike" baseline="0">
              <a:solidFill>
                <a:srgbClr val="000000"/>
              </a:solidFill>
              <a:effectLst/>
              <a:latin typeface="Calibri" panose="020F0502020204030204" pitchFamily="34" charset="0"/>
            </a:rPr>
            <a:t>SensibilityAn</a:t>
          </a:r>
          <a:r>
            <a:rPr lang="pt-BR" sz="1100" b="0" i="0" u="none" strike="noStrike" baseline="0">
              <a:solidFill>
                <a:srgbClr val="000000"/>
              </a:solidFill>
              <a:effectLst/>
              <a:latin typeface="Calibri" panose="020F0502020204030204" pitchFamily="34" charset="0"/>
            </a:rPr>
            <a:t>' </a:t>
          </a:r>
          <a:r>
            <a:rPr lang="pt-BR" sz="1100" b="0" i="0" u="none" strike="noStrike">
              <a:solidFill>
                <a:srgbClr val="000000"/>
              </a:solidFill>
              <a:effectLst/>
              <a:latin typeface="Calibri" panose="020F0502020204030204" pitchFamily="34" charset="0"/>
            </a:rPr>
            <a:t>tabs.</a:t>
          </a:r>
          <a:endParaRPr lang="pt-BR" sz="1100" b="0" i="0" u="none" strike="noStrike" baseline="0">
            <a:solidFill>
              <a:schemeClr val="dk1"/>
            </a:solidFill>
            <a:effectLst/>
            <a:latin typeface="+mn-lt"/>
          </a:endParaRPr>
        </a:p>
      </xdr:txBody>
    </xdr:sp>
    <xdr:clientData/>
  </xdr:twoCellAnchor>
  <xdr:twoCellAnchor>
    <xdr:from>
      <xdr:col>1</xdr:col>
      <xdr:colOff>0</xdr:colOff>
      <xdr:row>1</xdr:row>
      <xdr:rowOff>8659</xdr:rowOff>
    </xdr:from>
    <xdr:to>
      <xdr:col>3</xdr:col>
      <xdr:colOff>2343150</xdr:colOff>
      <xdr:row>2</xdr:row>
      <xdr:rowOff>3463</xdr:rowOff>
    </xdr:to>
    <xdr:grpSp>
      <xdr:nvGrpSpPr>
        <xdr:cNvPr id="36" name="Agrupar 35">
          <a:extLst>
            <a:ext uri="{FF2B5EF4-FFF2-40B4-BE49-F238E27FC236}">
              <a16:creationId xmlns:a16="http://schemas.microsoft.com/office/drawing/2014/main" id="{34818E2A-7D45-B4B0-238A-7B50EF9F8229}"/>
            </a:ext>
          </a:extLst>
        </xdr:cNvPr>
        <xdr:cNvGrpSpPr/>
      </xdr:nvGrpSpPr>
      <xdr:grpSpPr>
        <a:xfrm>
          <a:off x="396240" y="435379"/>
          <a:ext cx="3996690" cy="223404"/>
          <a:chOff x="390525" y="437284"/>
          <a:chExt cx="3952875" cy="232929"/>
        </a:xfrm>
      </xdr:grpSpPr>
      <xdr:grpSp>
        <xdr:nvGrpSpPr>
          <xdr:cNvPr id="16" name="Agrupar 15">
            <a:extLst>
              <a:ext uri="{FF2B5EF4-FFF2-40B4-BE49-F238E27FC236}">
                <a16:creationId xmlns:a16="http://schemas.microsoft.com/office/drawing/2014/main" id="{0723B1FD-0116-4D4C-AB7F-0F69B377CE5E}"/>
              </a:ext>
            </a:extLst>
          </xdr:cNvPr>
          <xdr:cNvGrpSpPr/>
        </xdr:nvGrpSpPr>
        <xdr:grpSpPr>
          <a:xfrm>
            <a:off x="390525" y="437284"/>
            <a:ext cx="2409824" cy="232929"/>
            <a:chOff x="386197" y="438151"/>
            <a:chExt cx="2410690" cy="237258"/>
          </a:xfrm>
        </xdr:grpSpPr>
        <xdr:sp macro="" textlink="">
          <xdr:nvSpPr>
            <xdr:cNvPr id="17" name="Retângulo: Cantos Superiores Arredondados 16">
              <a:hlinkClick xmlns:r="http://schemas.openxmlformats.org/officeDocument/2006/relationships" r:id="rId1"/>
              <a:extLst>
                <a:ext uri="{FF2B5EF4-FFF2-40B4-BE49-F238E27FC236}">
                  <a16:creationId xmlns:a16="http://schemas.microsoft.com/office/drawing/2014/main" id="{FA74F0C4-FA78-937D-6BE4-019D677A242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8" name="Retângulo: Cantos Superiores Arredondados 17">
              <a:extLst>
                <a:ext uri="{FF2B5EF4-FFF2-40B4-BE49-F238E27FC236}">
                  <a16:creationId xmlns:a16="http://schemas.microsoft.com/office/drawing/2014/main" id="{EF133857-CE50-90B5-6DF3-3960CE00267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Introduction</a:t>
              </a:r>
            </a:p>
          </xdr:txBody>
        </xdr:sp>
        <xdr:sp macro="" textlink="">
          <xdr:nvSpPr>
            <xdr:cNvPr id="19" name="Retângulo: Cantos Superiores Arredondados 18">
              <a:extLst>
                <a:ext uri="{FF2B5EF4-FFF2-40B4-BE49-F238E27FC236}">
                  <a16:creationId xmlns:a16="http://schemas.microsoft.com/office/drawing/2014/main" id="{D38C2F26-91B9-3817-2227-8040804C1A81}"/>
                </a:ext>
              </a:extLst>
            </xdr:cNvPr>
            <xdr:cNvSpPr/>
          </xdr:nvSpPr>
          <xdr:spPr>
            <a:xfrm>
              <a:off x="386197" y="438151"/>
              <a:ext cx="355022" cy="233795"/>
            </a:xfrm>
            <a:prstGeom prst="round2Same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35" name="CaixaDeTexto 34">
            <a:extLst>
              <a:ext uri="{FF2B5EF4-FFF2-40B4-BE49-F238E27FC236}">
                <a16:creationId xmlns:a16="http://schemas.microsoft.com/office/drawing/2014/main" id="{7166D3D3-3F31-178F-BDCA-BC5B4EB53F23}"/>
              </a:ext>
            </a:extLst>
          </xdr:cNvPr>
          <xdr:cNvSpPr txBox="1"/>
        </xdr:nvSpPr>
        <xdr:spPr>
          <a:xfrm>
            <a:off x="2819400" y="438150"/>
            <a:ext cx="15240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Netx: Definitions</a:t>
            </a:r>
            <a:endParaRPr lang="pt-BR" sz="1100" i="1" kern="1200">
              <a:solidFill>
                <a:schemeClr val="accent5"/>
              </a:solidFill>
            </a:endParaRPr>
          </a:p>
        </xdr:txBody>
      </xdr:sp>
    </xdr:grpSp>
    <xdr:clientData/>
  </xdr:twoCellAnchor>
  <xdr:twoCellAnchor editAs="absolute">
    <xdr:from>
      <xdr:col>5</xdr:col>
      <xdr:colOff>1014941</xdr:colOff>
      <xdr:row>4</xdr:row>
      <xdr:rowOff>12508</xdr:rowOff>
    </xdr:from>
    <xdr:to>
      <xdr:col>8</xdr:col>
      <xdr:colOff>226484</xdr:colOff>
      <xdr:row>12</xdr:row>
      <xdr:rowOff>21167</xdr:rowOff>
    </xdr:to>
    <xdr:grpSp>
      <xdr:nvGrpSpPr>
        <xdr:cNvPr id="5" name="Agrupar 4">
          <a:extLst>
            <a:ext uri="{FF2B5EF4-FFF2-40B4-BE49-F238E27FC236}">
              <a16:creationId xmlns:a16="http://schemas.microsoft.com/office/drawing/2014/main" id="{A5E2C498-C8C0-4C25-D86E-3746F533A11A}"/>
            </a:ext>
          </a:extLst>
        </xdr:cNvPr>
        <xdr:cNvGrpSpPr/>
      </xdr:nvGrpSpPr>
      <xdr:grpSpPr>
        <a:xfrm>
          <a:off x="7202381" y="873568"/>
          <a:ext cx="3890223" cy="1471699"/>
          <a:chOff x="6343650" y="877167"/>
          <a:chExt cx="4429126" cy="1532659"/>
        </a:xfrm>
      </xdr:grpSpPr>
      <xdr:grpSp>
        <xdr:nvGrpSpPr>
          <xdr:cNvPr id="32" name="Agrupar 31">
            <a:extLst>
              <a:ext uri="{FF2B5EF4-FFF2-40B4-BE49-F238E27FC236}">
                <a16:creationId xmlns:a16="http://schemas.microsoft.com/office/drawing/2014/main" id="{25FFC4B2-BA73-9BB2-21D9-B2D7F69CCB7C}"/>
              </a:ext>
            </a:extLst>
          </xdr:cNvPr>
          <xdr:cNvGrpSpPr/>
        </xdr:nvGrpSpPr>
        <xdr:grpSpPr>
          <a:xfrm>
            <a:off x="6343650" y="877167"/>
            <a:ext cx="4429126" cy="1532659"/>
            <a:chOff x="7244198" y="8122227"/>
            <a:chExt cx="2427639" cy="1532659"/>
          </a:xfrm>
        </xdr:grpSpPr>
        <xdr:sp macro="" textlink="">
          <xdr:nvSpPr>
            <xdr:cNvPr id="24" name="CaixaDeTexto 23">
              <a:extLst>
                <a:ext uri="{FF2B5EF4-FFF2-40B4-BE49-F238E27FC236}">
                  <a16:creationId xmlns:a16="http://schemas.microsoft.com/office/drawing/2014/main" id="{46E2DC91-FC7B-4127-9352-0A01A3F038FE}"/>
                </a:ext>
              </a:extLst>
            </xdr:cNvPr>
            <xdr:cNvSpPr txBox="1"/>
          </xdr:nvSpPr>
          <xdr:spPr>
            <a:xfrm>
              <a:off x="7244198" y="8122227"/>
              <a:ext cx="2427639" cy="15326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63403D06-0AC1-4D7F-B56F-2D016F9D6979}"/>
                </a:ext>
              </a:extLst>
            </xdr:cNvPr>
            <xdr:cNvSpPr/>
          </xdr:nvSpPr>
          <xdr:spPr>
            <a:xfrm>
              <a:off x="7342910" y="82053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DD8C7EA-A8DA-497F-816B-B51775AF970D}"/>
                </a:ext>
              </a:extLst>
            </xdr:cNvPr>
            <xdr:cNvSpPr/>
          </xdr:nvSpPr>
          <xdr:spPr>
            <a:xfrm>
              <a:off x="7345914" y="85984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Retângulo: Cantos Superiores Arredondados 26">
              <a:extLst>
                <a:ext uri="{FF2B5EF4-FFF2-40B4-BE49-F238E27FC236}">
                  <a16:creationId xmlns:a16="http://schemas.microsoft.com/office/drawing/2014/main" id="{1422B774-2662-40B9-8729-3C9AEB263493}"/>
                </a:ext>
              </a:extLst>
            </xdr:cNvPr>
            <xdr:cNvSpPr/>
          </xdr:nvSpPr>
          <xdr:spPr>
            <a:xfrm>
              <a:off x="7769903"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28" name="Retângulo: Cantos Superiores Arredondados 27">
              <a:extLst>
                <a:ext uri="{FF2B5EF4-FFF2-40B4-BE49-F238E27FC236}">
                  <a16:creationId xmlns:a16="http://schemas.microsoft.com/office/drawing/2014/main" id="{7BBD1A73-D272-49A5-BFE0-26F9ECA1C443}"/>
                </a:ext>
              </a:extLst>
            </xdr:cNvPr>
            <xdr:cNvSpPr/>
          </xdr:nvSpPr>
          <xdr:spPr>
            <a:xfrm>
              <a:off x="7354266"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p>
          </xdr:txBody>
        </xdr:sp>
        <xdr:sp macro="" textlink="">
          <xdr:nvSpPr>
            <xdr:cNvPr id="29" name="CaixaDeTexto 28">
              <a:extLst>
                <a:ext uri="{FF2B5EF4-FFF2-40B4-BE49-F238E27FC236}">
                  <a16:creationId xmlns:a16="http://schemas.microsoft.com/office/drawing/2014/main" id="{5962256A-52F4-4881-A353-2C23965A98D0}"/>
                </a:ext>
              </a:extLst>
            </xdr:cNvPr>
            <xdr:cNvSpPr txBox="1"/>
          </xdr:nvSpPr>
          <xdr:spPr>
            <a:xfrm>
              <a:off x="7748869" y="8174184"/>
              <a:ext cx="1829786"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0" name="CaixaDeTexto 29">
              <a:extLst>
                <a:ext uri="{FF2B5EF4-FFF2-40B4-BE49-F238E27FC236}">
                  <a16:creationId xmlns:a16="http://schemas.microsoft.com/office/drawing/2014/main" id="{DAC9C9F5-FE2F-4267-8592-3C3F7C3D413A}"/>
                </a:ext>
              </a:extLst>
            </xdr:cNvPr>
            <xdr:cNvSpPr txBox="1"/>
          </xdr:nvSpPr>
          <xdr:spPr>
            <a:xfrm>
              <a:off x="7761051" y="8626186"/>
              <a:ext cx="1868299"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1" name="CaixaDeTexto 30">
              <a:extLst>
                <a:ext uri="{FF2B5EF4-FFF2-40B4-BE49-F238E27FC236}">
                  <a16:creationId xmlns:a16="http://schemas.microsoft.com/office/drawing/2014/main" id="{0344FB66-FE82-48F5-AC4A-ABB77A879756}"/>
                </a:ext>
              </a:extLst>
            </xdr:cNvPr>
            <xdr:cNvSpPr txBox="1"/>
          </xdr:nvSpPr>
          <xdr:spPr>
            <a:xfrm>
              <a:off x="8181309" y="9337385"/>
              <a:ext cx="1394114" cy="30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Buttons for navigating between tabs.</a:t>
              </a:r>
            </a:p>
          </xdr:txBody>
        </xdr:sp>
      </xdr:grpSp>
      <xdr:pic>
        <xdr:nvPicPr>
          <xdr:cNvPr id="37" name="InfoBox1" descr="Information with solid fill">
            <a:extLst>
              <a:ext uri="{FF2B5EF4-FFF2-40B4-BE49-F238E27FC236}">
                <a16:creationId xmlns:a16="http://schemas.microsoft.com/office/drawing/2014/main" id="{1EE674BE-7C1F-4E73-904E-4E85C787E7B9}"/>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638926" y="1686793"/>
            <a:ext cx="371474" cy="351558"/>
          </a:xfrm>
          <a:prstGeom prst="rect">
            <a:avLst/>
          </a:prstGeom>
        </xdr:spPr>
      </xdr:pic>
      <xdr:sp macro="" textlink="">
        <xdr:nvSpPr>
          <xdr:cNvPr id="3" name="CaixaDeTexto 2">
            <a:extLst>
              <a:ext uri="{FF2B5EF4-FFF2-40B4-BE49-F238E27FC236}">
                <a16:creationId xmlns:a16="http://schemas.microsoft.com/office/drawing/2014/main" id="{FC3BFF13-8B13-478D-8280-9C7ED6C0377B}"/>
              </a:ext>
            </a:extLst>
          </xdr:cNvPr>
          <xdr:cNvSpPr txBox="1"/>
        </xdr:nvSpPr>
        <xdr:spPr>
          <a:xfrm>
            <a:off x="7267575" y="1724025"/>
            <a:ext cx="3408633" cy="328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Instructions.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1933575</xdr:colOff>
      <xdr:row>2</xdr:row>
      <xdr:rowOff>19050</xdr:rowOff>
    </xdr:to>
    <xdr:grpSp>
      <xdr:nvGrpSpPr>
        <xdr:cNvPr id="42" name="Agrupar 41">
          <a:extLst>
            <a:ext uri="{FF2B5EF4-FFF2-40B4-BE49-F238E27FC236}">
              <a16:creationId xmlns:a16="http://schemas.microsoft.com/office/drawing/2014/main" id="{7B0220C0-3296-4297-A640-E2EF9C1C80CE}"/>
            </a:ext>
          </a:extLst>
        </xdr:cNvPr>
        <xdr:cNvGrpSpPr/>
      </xdr:nvGrpSpPr>
      <xdr:grpSpPr>
        <a:xfrm>
          <a:off x="396240" y="436245"/>
          <a:ext cx="5172075" cy="238125"/>
          <a:chOff x="390525" y="437284"/>
          <a:chExt cx="5095875" cy="247650"/>
        </a:xfrm>
      </xdr:grpSpPr>
      <xdr:grpSp>
        <xdr:nvGrpSpPr>
          <xdr:cNvPr id="43" name="Agrupar 42">
            <a:extLst>
              <a:ext uri="{FF2B5EF4-FFF2-40B4-BE49-F238E27FC236}">
                <a16:creationId xmlns:a16="http://schemas.microsoft.com/office/drawing/2014/main" id="{4642E48A-3D1D-389D-5850-865C19D30E2C}"/>
              </a:ext>
            </a:extLst>
          </xdr:cNvPr>
          <xdr:cNvGrpSpPr/>
        </xdr:nvGrpSpPr>
        <xdr:grpSpPr>
          <a:xfrm>
            <a:off x="390525" y="437284"/>
            <a:ext cx="2409824" cy="232929"/>
            <a:chOff x="386197" y="438151"/>
            <a:chExt cx="2410690" cy="237258"/>
          </a:xfrm>
        </xdr:grpSpPr>
        <xdr:sp macro="" textlink="">
          <xdr:nvSpPr>
            <xdr:cNvPr id="45" name="Retângulo: Cantos Superiores Arredondados 44">
              <a:hlinkClick xmlns:r="http://schemas.openxmlformats.org/officeDocument/2006/relationships" r:id="rId1"/>
              <a:extLst>
                <a:ext uri="{FF2B5EF4-FFF2-40B4-BE49-F238E27FC236}">
                  <a16:creationId xmlns:a16="http://schemas.microsoft.com/office/drawing/2014/main" id="{E6E498D1-66FD-DDC9-49DE-25760490CA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46" name="Retângulo: Cantos Superiores Arredondados 45">
              <a:extLst>
                <a:ext uri="{FF2B5EF4-FFF2-40B4-BE49-F238E27FC236}">
                  <a16:creationId xmlns:a16="http://schemas.microsoft.com/office/drawing/2014/main" id="{7435BDD1-95C1-1142-21B3-FA644BF5BA50}"/>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Definitions</a:t>
              </a:r>
            </a:p>
          </xdr:txBody>
        </xdr:sp>
        <xdr:sp macro="" textlink="">
          <xdr:nvSpPr>
            <xdr:cNvPr id="47" name="Retângulo: Cantos Superiores Arredondados 46">
              <a:hlinkClick xmlns:r="http://schemas.openxmlformats.org/officeDocument/2006/relationships" r:id="rId2"/>
              <a:extLst>
                <a:ext uri="{FF2B5EF4-FFF2-40B4-BE49-F238E27FC236}">
                  <a16:creationId xmlns:a16="http://schemas.microsoft.com/office/drawing/2014/main" id="{B3D72210-6D99-0BC9-FBA2-74A63C1C0B79}"/>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44" name="CaixaDeTexto 43">
            <a:extLst>
              <a:ext uri="{FF2B5EF4-FFF2-40B4-BE49-F238E27FC236}">
                <a16:creationId xmlns:a16="http://schemas.microsoft.com/office/drawing/2014/main" id="{C89807E1-91E3-FE82-D49D-6C44A286DF13}"/>
              </a:ext>
            </a:extLst>
          </xdr:cNvPr>
          <xdr:cNvSpPr txBox="1"/>
        </xdr:nvSpPr>
        <xdr:spPr>
          <a:xfrm>
            <a:off x="2819400" y="438150"/>
            <a:ext cx="2667000" cy="24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Market share and time horizon</a:t>
            </a:r>
            <a:endParaRPr lang="pt-BR" sz="1100" i="1" kern="1200">
              <a:solidFill>
                <a:schemeClr val="accent5"/>
              </a:solidFill>
            </a:endParaRPr>
          </a:p>
        </xdr:txBody>
      </xdr:sp>
    </xdr:grpSp>
    <xdr:clientData/>
  </xdr:twoCellAnchor>
  <xdr:twoCellAnchor editAs="absolute">
    <xdr:from>
      <xdr:col>10</xdr:col>
      <xdr:colOff>511607</xdr:colOff>
      <xdr:row>11</xdr:row>
      <xdr:rowOff>2859</xdr:rowOff>
    </xdr:from>
    <xdr:to>
      <xdr:col>20</xdr:col>
      <xdr:colOff>116417</xdr:colOff>
      <xdr:row>14</xdr:row>
      <xdr:rowOff>95859</xdr:rowOff>
    </xdr:to>
    <xdr:grpSp>
      <xdr:nvGrpSpPr>
        <xdr:cNvPr id="2" name="Agrupar 1">
          <a:extLst>
            <a:ext uri="{FF2B5EF4-FFF2-40B4-BE49-F238E27FC236}">
              <a16:creationId xmlns:a16="http://schemas.microsoft.com/office/drawing/2014/main" id="{D5353490-52EA-4B64-BECA-3F9ACBD82985}"/>
            </a:ext>
          </a:extLst>
        </xdr:cNvPr>
        <xdr:cNvGrpSpPr/>
      </xdr:nvGrpSpPr>
      <xdr:grpSpPr>
        <a:xfrm>
          <a:off x="9647987" y="2730819"/>
          <a:ext cx="3521490" cy="641640"/>
          <a:chOff x="7333755" y="8620379"/>
          <a:chExt cx="1403654" cy="663031"/>
        </a:xfrm>
      </xdr:grpSpPr>
      <xdr:sp macro="" textlink="">
        <xdr:nvSpPr>
          <xdr:cNvPr id="3" name="CaixaDeTexto 2">
            <a:extLst>
              <a:ext uri="{FF2B5EF4-FFF2-40B4-BE49-F238E27FC236}">
                <a16:creationId xmlns:a16="http://schemas.microsoft.com/office/drawing/2014/main" id="{D0DEB439-B008-131C-52D1-CDB893023BD0}"/>
              </a:ext>
            </a:extLst>
          </xdr:cNvPr>
          <xdr:cNvSpPr txBox="1"/>
        </xdr:nvSpPr>
        <xdr:spPr>
          <a:xfrm>
            <a:off x="7333755" y="8643784"/>
            <a:ext cx="1377780"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6" name="CaixaDeTexto 5">
            <a:extLst>
              <a:ext uri="{FF2B5EF4-FFF2-40B4-BE49-F238E27FC236}">
                <a16:creationId xmlns:a16="http://schemas.microsoft.com/office/drawing/2014/main" id="{645BBF26-CA5E-B7F7-C649-0943866E5087}"/>
              </a:ext>
            </a:extLst>
          </xdr:cNvPr>
          <xdr:cNvSpPr txBox="1"/>
        </xdr:nvSpPr>
        <xdr:spPr>
          <a:xfrm>
            <a:off x="7338732" y="8821884"/>
            <a:ext cx="1361713"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Do not erase </a:t>
            </a:r>
            <a:r>
              <a:rPr lang="pt-BR" sz="1000" b="0" kern="1200"/>
              <a:t>any text, numbers or formulas written on the white background.</a:t>
            </a:r>
          </a:p>
        </xdr:txBody>
      </xdr:sp>
      <xdr:sp macro="" textlink="">
        <xdr:nvSpPr>
          <xdr:cNvPr id="8" name="CaixaDeTexto 7">
            <a:extLst>
              <a:ext uri="{FF2B5EF4-FFF2-40B4-BE49-F238E27FC236}">
                <a16:creationId xmlns:a16="http://schemas.microsoft.com/office/drawing/2014/main" id="{19F74E82-3B86-EA12-85FD-76B959D3C3EE}"/>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absolute">
    <xdr:from>
      <xdr:col>10</xdr:col>
      <xdr:colOff>498378</xdr:colOff>
      <xdr:row>4</xdr:row>
      <xdr:rowOff>54764</xdr:rowOff>
    </xdr:from>
    <xdr:to>
      <xdr:col>20</xdr:col>
      <xdr:colOff>39691</xdr:colOff>
      <xdr:row>10</xdr:row>
      <xdr:rowOff>59690</xdr:rowOff>
    </xdr:to>
    <xdr:grpSp>
      <xdr:nvGrpSpPr>
        <xdr:cNvPr id="4" name="Agrupar 3">
          <a:extLst>
            <a:ext uri="{FF2B5EF4-FFF2-40B4-BE49-F238E27FC236}">
              <a16:creationId xmlns:a16="http://schemas.microsoft.com/office/drawing/2014/main" id="{BC89FCFD-DEF4-274E-AA7E-54177C722FCB}"/>
            </a:ext>
          </a:extLst>
        </xdr:cNvPr>
        <xdr:cNvGrpSpPr/>
      </xdr:nvGrpSpPr>
      <xdr:grpSpPr>
        <a:xfrm>
          <a:off x="9634758" y="915824"/>
          <a:ext cx="3457993" cy="1688946"/>
          <a:chOff x="7244198" y="8503227"/>
          <a:chExt cx="1845115" cy="1168977"/>
        </a:xfrm>
      </xdr:grpSpPr>
      <xdr:sp macro="" textlink="">
        <xdr:nvSpPr>
          <xdr:cNvPr id="5" name="CaixaDeTexto 4">
            <a:extLst>
              <a:ext uri="{FF2B5EF4-FFF2-40B4-BE49-F238E27FC236}">
                <a16:creationId xmlns:a16="http://schemas.microsoft.com/office/drawing/2014/main" id="{88DFDCA8-02D1-27CD-19FC-94C6AB10CF52}"/>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7" name="Retângulo 6">
            <a:extLst>
              <a:ext uri="{FF2B5EF4-FFF2-40B4-BE49-F238E27FC236}">
                <a16:creationId xmlns:a16="http://schemas.microsoft.com/office/drawing/2014/main" id="{6540253D-C96C-9CCB-81E7-520653A65BF6}"/>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9" name="Retângulo 8">
            <a:extLst>
              <a:ext uri="{FF2B5EF4-FFF2-40B4-BE49-F238E27FC236}">
                <a16:creationId xmlns:a16="http://schemas.microsoft.com/office/drawing/2014/main" id="{5D0ECCA8-9899-9889-93DA-77A3F5562DB7}"/>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0" name="CaixaDeTexto 9">
            <a:extLst>
              <a:ext uri="{FF2B5EF4-FFF2-40B4-BE49-F238E27FC236}">
                <a16:creationId xmlns:a16="http://schemas.microsoft.com/office/drawing/2014/main" id="{BEE25AF6-FBDD-4799-2E99-4AE0F390BAA1}"/>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11" name="CaixaDeTexto 10">
            <a:extLst>
              <a:ext uri="{FF2B5EF4-FFF2-40B4-BE49-F238E27FC236}">
                <a16:creationId xmlns:a16="http://schemas.microsoft.com/office/drawing/2014/main" id="{196804BA-436F-419F-944E-5FE25CC9D60A}"/>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12" name="CaixaDeTexto 11">
            <a:extLst>
              <a:ext uri="{FF2B5EF4-FFF2-40B4-BE49-F238E27FC236}">
                <a16:creationId xmlns:a16="http://schemas.microsoft.com/office/drawing/2014/main" id="{4BD3DFB7-5982-08FE-BC48-41E3AD2EDA0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9525</xdr:rowOff>
    </xdr:from>
    <xdr:to>
      <xdr:col>5</xdr:col>
      <xdr:colOff>390524</xdr:colOff>
      <xdr:row>3</xdr:row>
      <xdr:rowOff>66675</xdr:rowOff>
    </xdr:to>
    <xdr:grpSp>
      <xdr:nvGrpSpPr>
        <xdr:cNvPr id="7" name="Agrupar 6">
          <a:extLst>
            <a:ext uri="{FF2B5EF4-FFF2-40B4-BE49-F238E27FC236}">
              <a16:creationId xmlns:a16="http://schemas.microsoft.com/office/drawing/2014/main" id="{9D843D11-BF4D-420E-9EDE-8CF32BDD0174}"/>
            </a:ext>
          </a:extLst>
        </xdr:cNvPr>
        <xdr:cNvGrpSpPr/>
      </xdr:nvGrpSpPr>
      <xdr:grpSpPr>
        <a:xfrm>
          <a:off x="466725" y="440055"/>
          <a:ext cx="4650104" cy="300990"/>
          <a:chOff x="390525" y="437284"/>
          <a:chExt cx="4552949" cy="304800"/>
        </a:xfrm>
      </xdr:grpSpPr>
      <xdr:grpSp>
        <xdr:nvGrpSpPr>
          <xdr:cNvPr id="8" name="Agrupar 7">
            <a:extLst>
              <a:ext uri="{FF2B5EF4-FFF2-40B4-BE49-F238E27FC236}">
                <a16:creationId xmlns:a16="http://schemas.microsoft.com/office/drawing/2014/main" id="{CE8E346B-7D1E-B2B4-28E5-831CC4E2ABD6}"/>
              </a:ext>
            </a:extLst>
          </xdr:cNvPr>
          <xdr:cNvGrpSpPr/>
        </xdr:nvGrpSpPr>
        <xdr:grpSpPr>
          <a:xfrm>
            <a:off x="390525" y="437284"/>
            <a:ext cx="2409824" cy="232929"/>
            <a:chOff x="386197" y="438151"/>
            <a:chExt cx="2410690" cy="237258"/>
          </a:xfrm>
        </xdr:grpSpPr>
        <xdr:sp macro="[0]!ocultar_marketshare" textlink="">
          <xdr:nvSpPr>
            <xdr:cNvPr id="10" name="Retângulo: Cantos Superiores Arredondados 9">
              <a:hlinkClick xmlns:r="http://schemas.openxmlformats.org/officeDocument/2006/relationships" r:id="rId1"/>
              <a:extLst>
                <a:ext uri="{FF2B5EF4-FFF2-40B4-BE49-F238E27FC236}">
                  <a16:creationId xmlns:a16="http://schemas.microsoft.com/office/drawing/2014/main" id="{AE16B8CB-1DE0-6EB8-9369-27E26388BBFE}"/>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1" name="Retângulo: Cantos Superiores Arredondados 10">
              <a:extLst>
                <a:ext uri="{FF2B5EF4-FFF2-40B4-BE49-F238E27FC236}">
                  <a16:creationId xmlns:a16="http://schemas.microsoft.com/office/drawing/2014/main" id="{3AADAECE-16ED-9784-ED13-4773CBB5A18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Mkt Share &amp;</a:t>
              </a:r>
              <a:r>
                <a:rPr lang="pt-BR" sz="1100" b="1" i="1" kern="1200" baseline="0"/>
                <a:t> time horizon</a:t>
              </a:r>
              <a:endParaRPr lang="pt-BR" sz="1100" b="1" i="1" kern="1200"/>
            </a:p>
          </xdr:txBody>
        </xdr:sp>
        <xdr:sp macro="" textlink="">
          <xdr:nvSpPr>
            <xdr:cNvPr id="12" name="Retângulo: Cantos Superiores Arredondados 11">
              <a:hlinkClick xmlns:r="http://schemas.openxmlformats.org/officeDocument/2006/relationships" r:id="rId2"/>
              <a:extLst>
                <a:ext uri="{FF2B5EF4-FFF2-40B4-BE49-F238E27FC236}">
                  <a16:creationId xmlns:a16="http://schemas.microsoft.com/office/drawing/2014/main" id="{C16AC558-2249-0B58-C748-B7EB7783070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9" name="CaixaDeTexto 8">
            <a:extLst>
              <a:ext uri="{FF2B5EF4-FFF2-40B4-BE49-F238E27FC236}">
                <a16:creationId xmlns:a16="http://schemas.microsoft.com/office/drawing/2014/main" id="{E1E98ADD-42A6-F99E-86FE-BEB7CF2993BA}"/>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 Population</a:t>
            </a:r>
          </a:p>
        </xdr:txBody>
      </xdr:sp>
    </xdr:grpSp>
    <xdr:clientData/>
  </xdr:twoCellAnchor>
  <xdr:twoCellAnchor>
    <xdr:from>
      <xdr:col>18</xdr:col>
      <xdr:colOff>207857</xdr:colOff>
      <xdr:row>20</xdr:row>
      <xdr:rowOff>17357</xdr:rowOff>
    </xdr:from>
    <xdr:to>
      <xdr:col>27</xdr:col>
      <xdr:colOff>0</xdr:colOff>
      <xdr:row>36</xdr:row>
      <xdr:rowOff>53552</xdr:rowOff>
    </xdr:to>
    <xdr:graphicFrame macro="">
      <xdr:nvGraphicFramePr>
        <xdr:cNvPr id="17" name="Gráfico 16">
          <a:extLst>
            <a:ext uri="{FF2B5EF4-FFF2-40B4-BE49-F238E27FC236}">
              <a16:creationId xmlns:a16="http://schemas.microsoft.com/office/drawing/2014/main" id="{870DBE6F-BD95-A1FD-308B-D5EC36D6D1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212725</xdr:colOff>
      <xdr:row>39</xdr:row>
      <xdr:rowOff>171450</xdr:rowOff>
    </xdr:from>
    <xdr:to>
      <xdr:col>27</xdr:col>
      <xdr:colOff>60537</xdr:colOff>
      <xdr:row>56</xdr:row>
      <xdr:rowOff>15240</xdr:rowOff>
    </xdr:to>
    <xdr:graphicFrame macro="">
      <xdr:nvGraphicFramePr>
        <xdr:cNvPr id="18" name="Gráfico 17">
          <a:extLst>
            <a:ext uri="{FF2B5EF4-FFF2-40B4-BE49-F238E27FC236}">
              <a16:creationId xmlns:a16="http://schemas.microsoft.com/office/drawing/2014/main" id="{8F4A3506-863E-4F93-859D-F8893B46E8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232833</xdr:colOff>
      <xdr:row>60</xdr:row>
      <xdr:rowOff>10583</xdr:rowOff>
    </xdr:from>
    <xdr:to>
      <xdr:col>27</xdr:col>
      <xdr:colOff>116417</xdr:colOff>
      <xdr:row>77</xdr:row>
      <xdr:rowOff>39158</xdr:rowOff>
    </xdr:to>
    <xdr:graphicFrame macro="">
      <xdr:nvGraphicFramePr>
        <xdr:cNvPr id="19" name="Gráfico 18">
          <a:extLst>
            <a:ext uri="{FF2B5EF4-FFF2-40B4-BE49-F238E27FC236}">
              <a16:creationId xmlns:a16="http://schemas.microsoft.com/office/drawing/2014/main" id="{029E8FA9-50C4-4CB9-A52E-CD5FF969EA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223308</xdr:colOff>
      <xdr:row>80</xdr:row>
      <xdr:rowOff>28575</xdr:rowOff>
    </xdr:from>
    <xdr:to>
      <xdr:col>27</xdr:col>
      <xdr:colOff>137584</xdr:colOff>
      <xdr:row>96</xdr:row>
      <xdr:rowOff>57150</xdr:rowOff>
    </xdr:to>
    <xdr:graphicFrame macro="">
      <xdr:nvGraphicFramePr>
        <xdr:cNvPr id="20" name="Gráfico 19">
          <a:extLst>
            <a:ext uri="{FF2B5EF4-FFF2-40B4-BE49-F238E27FC236}">
              <a16:creationId xmlns:a16="http://schemas.microsoft.com/office/drawing/2014/main" id="{32CA7664-CB65-4289-927C-FC4699ACE6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303531</xdr:colOff>
      <xdr:row>12</xdr:row>
      <xdr:rowOff>124460</xdr:rowOff>
    </xdr:from>
    <xdr:to>
      <xdr:col>25</xdr:col>
      <xdr:colOff>208284</xdr:colOff>
      <xdr:row>18</xdr:row>
      <xdr:rowOff>111124</xdr:rowOff>
    </xdr:to>
    <xdr:grpSp>
      <xdr:nvGrpSpPr>
        <xdr:cNvPr id="27" name="Agrupar 26">
          <a:extLst>
            <a:ext uri="{FF2B5EF4-FFF2-40B4-BE49-F238E27FC236}">
              <a16:creationId xmlns:a16="http://schemas.microsoft.com/office/drawing/2014/main" id="{A63B9AD3-EEDF-8AB7-42B1-F27C016D1514}"/>
            </a:ext>
          </a:extLst>
        </xdr:cNvPr>
        <xdr:cNvGrpSpPr/>
      </xdr:nvGrpSpPr>
      <xdr:grpSpPr>
        <a:xfrm>
          <a:off x="10390506" y="2479040"/>
          <a:ext cx="3509013" cy="1137284"/>
          <a:chOff x="10067925" y="2743200"/>
          <a:chExt cx="3457579" cy="1181099"/>
        </a:xfrm>
      </xdr:grpSpPr>
      <xdr:grpSp>
        <xdr:nvGrpSpPr>
          <xdr:cNvPr id="6" name="Agrupar 5">
            <a:extLst>
              <a:ext uri="{FF2B5EF4-FFF2-40B4-BE49-F238E27FC236}">
                <a16:creationId xmlns:a16="http://schemas.microsoft.com/office/drawing/2014/main" id="{B9E57213-8A7C-43A5-B82A-196F0029986A}"/>
              </a:ext>
            </a:extLst>
          </xdr:cNvPr>
          <xdr:cNvGrpSpPr/>
        </xdr:nvGrpSpPr>
        <xdr:grpSpPr>
          <a:xfrm>
            <a:off x="10067925" y="2743200"/>
            <a:ext cx="3457579" cy="1181099"/>
            <a:chOff x="7244198" y="8503227"/>
            <a:chExt cx="1870884" cy="1181099"/>
          </a:xfrm>
        </xdr:grpSpPr>
        <xdr:sp macro="" textlink="">
          <xdr:nvSpPr>
            <xdr:cNvPr id="13" name="CaixaDeTexto 12">
              <a:extLst>
                <a:ext uri="{FF2B5EF4-FFF2-40B4-BE49-F238E27FC236}">
                  <a16:creationId xmlns:a16="http://schemas.microsoft.com/office/drawing/2014/main" id="{B344E2BB-C526-5C8F-A4DF-589A1F1E7F76}"/>
                </a:ext>
              </a:extLst>
            </xdr:cNvPr>
            <xdr:cNvSpPr txBox="1"/>
          </xdr:nvSpPr>
          <xdr:spPr>
            <a:xfrm>
              <a:off x="7244198" y="8503227"/>
              <a:ext cx="1870884"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3" name="CaixaDeTexto 22">
              <a:extLst>
                <a:ext uri="{FF2B5EF4-FFF2-40B4-BE49-F238E27FC236}">
                  <a16:creationId xmlns:a16="http://schemas.microsoft.com/office/drawing/2014/main" id="{12997F3C-1556-69D4-92DD-63FF847885F3}"/>
                </a:ext>
              </a:extLst>
            </xdr:cNvPr>
            <xdr:cNvSpPr txBox="1"/>
          </xdr:nvSpPr>
          <xdr:spPr>
            <a:xfrm>
              <a:off x="7269968" y="8912801"/>
              <a:ext cx="1845112"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To adjust the charts, select the chart, click the "Chart Design" menu at the top, and then click "Select Data." Remove the fields with the text "Do not fill rows."</a:t>
              </a:r>
            </a:p>
          </xdr:txBody>
        </xdr:sp>
        <xdr:sp macro="" textlink="">
          <xdr:nvSpPr>
            <xdr:cNvPr id="25" name="CaixaDeTexto 24">
              <a:extLst>
                <a:ext uri="{FF2B5EF4-FFF2-40B4-BE49-F238E27FC236}">
                  <a16:creationId xmlns:a16="http://schemas.microsoft.com/office/drawing/2014/main" id="{77D87250-8C99-9DDB-D2D8-7E5EBD1CD5FC}"/>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grpSp>
      <xdr:pic>
        <xdr:nvPicPr>
          <xdr:cNvPr id="26" name="InfoBox1" descr="Information with solid fill">
            <a:extLst>
              <a:ext uri="{FF2B5EF4-FFF2-40B4-BE49-F238E27FC236}">
                <a16:creationId xmlns:a16="http://schemas.microsoft.com/office/drawing/2014/main" id="{812D705F-D108-4F0A-AC40-3A854CD7A791}"/>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29850" y="2790825"/>
            <a:ext cx="371474" cy="351558"/>
          </a:xfrm>
          <a:prstGeom prst="rect">
            <a:avLst/>
          </a:prstGeom>
        </xdr:spPr>
      </xdr:pic>
    </xdr:grpSp>
    <xdr:clientData/>
  </xdr:twoCellAnchor>
  <xdr:twoCellAnchor editAs="absolute">
    <xdr:from>
      <xdr:col>19</xdr:col>
      <xdr:colOff>74083</xdr:colOff>
      <xdr:row>3</xdr:row>
      <xdr:rowOff>170392</xdr:rowOff>
    </xdr:from>
    <xdr:to>
      <xdr:col>24</xdr:col>
      <xdr:colOff>593295</xdr:colOff>
      <xdr:row>10</xdr:row>
      <xdr:rowOff>133773</xdr:rowOff>
    </xdr:to>
    <xdr:grpSp>
      <xdr:nvGrpSpPr>
        <xdr:cNvPr id="21" name="Agrupar 20">
          <a:extLst>
            <a:ext uri="{FF2B5EF4-FFF2-40B4-BE49-F238E27FC236}">
              <a16:creationId xmlns:a16="http://schemas.microsoft.com/office/drawing/2014/main" id="{A49ECA37-C5FC-0148-B2DA-6D13A5FF2B77}"/>
            </a:ext>
          </a:extLst>
        </xdr:cNvPr>
        <xdr:cNvGrpSpPr/>
      </xdr:nvGrpSpPr>
      <xdr:grpSpPr>
        <a:xfrm>
          <a:off x="10161058" y="850477"/>
          <a:ext cx="3515777" cy="1270211"/>
          <a:chOff x="7244198" y="8503227"/>
          <a:chExt cx="1845115" cy="1168977"/>
        </a:xfrm>
      </xdr:grpSpPr>
      <xdr:sp macro="" textlink="">
        <xdr:nvSpPr>
          <xdr:cNvPr id="22" name="CaixaDeTexto 21">
            <a:extLst>
              <a:ext uri="{FF2B5EF4-FFF2-40B4-BE49-F238E27FC236}">
                <a16:creationId xmlns:a16="http://schemas.microsoft.com/office/drawing/2014/main" id="{7FEF6D02-0039-C819-5F49-52EC4F81A9B2}"/>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4" name="Retângulo 23">
            <a:extLst>
              <a:ext uri="{FF2B5EF4-FFF2-40B4-BE49-F238E27FC236}">
                <a16:creationId xmlns:a16="http://schemas.microsoft.com/office/drawing/2014/main" id="{558A2A39-76B1-DE19-5D29-928E802F2EF4}"/>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8" name="Retângulo 27">
            <a:extLst>
              <a:ext uri="{FF2B5EF4-FFF2-40B4-BE49-F238E27FC236}">
                <a16:creationId xmlns:a16="http://schemas.microsoft.com/office/drawing/2014/main" id="{A3CA8536-81B9-6BBF-51E9-0E63BE6912C1}"/>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9" name="CaixaDeTexto 28">
            <a:extLst>
              <a:ext uri="{FF2B5EF4-FFF2-40B4-BE49-F238E27FC236}">
                <a16:creationId xmlns:a16="http://schemas.microsoft.com/office/drawing/2014/main" id="{249A8281-6C64-B68C-5061-D25FA161441D}"/>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0" name="CaixaDeTexto 29">
            <a:extLst>
              <a:ext uri="{FF2B5EF4-FFF2-40B4-BE49-F238E27FC236}">
                <a16:creationId xmlns:a16="http://schemas.microsoft.com/office/drawing/2014/main" id="{C74AFB5D-9DCD-8E9B-8A26-230F2FEE5D12}"/>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1" name="CaixaDeTexto 30">
            <a:extLst>
              <a:ext uri="{FF2B5EF4-FFF2-40B4-BE49-F238E27FC236}">
                <a16:creationId xmlns:a16="http://schemas.microsoft.com/office/drawing/2014/main" id="{5FFDD2FE-B10A-7F6A-4DD3-84FAD832124C}"/>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219074</xdr:colOff>
      <xdr:row>3</xdr:row>
      <xdr:rowOff>58208</xdr:rowOff>
    </xdr:to>
    <xdr:grpSp>
      <xdr:nvGrpSpPr>
        <xdr:cNvPr id="9" name="Agrupar 8">
          <a:extLst>
            <a:ext uri="{FF2B5EF4-FFF2-40B4-BE49-F238E27FC236}">
              <a16:creationId xmlns:a16="http://schemas.microsoft.com/office/drawing/2014/main" id="{410D0D8E-7A68-45C4-A8F6-5BD3AB1B6410}"/>
            </a:ext>
          </a:extLst>
        </xdr:cNvPr>
        <xdr:cNvGrpSpPr/>
      </xdr:nvGrpSpPr>
      <xdr:grpSpPr>
        <a:xfrm>
          <a:off x="236220" y="446828"/>
          <a:ext cx="4074794" cy="289560"/>
          <a:chOff x="390525" y="437284"/>
          <a:chExt cx="4552949" cy="304800"/>
        </a:xfrm>
      </xdr:grpSpPr>
      <xdr:grpSp>
        <xdr:nvGrpSpPr>
          <xdr:cNvPr id="10" name="Agrupar 9">
            <a:extLst>
              <a:ext uri="{FF2B5EF4-FFF2-40B4-BE49-F238E27FC236}">
                <a16:creationId xmlns:a16="http://schemas.microsoft.com/office/drawing/2014/main" id="{072DB2AB-48A3-D0A6-3375-E0B110DE40C0}"/>
              </a:ext>
            </a:extLst>
          </xdr:cNvPr>
          <xdr:cNvGrpSpPr/>
        </xdr:nvGrpSpPr>
        <xdr:grpSpPr>
          <a:xfrm>
            <a:off x="390525" y="437284"/>
            <a:ext cx="2409824" cy="232929"/>
            <a:chOff x="386197" y="438151"/>
            <a:chExt cx="2410690" cy="237258"/>
          </a:xfrm>
        </xdr:grpSpPr>
        <xdr:sp macro="[0]!ocultar_marketshare" textlink="">
          <xdr:nvSpPr>
            <xdr:cNvPr id="12" name="Retângulo: Cantos Superiores Arredondados 11">
              <a:hlinkClick xmlns:r="http://schemas.openxmlformats.org/officeDocument/2006/relationships" r:id="rId1"/>
              <a:extLst>
                <a:ext uri="{FF2B5EF4-FFF2-40B4-BE49-F238E27FC236}">
                  <a16:creationId xmlns:a16="http://schemas.microsoft.com/office/drawing/2014/main" id="{1A22B33E-1CD9-DF86-531E-9E280DD9F7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3" name="Retângulo: Cantos Superiores Arredondados 12">
              <a:extLst>
                <a:ext uri="{FF2B5EF4-FFF2-40B4-BE49-F238E27FC236}">
                  <a16:creationId xmlns:a16="http://schemas.microsoft.com/office/drawing/2014/main" id="{227745ED-528B-2911-8B6A-C437413DDF4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Population</a:t>
              </a:r>
            </a:p>
          </xdr:txBody>
        </xdr:sp>
        <xdr:sp macro="" textlink="">
          <xdr:nvSpPr>
            <xdr:cNvPr id="14" name="Retângulo: Cantos Superiores Arredondados 13">
              <a:hlinkClick xmlns:r="http://schemas.openxmlformats.org/officeDocument/2006/relationships" r:id="rId2"/>
              <a:extLst>
                <a:ext uri="{FF2B5EF4-FFF2-40B4-BE49-F238E27FC236}">
                  <a16:creationId xmlns:a16="http://schemas.microsoft.com/office/drawing/2014/main" id="{947C8C03-771A-1531-2D83-ECDE262AC3A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11" name="CaixaDeTexto 10">
            <a:extLst>
              <a:ext uri="{FF2B5EF4-FFF2-40B4-BE49-F238E27FC236}">
                <a16:creationId xmlns:a16="http://schemas.microsoft.com/office/drawing/2014/main" id="{C2E797A6-518B-BAC9-A375-636920258342}"/>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 Costs</a:t>
            </a:r>
            <a:endParaRPr lang="pt-BR" sz="1100" i="1" kern="1200">
              <a:solidFill>
                <a:schemeClr val="accent5"/>
              </a:solidFill>
            </a:endParaRPr>
          </a:p>
        </xdr:txBody>
      </xdr:sp>
    </xdr:grpSp>
    <xdr:clientData/>
  </xdr:twoCellAnchor>
  <xdr:twoCellAnchor editAs="absolute">
    <xdr:from>
      <xdr:col>12</xdr:col>
      <xdr:colOff>364694</xdr:colOff>
      <xdr:row>41</xdr:row>
      <xdr:rowOff>97819</xdr:rowOff>
    </xdr:from>
    <xdr:to>
      <xdr:col>22</xdr:col>
      <xdr:colOff>593554</xdr:colOff>
      <xdr:row>61</xdr:row>
      <xdr:rowOff>155395</xdr:rowOff>
    </xdr:to>
    <xdr:graphicFrame macro="">
      <xdr:nvGraphicFramePr>
        <xdr:cNvPr id="18" name="Gráfico 17">
          <a:extLst>
            <a:ext uri="{FF2B5EF4-FFF2-40B4-BE49-F238E27FC236}">
              <a16:creationId xmlns:a16="http://schemas.microsoft.com/office/drawing/2014/main" id="{1C2CB44D-D597-4A9C-A90D-92F9632BDE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181455</xdr:colOff>
      <xdr:row>70</xdr:row>
      <xdr:rowOff>92498</xdr:rowOff>
    </xdr:from>
    <xdr:to>
      <xdr:col>22</xdr:col>
      <xdr:colOff>306046</xdr:colOff>
      <xdr:row>89</xdr:row>
      <xdr:rowOff>118109</xdr:rowOff>
    </xdr:to>
    <mc:AlternateContent xmlns:mc="http://schemas.openxmlformats.org/markup-compatibility/2006">
      <mc:Choice xmlns:cx2="http://schemas.microsoft.com/office/drawing/2015/10/21/chartex" Requires="cx2">
        <xdr:graphicFrame macro="">
          <xdr:nvGraphicFramePr>
            <xdr:cNvPr id="20" name="Gráfico 19">
              <a:extLst>
                <a:ext uri="{FF2B5EF4-FFF2-40B4-BE49-F238E27FC236}">
                  <a16:creationId xmlns:a16="http://schemas.microsoft.com/office/drawing/2014/main" id="{88A03DC0-B8D2-62FC-3F11-722A710B074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609675" y="13755158"/>
              <a:ext cx="5588131" cy="3561291"/>
            </a:xfrm>
            <a:prstGeom prst="rect">
              <a:avLst/>
            </a:prstGeom>
            <a:solidFill>
              <a:prstClr val="white"/>
            </a:solidFill>
            <a:ln w="1">
              <a:solidFill>
                <a:prstClr val="green"/>
              </a:solidFill>
            </a:ln>
          </xdr:spPr>
          <xdr:txBody>
            <a:bodyPr vertOverflow="clip" horzOverflow="clip"/>
            <a:lstStyle/>
            <a:p>
              <a:r>
                <a:rPr lang="pt-BR" sz="1100"/>
                <a:t>Este gráfico não está disponível na sua versão de Excel.
Editar esta forma ou salvar esta pasta de trabalho em um formato de arquivo diferente quebrará o gráfico permanentemente.</a:t>
              </a:r>
            </a:p>
          </xdr:txBody>
        </xdr:sp>
      </mc:Fallback>
    </mc:AlternateContent>
    <xdr:clientData/>
  </xdr:twoCellAnchor>
  <xdr:twoCellAnchor editAs="absolute">
    <xdr:from>
      <xdr:col>7</xdr:col>
      <xdr:colOff>589044</xdr:colOff>
      <xdr:row>33</xdr:row>
      <xdr:rowOff>20773</xdr:rowOff>
    </xdr:from>
    <xdr:to>
      <xdr:col>11</xdr:col>
      <xdr:colOff>282760</xdr:colOff>
      <xdr:row>39</xdr:row>
      <xdr:rowOff>135515</xdr:rowOff>
    </xdr:to>
    <xdr:grpSp>
      <xdr:nvGrpSpPr>
        <xdr:cNvPr id="7" name="Agrupar 6">
          <a:extLst>
            <a:ext uri="{FF2B5EF4-FFF2-40B4-BE49-F238E27FC236}">
              <a16:creationId xmlns:a16="http://schemas.microsoft.com/office/drawing/2014/main" id="{81D46F9D-C741-2619-DA5D-2E8974A01D1D}"/>
            </a:ext>
          </a:extLst>
        </xdr:cNvPr>
        <xdr:cNvGrpSpPr/>
      </xdr:nvGrpSpPr>
      <xdr:grpSpPr>
        <a:xfrm>
          <a:off x="7492764" y="6886393"/>
          <a:ext cx="3442756" cy="1212022"/>
          <a:chOff x="12172950" y="6048380"/>
          <a:chExt cx="3457579" cy="1161471"/>
        </a:xfrm>
      </xdr:grpSpPr>
      <xdr:sp macro="" textlink="">
        <xdr:nvSpPr>
          <xdr:cNvPr id="21" name="CaixaDeTexto 20">
            <a:extLst>
              <a:ext uri="{FF2B5EF4-FFF2-40B4-BE49-F238E27FC236}">
                <a16:creationId xmlns:a16="http://schemas.microsoft.com/office/drawing/2014/main" id="{8984171D-36AB-372D-3B04-01C5B5068988}"/>
              </a:ext>
            </a:extLst>
          </xdr:cNvPr>
          <xdr:cNvSpPr txBox="1"/>
        </xdr:nvSpPr>
        <xdr:spPr>
          <a:xfrm>
            <a:off x="12172950" y="6048380"/>
            <a:ext cx="3457579" cy="1161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87E00D1A-B7F1-0FAC-E5BC-D1618B259FD5}"/>
              </a:ext>
            </a:extLst>
          </xdr:cNvPr>
          <xdr:cNvSpPr txBox="1"/>
        </xdr:nvSpPr>
        <xdr:spPr>
          <a:xfrm>
            <a:off x="12220576" y="6511573"/>
            <a:ext cx="3409950" cy="688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To adjust the charts, click on the chart, click on the top menu "Chart Design" and then click on "Select Data". Make sure that the "Measured Demand" icon is selecting only the fields in the table where there is data (reported period).</a:t>
            </a:r>
          </a:p>
        </xdr:txBody>
      </xdr:sp>
      <xdr:sp macro="" textlink="">
        <xdr:nvSpPr>
          <xdr:cNvPr id="23" name="CaixaDeTexto 22">
            <a:extLst>
              <a:ext uri="{FF2B5EF4-FFF2-40B4-BE49-F238E27FC236}">
                <a16:creationId xmlns:a16="http://schemas.microsoft.com/office/drawing/2014/main" id="{DD0A5F87-32DF-156B-F7D9-E61DF0BB64CA}"/>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19" name="InfoBox1" descr="Information with solid fill">
            <a:extLst>
              <a:ext uri="{FF2B5EF4-FFF2-40B4-BE49-F238E27FC236}">
                <a16:creationId xmlns:a16="http://schemas.microsoft.com/office/drawing/2014/main" id="{2198E151-CCB4-6400-32D9-545733223B61}"/>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34875" y="6096000"/>
            <a:ext cx="371474" cy="351558"/>
          </a:xfrm>
          <a:prstGeom prst="rect">
            <a:avLst/>
          </a:prstGeom>
        </xdr:spPr>
      </xdr:pic>
    </xdr:grpSp>
    <xdr:clientData/>
  </xdr:twoCellAnchor>
  <xdr:twoCellAnchor>
    <xdr:from>
      <xdr:col>8</xdr:col>
      <xdr:colOff>419100</xdr:colOff>
      <xdr:row>22</xdr:row>
      <xdr:rowOff>187568</xdr:rowOff>
    </xdr:from>
    <xdr:to>
      <xdr:col>12</xdr:col>
      <xdr:colOff>214924</xdr:colOff>
      <xdr:row>27</xdr:row>
      <xdr:rowOff>204497</xdr:rowOff>
    </xdr:to>
    <xdr:grpSp>
      <xdr:nvGrpSpPr>
        <xdr:cNvPr id="8" name="Agrupar 7">
          <a:extLst>
            <a:ext uri="{FF2B5EF4-FFF2-40B4-BE49-F238E27FC236}">
              <a16:creationId xmlns:a16="http://schemas.microsoft.com/office/drawing/2014/main" id="{193167D0-94E8-4666-BC2A-CD3BB27F24D9}"/>
            </a:ext>
          </a:extLst>
        </xdr:cNvPr>
        <xdr:cNvGrpSpPr/>
      </xdr:nvGrpSpPr>
      <xdr:grpSpPr>
        <a:xfrm>
          <a:off x="8260080" y="4546208"/>
          <a:ext cx="3544864" cy="1228509"/>
          <a:chOff x="12172950" y="6048381"/>
          <a:chExt cx="3457579" cy="1223947"/>
        </a:xfrm>
      </xdr:grpSpPr>
      <xdr:sp macro="" textlink="">
        <xdr:nvSpPr>
          <xdr:cNvPr id="24" name="CaixaDeTexto 23">
            <a:extLst>
              <a:ext uri="{FF2B5EF4-FFF2-40B4-BE49-F238E27FC236}">
                <a16:creationId xmlns:a16="http://schemas.microsoft.com/office/drawing/2014/main" id="{82F180F2-C647-0A6A-91A5-289ECFF344FB}"/>
              </a:ext>
            </a:extLst>
          </xdr:cNvPr>
          <xdr:cNvSpPr txBox="1"/>
        </xdr:nvSpPr>
        <xdr:spPr>
          <a:xfrm>
            <a:off x="12172950" y="6048381"/>
            <a:ext cx="3457579" cy="12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CaixaDeTexto 24">
            <a:extLst>
              <a:ext uri="{FF2B5EF4-FFF2-40B4-BE49-F238E27FC236}">
                <a16:creationId xmlns:a16="http://schemas.microsoft.com/office/drawing/2014/main" id="{BE6E909F-4C3B-7CA9-E73A-A637D8B2E63F}"/>
              </a:ext>
            </a:extLst>
          </xdr:cNvPr>
          <xdr:cNvSpPr txBox="1"/>
        </xdr:nvSpPr>
        <xdr:spPr>
          <a:xfrm>
            <a:off x="12220576" y="6511571"/>
            <a:ext cx="3409950" cy="760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This section can be used to report prevalence in year 1 and incidence in subsequent years. In this case, select "Yes, it represents incidence" in the previous question about "Does the eligible population relate to the number of new cases?"</a:t>
            </a:r>
          </a:p>
        </xdr:txBody>
      </xdr:sp>
      <xdr:sp macro="" textlink="">
        <xdr:nvSpPr>
          <xdr:cNvPr id="26" name="CaixaDeTexto 25">
            <a:extLst>
              <a:ext uri="{FF2B5EF4-FFF2-40B4-BE49-F238E27FC236}">
                <a16:creationId xmlns:a16="http://schemas.microsoft.com/office/drawing/2014/main" id="{02EBDCCB-8A81-B767-4758-BB907B7640F8}"/>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27" name="InfoBox1" descr="Information with solid fill">
            <a:extLst>
              <a:ext uri="{FF2B5EF4-FFF2-40B4-BE49-F238E27FC236}">
                <a16:creationId xmlns:a16="http://schemas.microsoft.com/office/drawing/2014/main" id="{F8A57388-DDAC-A904-1A93-41E3396CBBBA}"/>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34875" y="6096000"/>
            <a:ext cx="371474" cy="351558"/>
          </a:xfrm>
          <a:prstGeom prst="rect">
            <a:avLst/>
          </a:prstGeom>
        </xdr:spPr>
      </xdr:pic>
    </xdr:grpSp>
    <xdr:clientData/>
  </xdr:twoCellAnchor>
  <xdr:twoCellAnchor editAs="absolute">
    <xdr:from>
      <xdr:col>9</xdr:col>
      <xdr:colOff>364050</xdr:colOff>
      <xdr:row>13</xdr:row>
      <xdr:rowOff>96050</xdr:rowOff>
    </xdr:from>
    <xdr:to>
      <xdr:col>14</xdr:col>
      <xdr:colOff>188766</xdr:colOff>
      <xdr:row>16</xdr:row>
      <xdr:rowOff>58240</xdr:rowOff>
    </xdr:to>
    <xdr:grpSp>
      <xdr:nvGrpSpPr>
        <xdr:cNvPr id="2" name="Agrupar 1">
          <a:extLst>
            <a:ext uri="{FF2B5EF4-FFF2-40B4-BE49-F238E27FC236}">
              <a16:creationId xmlns:a16="http://schemas.microsoft.com/office/drawing/2014/main" id="{51D4899B-31DF-ED40-A71C-923B9126DB9F}"/>
            </a:ext>
          </a:extLst>
        </xdr:cNvPr>
        <xdr:cNvGrpSpPr/>
      </xdr:nvGrpSpPr>
      <xdr:grpSpPr>
        <a:xfrm>
          <a:off x="9142290" y="2671610"/>
          <a:ext cx="3474696" cy="647990"/>
          <a:chOff x="7333755" y="8620379"/>
          <a:chExt cx="1403654" cy="663031"/>
        </a:xfrm>
      </xdr:grpSpPr>
      <xdr:sp macro="" textlink="">
        <xdr:nvSpPr>
          <xdr:cNvPr id="3" name="CaixaDeTexto 2">
            <a:extLst>
              <a:ext uri="{FF2B5EF4-FFF2-40B4-BE49-F238E27FC236}">
                <a16:creationId xmlns:a16="http://schemas.microsoft.com/office/drawing/2014/main" id="{C4C78BE8-0273-0BEC-E55F-CF9BB6507607}"/>
              </a:ext>
            </a:extLst>
          </xdr:cNvPr>
          <xdr:cNvSpPr txBox="1"/>
        </xdr:nvSpPr>
        <xdr:spPr>
          <a:xfrm>
            <a:off x="7333755" y="8643784"/>
            <a:ext cx="1377780"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4" name="CaixaDeTexto 3">
            <a:extLst>
              <a:ext uri="{FF2B5EF4-FFF2-40B4-BE49-F238E27FC236}">
                <a16:creationId xmlns:a16="http://schemas.microsoft.com/office/drawing/2014/main" id="{138E367B-1BB9-F503-2C98-D5D4550203EE}"/>
              </a:ext>
            </a:extLst>
          </xdr:cNvPr>
          <xdr:cNvSpPr txBox="1"/>
        </xdr:nvSpPr>
        <xdr:spPr>
          <a:xfrm>
            <a:off x="7338732" y="8821884"/>
            <a:ext cx="1361713"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Do not erase </a:t>
            </a:r>
            <a:r>
              <a:rPr lang="pt-BR" sz="1000" b="0" kern="1200"/>
              <a:t>any text, numbers or formulas written on the white background.</a:t>
            </a:r>
          </a:p>
        </xdr:txBody>
      </xdr:sp>
      <xdr:sp macro="" textlink="">
        <xdr:nvSpPr>
          <xdr:cNvPr id="5" name="CaixaDeTexto 4">
            <a:extLst>
              <a:ext uri="{FF2B5EF4-FFF2-40B4-BE49-F238E27FC236}">
                <a16:creationId xmlns:a16="http://schemas.microsoft.com/office/drawing/2014/main" id="{570C40B1-9C7A-781B-369B-75BC937005C2}"/>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absolute">
    <xdr:from>
      <xdr:col>9</xdr:col>
      <xdr:colOff>359858</xdr:colOff>
      <xdr:row>3</xdr:row>
      <xdr:rowOff>153182</xdr:rowOff>
    </xdr:from>
    <xdr:to>
      <xdr:col>14</xdr:col>
      <xdr:colOff>98217</xdr:colOff>
      <xdr:row>12</xdr:row>
      <xdr:rowOff>112388</xdr:rowOff>
    </xdr:to>
    <xdr:grpSp>
      <xdr:nvGrpSpPr>
        <xdr:cNvPr id="6" name="Agrupar 5">
          <a:extLst>
            <a:ext uri="{FF2B5EF4-FFF2-40B4-BE49-F238E27FC236}">
              <a16:creationId xmlns:a16="http://schemas.microsoft.com/office/drawing/2014/main" id="{2EB342B3-2C38-7C4B-9EE9-E4EF4340AA04}"/>
            </a:ext>
          </a:extLst>
        </xdr:cNvPr>
        <xdr:cNvGrpSpPr/>
      </xdr:nvGrpSpPr>
      <xdr:grpSpPr>
        <a:xfrm>
          <a:off x="9138098" y="831362"/>
          <a:ext cx="3388339" cy="1673706"/>
          <a:chOff x="7244198" y="8503227"/>
          <a:chExt cx="1845115" cy="1168977"/>
        </a:xfrm>
      </xdr:grpSpPr>
      <xdr:sp macro="" textlink="">
        <xdr:nvSpPr>
          <xdr:cNvPr id="15" name="CaixaDeTexto 14">
            <a:extLst>
              <a:ext uri="{FF2B5EF4-FFF2-40B4-BE49-F238E27FC236}">
                <a16:creationId xmlns:a16="http://schemas.microsoft.com/office/drawing/2014/main" id="{3D93B481-AFF5-ADFD-2CEC-DB4953E74AD3}"/>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16" name="Retângulo 15">
            <a:extLst>
              <a:ext uri="{FF2B5EF4-FFF2-40B4-BE49-F238E27FC236}">
                <a16:creationId xmlns:a16="http://schemas.microsoft.com/office/drawing/2014/main" id="{0B9320E7-E68E-B4AF-1854-2BA4BD3A623F}"/>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7" name="Retângulo 16">
            <a:extLst>
              <a:ext uri="{FF2B5EF4-FFF2-40B4-BE49-F238E27FC236}">
                <a16:creationId xmlns:a16="http://schemas.microsoft.com/office/drawing/2014/main" id="{09AE459B-08E5-A26D-F1DA-09D922559C53}"/>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8" name="CaixaDeTexto 27">
            <a:extLst>
              <a:ext uri="{FF2B5EF4-FFF2-40B4-BE49-F238E27FC236}">
                <a16:creationId xmlns:a16="http://schemas.microsoft.com/office/drawing/2014/main" id="{7EE4C994-490F-5E29-B049-7D3607A5A90C}"/>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29" name="CaixaDeTexto 28">
            <a:extLst>
              <a:ext uri="{FF2B5EF4-FFF2-40B4-BE49-F238E27FC236}">
                <a16:creationId xmlns:a16="http://schemas.microsoft.com/office/drawing/2014/main" id="{EDBC0246-A0D1-09B8-6533-B95903C4B4D8}"/>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0" name="CaixaDeTexto 29">
            <a:extLst>
              <a:ext uri="{FF2B5EF4-FFF2-40B4-BE49-F238E27FC236}">
                <a16:creationId xmlns:a16="http://schemas.microsoft.com/office/drawing/2014/main" id="{D0435128-E1F7-353A-F552-916238DDC7AA}"/>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219074</xdr:colOff>
      <xdr:row>3</xdr:row>
      <xdr:rowOff>58208</xdr:rowOff>
    </xdr:to>
    <xdr:grpSp>
      <xdr:nvGrpSpPr>
        <xdr:cNvPr id="3" name="Agrupar 2">
          <a:extLst>
            <a:ext uri="{FF2B5EF4-FFF2-40B4-BE49-F238E27FC236}">
              <a16:creationId xmlns:a16="http://schemas.microsoft.com/office/drawing/2014/main" id="{1C6047E5-58EB-4ACA-9D17-0242E1680360}"/>
            </a:ext>
          </a:extLst>
        </xdr:cNvPr>
        <xdr:cNvGrpSpPr/>
      </xdr:nvGrpSpPr>
      <xdr:grpSpPr>
        <a:xfrm>
          <a:off x="373380" y="446828"/>
          <a:ext cx="4044314" cy="289560"/>
          <a:chOff x="390525" y="437284"/>
          <a:chExt cx="4552949" cy="304800"/>
        </a:xfrm>
      </xdr:grpSpPr>
      <xdr:grpSp>
        <xdr:nvGrpSpPr>
          <xdr:cNvPr id="5" name="Agrupar 4">
            <a:extLst>
              <a:ext uri="{FF2B5EF4-FFF2-40B4-BE49-F238E27FC236}">
                <a16:creationId xmlns:a16="http://schemas.microsoft.com/office/drawing/2014/main" id="{9EA5E324-DA70-CBF8-7DB1-15F3C9F6EBCB}"/>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4AD42B-8F35-0632-D14F-B97B600843B2}"/>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11CBF60D-6C04-D0E2-440B-BC2EF39F2001}"/>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Costs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7F235F0D-FBB8-F96E-8F64-1A48F0F8E9F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98F87F0D-6892-76C8-8062-E8B397F265C0}"/>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Time on treatment</a:t>
            </a:r>
            <a:endParaRPr lang="pt-BR" sz="1100" i="1" kern="1200">
              <a:solidFill>
                <a:schemeClr val="accent5"/>
              </a:solidFill>
            </a:endParaRPr>
          </a:p>
        </xdr:txBody>
      </xdr:sp>
    </xdr:grpSp>
    <xdr:clientData/>
  </xdr:twoCellAnchor>
  <xdr:twoCellAnchor>
    <xdr:from>
      <xdr:col>0</xdr:col>
      <xdr:colOff>412750</xdr:colOff>
      <xdr:row>5</xdr:row>
      <xdr:rowOff>19051</xdr:rowOff>
    </xdr:from>
    <xdr:to>
      <xdr:col>7</xdr:col>
      <xdr:colOff>825500</xdr:colOff>
      <xdr:row>14</xdr:row>
      <xdr:rowOff>133350</xdr:rowOff>
    </xdr:to>
    <xdr:graphicFrame macro="">
      <xdr:nvGraphicFramePr>
        <xdr:cNvPr id="17" name="Diagrama 16">
          <a:extLst>
            <a:ext uri="{FF2B5EF4-FFF2-40B4-BE49-F238E27FC236}">
              <a16:creationId xmlns:a16="http://schemas.microsoft.com/office/drawing/2014/main" id="{3A21424A-E939-AB39-F099-5C36272B756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xdr:from>
      <xdr:col>1</xdr:col>
      <xdr:colOff>1270</xdr:colOff>
      <xdr:row>17</xdr:row>
      <xdr:rowOff>85722</xdr:rowOff>
    </xdr:from>
    <xdr:to>
      <xdr:col>8</xdr:col>
      <xdr:colOff>1047750</xdr:colOff>
      <xdr:row>24</xdr:row>
      <xdr:rowOff>91439</xdr:rowOff>
    </xdr:to>
    <xdr:grpSp>
      <xdr:nvGrpSpPr>
        <xdr:cNvPr id="18" name="Agrupar 17">
          <a:extLst>
            <a:ext uri="{FF2B5EF4-FFF2-40B4-BE49-F238E27FC236}">
              <a16:creationId xmlns:a16="http://schemas.microsoft.com/office/drawing/2014/main" id="{28293372-9FB7-475A-AF9E-DCD4115703B4}"/>
            </a:ext>
          </a:extLst>
        </xdr:cNvPr>
        <xdr:cNvGrpSpPr/>
      </xdr:nvGrpSpPr>
      <xdr:grpSpPr>
        <a:xfrm>
          <a:off x="374650" y="3369942"/>
          <a:ext cx="9718040" cy="1285877"/>
          <a:chOff x="12172950" y="6048380"/>
          <a:chExt cx="11639550" cy="1341336"/>
        </a:xfrm>
      </xdr:grpSpPr>
      <xdr:sp macro="" textlink="">
        <xdr:nvSpPr>
          <xdr:cNvPr id="19" name="CaixaDeTexto 18">
            <a:extLst>
              <a:ext uri="{FF2B5EF4-FFF2-40B4-BE49-F238E27FC236}">
                <a16:creationId xmlns:a16="http://schemas.microsoft.com/office/drawing/2014/main" id="{2CF238AF-380E-D41F-B909-EC9B891D2209}"/>
              </a:ext>
            </a:extLst>
          </xdr:cNvPr>
          <xdr:cNvSpPr txBox="1"/>
        </xdr:nvSpPr>
        <xdr:spPr>
          <a:xfrm>
            <a:off x="12172950" y="6048380"/>
            <a:ext cx="11525249" cy="13413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0" name="CaixaDeTexto 19">
            <a:extLst>
              <a:ext uri="{FF2B5EF4-FFF2-40B4-BE49-F238E27FC236}">
                <a16:creationId xmlns:a16="http://schemas.microsoft.com/office/drawing/2014/main" id="{A634BD2E-5D0D-D5F2-1528-F478EDEB4D32}"/>
              </a:ext>
            </a:extLst>
          </xdr:cNvPr>
          <xdr:cNvSpPr txBox="1"/>
        </xdr:nvSpPr>
        <xdr:spPr>
          <a:xfrm>
            <a:off x="12220576" y="6417736"/>
            <a:ext cx="11591924" cy="940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 this section, the costs of the assessed treatments will be reported. Ideally, treatment costs should be calculated using Section 6.1 below.</a:t>
            </a:r>
            <a:br>
              <a:rPr lang="pt-BR" sz="1000" kern="1200"/>
            </a:br>
            <a:r>
              <a:rPr lang="pt-BR" sz="1000" kern="1200"/>
              <a:t>It is important to distinguish between costs that are ongoing (e.g., chronic treatment, recurrent therapy, or maintenance therapy) and those that occur only once at the start of the model (e.g., induction therapy).</a:t>
            </a:r>
            <a:br>
              <a:rPr lang="pt-BR" sz="1000" kern="1200"/>
            </a:br>
            <a:r>
              <a:rPr lang="pt-BR" sz="1000" kern="1200"/>
              <a:t>It is also possible to estimate costs that will be incurred only after treatment discontinuation (e.g., costs related to disease progression in oncology therapies).</a:t>
            </a:r>
            <a:br>
              <a:rPr lang="pt-BR" sz="1000" kern="1200"/>
            </a:br>
            <a:r>
              <a:rPr lang="pt-BR" sz="1000" kern="1200"/>
              <a:t>If it is not feasible to use Section 6.1 to estimate costs, use Section 6.2 at the bottom of this page to input the total annual cost per treatment.</a:t>
            </a:r>
          </a:p>
        </xdr:txBody>
      </xdr:sp>
      <xdr:sp macro="" textlink="">
        <xdr:nvSpPr>
          <xdr:cNvPr id="21" name="CaixaDeTexto 20">
            <a:extLst>
              <a:ext uri="{FF2B5EF4-FFF2-40B4-BE49-F238E27FC236}">
                <a16:creationId xmlns:a16="http://schemas.microsoft.com/office/drawing/2014/main" id="{85D77D43-B560-3528-C0FA-E4429DA670BB}"/>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22" name="InfoBox1" descr="Information with solid fill">
            <a:extLst>
              <a:ext uri="{FF2B5EF4-FFF2-40B4-BE49-F238E27FC236}">
                <a16:creationId xmlns:a16="http://schemas.microsoft.com/office/drawing/2014/main" id="{61B887AD-E610-B866-506B-7D6628DEA720}"/>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334875" y="6096000"/>
            <a:ext cx="371474" cy="351558"/>
          </a:xfrm>
          <a:prstGeom prst="rect">
            <a:avLst/>
          </a:prstGeom>
        </xdr:spPr>
      </xdr:pic>
    </xdr:grpSp>
    <xdr:clientData/>
  </xdr:twoCellAnchor>
  <xdr:twoCellAnchor editAs="absolute">
    <xdr:from>
      <xdr:col>8</xdr:col>
      <xdr:colOff>1009952</xdr:colOff>
      <xdr:row>5</xdr:row>
      <xdr:rowOff>57574</xdr:rowOff>
    </xdr:from>
    <xdr:to>
      <xdr:col>13</xdr:col>
      <xdr:colOff>1687</xdr:colOff>
      <xdr:row>12</xdr:row>
      <xdr:rowOff>60537</xdr:rowOff>
    </xdr:to>
    <xdr:grpSp>
      <xdr:nvGrpSpPr>
        <xdr:cNvPr id="23" name="Agrupar 22">
          <a:extLst>
            <a:ext uri="{FF2B5EF4-FFF2-40B4-BE49-F238E27FC236}">
              <a16:creationId xmlns:a16="http://schemas.microsoft.com/office/drawing/2014/main" id="{1DA62542-CB00-8D45-89DF-8B7EF946CE90}"/>
            </a:ext>
          </a:extLst>
        </xdr:cNvPr>
        <xdr:cNvGrpSpPr/>
      </xdr:nvGrpSpPr>
      <xdr:grpSpPr>
        <a:xfrm>
          <a:off x="10054892" y="1101514"/>
          <a:ext cx="3479915" cy="1283123"/>
          <a:chOff x="7244198" y="8503227"/>
          <a:chExt cx="1845115" cy="1168977"/>
        </a:xfrm>
      </xdr:grpSpPr>
      <xdr:sp macro="" textlink="">
        <xdr:nvSpPr>
          <xdr:cNvPr id="24" name="CaixaDeTexto 23">
            <a:extLst>
              <a:ext uri="{FF2B5EF4-FFF2-40B4-BE49-F238E27FC236}">
                <a16:creationId xmlns:a16="http://schemas.microsoft.com/office/drawing/2014/main" id="{9E5A6237-C67D-3C1C-38F0-53E2CF2DE2CA}"/>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A9771E9E-D841-8824-8134-9BDBA16B5C23}"/>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4A08BFE-3730-2C03-DF99-7F74644DB439}"/>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CaixaDeTexto 26">
            <a:extLst>
              <a:ext uri="{FF2B5EF4-FFF2-40B4-BE49-F238E27FC236}">
                <a16:creationId xmlns:a16="http://schemas.microsoft.com/office/drawing/2014/main" id="{C5456027-74AE-AAD1-2213-3EA32991A857}"/>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28" name="CaixaDeTexto 27">
            <a:extLst>
              <a:ext uri="{FF2B5EF4-FFF2-40B4-BE49-F238E27FC236}">
                <a16:creationId xmlns:a16="http://schemas.microsoft.com/office/drawing/2014/main" id="{86EA3B3E-843C-EC0C-E370-FA08688ADB6E}"/>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29" name="CaixaDeTexto 28">
            <a:extLst>
              <a:ext uri="{FF2B5EF4-FFF2-40B4-BE49-F238E27FC236}">
                <a16:creationId xmlns:a16="http://schemas.microsoft.com/office/drawing/2014/main" id="{BC018347-9732-34BE-128F-B63FE6177BA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419100</xdr:rowOff>
    </xdr:from>
    <xdr:to>
      <xdr:col>4</xdr:col>
      <xdr:colOff>219074</xdr:colOff>
      <xdr:row>3</xdr:row>
      <xdr:rowOff>28575</xdr:rowOff>
    </xdr:to>
    <xdr:grpSp>
      <xdr:nvGrpSpPr>
        <xdr:cNvPr id="2" name="Agrupar 1">
          <a:extLst>
            <a:ext uri="{FF2B5EF4-FFF2-40B4-BE49-F238E27FC236}">
              <a16:creationId xmlns:a16="http://schemas.microsoft.com/office/drawing/2014/main" id="{9DF5DE3F-A819-4C96-B324-756719C99586}"/>
            </a:ext>
          </a:extLst>
        </xdr:cNvPr>
        <xdr:cNvGrpSpPr/>
      </xdr:nvGrpSpPr>
      <xdr:grpSpPr>
        <a:xfrm>
          <a:off x="297180" y="419100"/>
          <a:ext cx="3869054" cy="318135"/>
          <a:chOff x="390525" y="437284"/>
          <a:chExt cx="4552949" cy="304800"/>
        </a:xfrm>
      </xdr:grpSpPr>
      <xdr:grpSp>
        <xdr:nvGrpSpPr>
          <xdr:cNvPr id="4" name="Agrupar 3">
            <a:extLst>
              <a:ext uri="{FF2B5EF4-FFF2-40B4-BE49-F238E27FC236}">
                <a16:creationId xmlns:a16="http://schemas.microsoft.com/office/drawing/2014/main" id="{3E649EAA-3EF4-A01C-B3AE-CE8D23D21EFE}"/>
              </a:ext>
            </a:extLst>
          </xdr:cNvPr>
          <xdr:cNvGrpSpPr/>
        </xdr:nvGrpSpPr>
        <xdr:grpSpPr>
          <a:xfrm>
            <a:off x="390525" y="437284"/>
            <a:ext cx="2409824" cy="232929"/>
            <a:chOff x="386197" y="438151"/>
            <a:chExt cx="2410690" cy="237258"/>
          </a:xfrm>
        </xdr:grpSpPr>
        <xdr:sp macro="[0]!ocultar_marketshare" textlink="">
          <xdr:nvSpPr>
            <xdr:cNvPr id="6" name="Retângulo: Cantos Superiores Arredondados 5">
              <a:hlinkClick xmlns:r="http://schemas.openxmlformats.org/officeDocument/2006/relationships" r:id="rId1"/>
              <a:extLst>
                <a:ext uri="{FF2B5EF4-FFF2-40B4-BE49-F238E27FC236}">
                  <a16:creationId xmlns:a16="http://schemas.microsoft.com/office/drawing/2014/main" id="{5E3362F2-A626-9337-21EB-4E7EB29B672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7" name="Retângulo: Cantos Superiores Arredondados 6">
              <a:extLst>
                <a:ext uri="{FF2B5EF4-FFF2-40B4-BE49-F238E27FC236}">
                  <a16:creationId xmlns:a16="http://schemas.microsoft.com/office/drawing/2014/main" id="{437568F9-962E-F0D9-7CE3-16E67D83F159}"/>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Time on treatment</a:t>
              </a:r>
            </a:p>
          </xdr:txBody>
        </xdr:sp>
        <xdr:sp macro="" textlink="">
          <xdr:nvSpPr>
            <xdr:cNvPr id="8" name="Retângulo: Cantos Superiores Arredondados 7">
              <a:hlinkClick xmlns:r="http://schemas.openxmlformats.org/officeDocument/2006/relationships" r:id="rId2"/>
              <a:extLst>
                <a:ext uri="{FF2B5EF4-FFF2-40B4-BE49-F238E27FC236}">
                  <a16:creationId xmlns:a16="http://schemas.microsoft.com/office/drawing/2014/main" id="{DC735040-C6F0-240D-09C8-D21E7DCCEFF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B386A4DE-65B3-4597-60D0-C0BEC824B413}"/>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Results</a:t>
            </a:r>
          </a:p>
        </xdr:txBody>
      </xdr:sp>
    </xdr:grpSp>
    <xdr:clientData/>
  </xdr:twoCellAnchor>
  <xdr:twoCellAnchor>
    <xdr:from>
      <xdr:col>8</xdr:col>
      <xdr:colOff>883073</xdr:colOff>
      <xdr:row>57</xdr:row>
      <xdr:rowOff>162137</xdr:rowOff>
    </xdr:from>
    <xdr:to>
      <xdr:col>9</xdr:col>
      <xdr:colOff>504401</xdr:colOff>
      <xdr:row>59</xdr:row>
      <xdr:rowOff>72602</xdr:rowOff>
    </xdr:to>
    <xdr:sp macro="" textlink="">
      <xdr:nvSpPr>
        <xdr:cNvPr id="9" name="Retângulo: Cantos Arredondados 8">
          <a:hlinkClick xmlns:r="http://schemas.openxmlformats.org/officeDocument/2006/relationships" r:id="rId3"/>
          <a:extLst>
            <a:ext uri="{FF2B5EF4-FFF2-40B4-BE49-F238E27FC236}">
              <a16:creationId xmlns:a16="http://schemas.microsoft.com/office/drawing/2014/main" id="{6B07A605-9E07-8DCA-5D3A-30620207D2FC}"/>
            </a:ext>
          </a:extLst>
        </xdr:cNvPr>
        <xdr:cNvSpPr/>
      </xdr:nvSpPr>
      <xdr:spPr>
        <a:xfrm>
          <a:off x="7493423" y="10744412"/>
          <a:ext cx="935778" cy="272415"/>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Data</a:t>
          </a:r>
        </a:p>
      </xdr:txBody>
    </xdr:sp>
    <xdr:clientData/>
  </xdr:twoCellAnchor>
  <xdr:twoCellAnchor>
    <xdr:from>
      <xdr:col>1</xdr:col>
      <xdr:colOff>257175</xdr:colOff>
      <xdr:row>93</xdr:row>
      <xdr:rowOff>104775</xdr:rowOff>
    </xdr:from>
    <xdr:to>
      <xdr:col>13</xdr:col>
      <xdr:colOff>76200</xdr:colOff>
      <xdr:row>99</xdr:row>
      <xdr:rowOff>76200</xdr:rowOff>
    </xdr:to>
    <xdr:grpSp>
      <xdr:nvGrpSpPr>
        <xdr:cNvPr id="18" name="Agrupar 17">
          <a:extLst>
            <a:ext uri="{FF2B5EF4-FFF2-40B4-BE49-F238E27FC236}">
              <a16:creationId xmlns:a16="http://schemas.microsoft.com/office/drawing/2014/main" id="{84E3BB2A-732D-4CDE-AE24-3DD9AF39C90C}"/>
            </a:ext>
          </a:extLst>
        </xdr:cNvPr>
        <xdr:cNvGrpSpPr/>
      </xdr:nvGrpSpPr>
      <xdr:grpSpPr>
        <a:xfrm>
          <a:off x="554355" y="17425035"/>
          <a:ext cx="10586085" cy="1068705"/>
          <a:chOff x="10067925" y="2743200"/>
          <a:chExt cx="9906000" cy="1114425"/>
        </a:xfrm>
      </xdr:grpSpPr>
      <xdr:grpSp>
        <xdr:nvGrpSpPr>
          <xdr:cNvPr id="19" name="Agrupar 18">
            <a:extLst>
              <a:ext uri="{FF2B5EF4-FFF2-40B4-BE49-F238E27FC236}">
                <a16:creationId xmlns:a16="http://schemas.microsoft.com/office/drawing/2014/main" id="{0DAE3FCC-D2BA-0BF0-3850-3B3DC488EF70}"/>
              </a:ext>
            </a:extLst>
          </xdr:cNvPr>
          <xdr:cNvGrpSpPr/>
        </xdr:nvGrpSpPr>
        <xdr:grpSpPr>
          <a:xfrm>
            <a:off x="10067925" y="2743200"/>
            <a:ext cx="9906000" cy="1114425"/>
            <a:chOff x="7244198" y="8503227"/>
            <a:chExt cx="5360102" cy="1114425"/>
          </a:xfrm>
        </xdr:grpSpPr>
        <xdr:sp macro="" textlink="">
          <xdr:nvSpPr>
            <xdr:cNvPr id="21" name="CaixaDeTexto 20">
              <a:extLst>
                <a:ext uri="{FF2B5EF4-FFF2-40B4-BE49-F238E27FC236}">
                  <a16:creationId xmlns:a16="http://schemas.microsoft.com/office/drawing/2014/main" id="{9674732E-3DF7-902A-E764-98AEBAFE2E44}"/>
                </a:ext>
              </a:extLst>
            </xdr:cNvPr>
            <xdr:cNvSpPr txBox="1"/>
          </xdr:nvSpPr>
          <xdr:spPr>
            <a:xfrm>
              <a:off x="7244198" y="8503227"/>
              <a:ext cx="5360102"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C9DD3A95-D32B-A772-8976-A3B4EE96D700}"/>
                </a:ext>
              </a:extLst>
            </xdr:cNvPr>
            <xdr:cNvSpPr txBox="1"/>
          </xdr:nvSpPr>
          <xdr:spPr>
            <a:xfrm>
              <a:off x="7269968" y="8912801"/>
              <a:ext cx="5282792" cy="704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a:t>Mortality rate:</a:t>
              </a:r>
              <a:r>
                <a:rPr lang="pt-BR" sz="1000"/>
                <a:t> Proportion of patients who exit the analysis each year due to death. At baseline, the mortality rate is 0%, and in subsequent years it should always be </a:t>
              </a:r>
              <a:r>
                <a:rPr lang="pt-BR" sz="1000" b="1"/>
                <a:t>increasing</a:t>
              </a:r>
              <a:r>
                <a:rPr lang="pt-BR" sz="1000"/>
                <a:t> because it is cumulative.</a:t>
              </a:r>
            </a:p>
            <a:p>
              <a:r>
                <a:rPr lang="pt-BR" sz="1000" b="1"/>
                <a:t>Overall survival:</a:t>
              </a:r>
              <a:r>
                <a:rPr lang="pt-BR" sz="1000"/>
                <a:t> Percentage of patients alive at the end of each period (year). At baseline, overall survival is 100%, and in subsequent years it should always be </a:t>
              </a:r>
              <a:r>
                <a:rPr lang="pt-BR" sz="1000" b="1"/>
                <a:t>decreasing</a:t>
              </a:r>
              <a:r>
                <a:rPr lang="pt-BR" sz="1000"/>
                <a:t>.</a:t>
              </a:r>
            </a:p>
          </xdr:txBody>
        </xdr:sp>
        <xdr:sp macro="" textlink="">
          <xdr:nvSpPr>
            <xdr:cNvPr id="23" name="CaixaDeTexto 22">
              <a:extLst>
                <a:ext uri="{FF2B5EF4-FFF2-40B4-BE49-F238E27FC236}">
                  <a16:creationId xmlns:a16="http://schemas.microsoft.com/office/drawing/2014/main" id="{7DB82325-7421-2D35-DBE3-D542516E80ED}"/>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20" name="InfoBox1" descr="Information with solid fill">
            <a:extLst>
              <a:ext uri="{FF2B5EF4-FFF2-40B4-BE49-F238E27FC236}">
                <a16:creationId xmlns:a16="http://schemas.microsoft.com/office/drawing/2014/main" id="{822E3709-D9A2-1BC4-3BEE-16C2FD26F369}"/>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29850" y="2790825"/>
            <a:ext cx="371474" cy="351558"/>
          </a:xfrm>
          <a:prstGeom prst="rect">
            <a:avLst/>
          </a:prstGeom>
        </xdr:spPr>
      </xdr:pic>
    </xdr:grpSp>
    <xdr:clientData/>
  </xdr:twoCellAnchor>
  <xdr:twoCellAnchor>
    <xdr:from>
      <xdr:col>1</xdr:col>
      <xdr:colOff>209549</xdr:colOff>
      <xdr:row>43</xdr:row>
      <xdr:rowOff>152400</xdr:rowOff>
    </xdr:from>
    <xdr:to>
      <xdr:col>13</xdr:col>
      <xdr:colOff>47623</xdr:colOff>
      <xdr:row>51</xdr:row>
      <xdr:rowOff>57150</xdr:rowOff>
    </xdr:to>
    <xdr:grpSp>
      <xdr:nvGrpSpPr>
        <xdr:cNvPr id="11" name="Agrupar 10">
          <a:extLst>
            <a:ext uri="{FF2B5EF4-FFF2-40B4-BE49-F238E27FC236}">
              <a16:creationId xmlns:a16="http://schemas.microsoft.com/office/drawing/2014/main" id="{6407FC88-FE72-4467-ADF5-265F77A4CDE3}"/>
            </a:ext>
          </a:extLst>
        </xdr:cNvPr>
        <xdr:cNvGrpSpPr/>
      </xdr:nvGrpSpPr>
      <xdr:grpSpPr>
        <a:xfrm>
          <a:off x="506729" y="8267700"/>
          <a:ext cx="10605134" cy="1367790"/>
          <a:chOff x="10067924" y="2743201"/>
          <a:chExt cx="10872495" cy="904874"/>
        </a:xfrm>
      </xdr:grpSpPr>
      <xdr:grpSp>
        <xdr:nvGrpSpPr>
          <xdr:cNvPr id="24" name="Agrupar 23">
            <a:extLst>
              <a:ext uri="{FF2B5EF4-FFF2-40B4-BE49-F238E27FC236}">
                <a16:creationId xmlns:a16="http://schemas.microsoft.com/office/drawing/2014/main" id="{4043D3FB-1F50-3984-338F-5E114BE3C685}"/>
              </a:ext>
            </a:extLst>
          </xdr:cNvPr>
          <xdr:cNvGrpSpPr/>
        </xdr:nvGrpSpPr>
        <xdr:grpSpPr>
          <a:xfrm>
            <a:off x="10067924" y="2743201"/>
            <a:ext cx="10872495" cy="904874"/>
            <a:chOff x="7244197" y="8503228"/>
            <a:chExt cx="5883069" cy="904874"/>
          </a:xfrm>
        </xdr:grpSpPr>
        <xdr:sp macro="" textlink="">
          <xdr:nvSpPr>
            <xdr:cNvPr id="26" name="CaixaDeTexto 25">
              <a:extLst>
                <a:ext uri="{FF2B5EF4-FFF2-40B4-BE49-F238E27FC236}">
                  <a16:creationId xmlns:a16="http://schemas.microsoft.com/office/drawing/2014/main" id="{7E4B5F10-3E15-4A60-7319-85B24990F844}"/>
                </a:ext>
              </a:extLst>
            </xdr:cNvPr>
            <xdr:cNvSpPr txBox="1"/>
          </xdr:nvSpPr>
          <xdr:spPr>
            <a:xfrm>
              <a:off x="7244197" y="8503228"/>
              <a:ext cx="5883069" cy="8143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7" name="CaixaDeTexto 26">
              <a:extLst>
                <a:ext uri="{FF2B5EF4-FFF2-40B4-BE49-F238E27FC236}">
                  <a16:creationId xmlns:a16="http://schemas.microsoft.com/office/drawing/2014/main" id="{6B2EC83B-C2A3-079F-2EF2-8A67D59DA9A6}"/>
                </a:ext>
              </a:extLst>
            </xdr:cNvPr>
            <xdr:cNvSpPr txBox="1"/>
          </xdr:nvSpPr>
          <xdr:spPr>
            <a:xfrm>
              <a:off x="7269968" y="8822950"/>
              <a:ext cx="5783902" cy="585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u="sng" kern="1200"/>
                <a:t>Median treatment duration: </a:t>
              </a:r>
              <a:r>
                <a:rPr lang="pt-BR" sz="1000" u="none" kern="1200"/>
                <a:t>This refers to the time point at which 50% of patients have either completed or discontinued treatment (expressed in months).</a:t>
              </a:r>
            </a:p>
            <a:p>
              <a:r>
                <a:rPr lang="pt-BR" sz="1000" u="sng" kern="1200"/>
                <a:t>Treatment discontinuation rates: </a:t>
              </a:r>
              <a:r>
                <a:rPr lang="pt-BR" sz="1000" u="none" kern="1200"/>
                <a:t>These represent the proportion of patients who stop treatment in a given year, whether due to adverse events, lack of efficacy, or other reasons.</a:t>
              </a:r>
            </a:p>
            <a:p>
              <a:r>
                <a:rPr lang="pt-BR" sz="1000" u="sng" kern="1200"/>
                <a:t>Progression-free survival (PFS): </a:t>
              </a:r>
              <a:r>
                <a:rPr lang="pt-BR" sz="1000" u="none" kern="1200"/>
                <a:t>This is the percentage of patients who remain free from disease progression after initiating treatment. It should be used only when progression is a proxy or explicit treatment-stopping criterion.</a:t>
              </a:r>
            </a:p>
            <a:p>
              <a:endParaRPr lang="pt-BR" sz="1000" kern="1200"/>
            </a:p>
          </xdr:txBody>
        </xdr:sp>
        <xdr:sp macro="" textlink="">
          <xdr:nvSpPr>
            <xdr:cNvPr id="28" name="CaixaDeTexto 27">
              <a:extLst>
                <a:ext uri="{FF2B5EF4-FFF2-40B4-BE49-F238E27FC236}">
                  <a16:creationId xmlns:a16="http://schemas.microsoft.com/office/drawing/2014/main" id="{FA8471F6-87CB-FE18-E18C-C74BA19A9337}"/>
                </a:ext>
              </a:extLst>
            </xdr:cNvPr>
            <xdr:cNvSpPr txBox="1"/>
          </xdr:nvSpPr>
          <xdr:spPr>
            <a:xfrm>
              <a:off x="7574050" y="8637445"/>
              <a:ext cx="917933" cy="161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25" name="InfoBox1" descr="Information with solid fill">
            <a:extLst>
              <a:ext uri="{FF2B5EF4-FFF2-40B4-BE49-F238E27FC236}">
                <a16:creationId xmlns:a16="http://schemas.microsoft.com/office/drawing/2014/main" id="{755231AA-A063-F394-A5DE-9EF5C07AB17E}"/>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58425" y="2827021"/>
            <a:ext cx="371474" cy="217806"/>
          </a:xfrm>
          <a:prstGeom prst="rect">
            <a:avLst/>
          </a:prstGeom>
        </xdr:spPr>
      </xdr:pic>
    </xdr:grpSp>
    <xdr:clientData/>
  </xdr:twoCellAnchor>
  <xdr:twoCellAnchor>
    <xdr:from>
      <xdr:col>8</xdr:col>
      <xdr:colOff>944457</xdr:colOff>
      <xdr:row>105</xdr:row>
      <xdr:rowOff>165100</xdr:rowOff>
    </xdr:from>
    <xdr:to>
      <xdr:col>9</xdr:col>
      <xdr:colOff>558165</xdr:colOff>
      <xdr:row>107</xdr:row>
      <xdr:rowOff>66040</xdr:rowOff>
    </xdr:to>
    <xdr:sp macro="" textlink="">
      <xdr:nvSpPr>
        <xdr:cNvPr id="29" name="Retângulo: Cantos Arredondados 28">
          <a:hlinkClick xmlns:r="http://schemas.openxmlformats.org/officeDocument/2006/relationships" r:id="rId3"/>
          <a:extLst>
            <a:ext uri="{FF2B5EF4-FFF2-40B4-BE49-F238E27FC236}">
              <a16:creationId xmlns:a16="http://schemas.microsoft.com/office/drawing/2014/main" id="{59B3D68C-6037-45A6-B427-013FEAB1D085}"/>
            </a:ext>
          </a:extLst>
        </xdr:cNvPr>
        <xdr:cNvSpPr/>
      </xdr:nvSpPr>
      <xdr:spPr>
        <a:xfrm>
          <a:off x="7554807" y="19491325"/>
          <a:ext cx="928158" cy="26289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Data</a:t>
          </a:r>
        </a:p>
      </xdr:txBody>
    </xdr:sp>
    <xdr:clientData/>
  </xdr:twoCellAnchor>
  <xdr:twoCellAnchor editAs="absolute">
    <xdr:from>
      <xdr:col>16</xdr:col>
      <xdr:colOff>9420</xdr:colOff>
      <xdr:row>4</xdr:row>
      <xdr:rowOff>75777</xdr:rowOff>
    </xdr:from>
    <xdr:to>
      <xdr:col>19</xdr:col>
      <xdr:colOff>244258</xdr:colOff>
      <xdr:row>11</xdr:row>
      <xdr:rowOff>37253</xdr:rowOff>
    </xdr:to>
    <xdr:grpSp>
      <xdr:nvGrpSpPr>
        <xdr:cNvPr id="3" name="Agrupar 2">
          <a:extLst>
            <a:ext uri="{FF2B5EF4-FFF2-40B4-BE49-F238E27FC236}">
              <a16:creationId xmlns:a16="http://schemas.microsoft.com/office/drawing/2014/main" id="{E056DB43-3DA2-9448-A021-78A1BF0EC6B9}"/>
            </a:ext>
          </a:extLst>
        </xdr:cNvPr>
        <xdr:cNvGrpSpPr/>
      </xdr:nvGrpSpPr>
      <xdr:grpSpPr>
        <a:xfrm>
          <a:off x="12376680" y="967317"/>
          <a:ext cx="3503818" cy="1287356"/>
          <a:chOff x="7244198" y="8503227"/>
          <a:chExt cx="1845115" cy="1168977"/>
        </a:xfrm>
      </xdr:grpSpPr>
      <xdr:sp macro="" textlink="">
        <xdr:nvSpPr>
          <xdr:cNvPr id="30" name="CaixaDeTexto 29">
            <a:extLst>
              <a:ext uri="{FF2B5EF4-FFF2-40B4-BE49-F238E27FC236}">
                <a16:creationId xmlns:a16="http://schemas.microsoft.com/office/drawing/2014/main" id="{A36EA3EF-583F-BFCE-F7F5-50F770106986}"/>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31" name="Retângulo 30">
            <a:extLst>
              <a:ext uri="{FF2B5EF4-FFF2-40B4-BE49-F238E27FC236}">
                <a16:creationId xmlns:a16="http://schemas.microsoft.com/office/drawing/2014/main" id="{687477C1-715B-CFB9-3233-5188C04AEC49}"/>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32" name="Retângulo 31">
            <a:extLst>
              <a:ext uri="{FF2B5EF4-FFF2-40B4-BE49-F238E27FC236}">
                <a16:creationId xmlns:a16="http://schemas.microsoft.com/office/drawing/2014/main" id="{33B2AC77-50C4-A1AE-0A1D-04B7790745C1}"/>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33" name="CaixaDeTexto 32">
            <a:extLst>
              <a:ext uri="{FF2B5EF4-FFF2-40B4-BE49-F238E27FC236}">
                <a16:creationId xmlns:a16="http://schemas.microsoft.com/office/drawing/2014/main" id="{D97FADF5-48CA-006F-8BB7-F9D312F1F67B}"/>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4" name="CaixaDeTexto 33">
            <a:extLst>
              <a:ext uri="{FF2B5EF4-FFF2-40B4-BE49-F238E27FC236}">
                <a16:creationId xmlns:a16="http://schemas.microsoft.com/office/drawing/2014/main" id="{0EDCD9FF-DE8B-3D54-2AB2-D12AA83075FD}"/>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5" name="CaixaDeTexto 34">
            <a:extLst>
              <a:ext uri="{FF2B5EF4-FFF2-40B4-BE49-F238E27FC236}">
                <a16:creationId xmlns:a16="http://schemas.microsoft.com/office/drawing/2014/main" id="{7C26966B-66E7-86D0-99CF-0255592017F1}"/>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xdr:from>
      <xdr:col>10</xdr:col>
      <xdr:colOff>137583</xdr:colOff>
      <xdr:row>51</xdr:row>
      <xdr:rowOff>63500</xdr:rowOff>
    </xdr:from>
    <xdr:to>
      <xdr:col>15</xdr:col>
      <xdr:colOff>80818</xdr:colOff>
      <xdr:row>59</xdr:row>
      <xdr:rowOff>34636</xdr:rowOff>
    </xdr:to>
    <xdr:sp macro="" textlink="">
      <xdr:nvSpPr>
        <xdr:cNvPr id="12" name="CaixaDeTexto 11">
          <a:extLst>
            <a:ext uri="{FF2B5EF4-FFF2-40B4-BE49-F238E27FC236}">
              <a16:creationId xmlns:a16="http://schemas.microsoft.com/office/drawing/2014/main" id="{17E057F1-58F8-F842-BF59-86F550F63DA2}"/>
            </a:ext>
          </a:extLst>
        </xdr:cNvPr>
        <xdr:cNvSpPr txBox="1"/>
      </xdr:nvSpPr>
      <xdr:spPr>
        <a:xfrm>
          <a:off x="9847310" y="10292773"/>
          <a:ext cx="3556963" cy="1541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50" i="1" kern="1200">
              <a:solidFill>
                <a:schemeClr val="accent5"/>
              </a:solidFill>
            </a:rPr>
            <a:t>- If “Yes”: Both discontinuation and death will be considered. Ensure the data are consistent and related (death ≤ discontinuation).</a:t>
          </a:r>
        </a:p>
        <a:p>
          <a:pPr algn="l"/>
          <a:r>
            <a:rPr lang="pt-BR" sz="1050" i="1" kern="1200">
              <a:solidFill>
                <a:schemeClr val="accent5"/>
              </a:solidFill>
            </a:rPr>
            <a:t>- If “No”: Only one exit event will be modeled (recommended when rates are independent).</a:t>
          </a:r>
        </a:p>
        <a:p>
          <a:pPr algn="l"/>
          <a:r>
            <a:rPr lang="pt-BR" sz="1050" i="1" kern="1200">
              <a:solidFill>
                <a:schemeClr val="accent5"/>
              </a:solidFill>
            </a:rPr>
            <a:t>Tip: If discontinuation and death are not clinically linked or sourced from different datasets, select only one to avoid inconsistent results.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16298</xdr:rowOff>
    </xdr:from>
    <xdr:to>
      <xdr:col>4</xdr:col>
      <xdr:colOff>781050</xdr:colOff>
      <xdr:row>3</xdr:row>
      <xdr:rowOff>54398</xdr:rowOff>
    </xdr:to>
    <xdr:grpSp>
      <xdr:nvGrpSpPr>
        <xdr:cNvPr id="2" name="Agrupar 1">
          <a:extLst>
            <a:ext uri="{FF2B5EF4-FFF2-40B4-BE49-F238E27FC236}">
              <a16:creationId xmlns:a16="http://schemas.microsoft.com/office/drawing/2014/main" id="{AF3F7536-7C92-40A8-8D06-2DF3C287628C}"/>
            </a:ext>
          </a:extLst>
        </xdr:cNvPr>
        <xdr:cNvGrpSpPr/>
      </xdr:nvGrpSpPr>
      <xdr:grpSpPr>
        <a:xfrm>
          <a:off x="371475" y="448733"/>
          <a:ext cx="4701540" cy="285750"/>
          <a:chOff x="390525" y="437284"/>
          <a:chExt cx="5213900" cy="304800"/>
        </a:xfrm>
      </xdr:grpSpPr>
      <xdr:grpSp>
        <xdr:nvGrpSpPr>
          <xdr:cNvPr id="5" name="Agrupar 4">
            <a:extLst>
              <a:ext uri="{FF2B5EF4-FFF2-40B4-BE49-F238E27FC236}">
                <a16:creationId xmlns:a16="http://schemas.microsoft.com/office/drawing/2014/main" id="{FD553007-10C8-528E-78B3-C155DAD6F9D4}"/>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D5CCFDA4-63F5-50F1-38ED-FF58A294B6C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D94F83BF-BE6B-0B67-154E-AFF6D09B831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Results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8CBCD317-97F7-C614-67B8-AC8EA26C64A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8BB57F40-D09E-489B-0FDA-208A65F3E3EF}"/>
              </a:ext>
            </a:extLst>
          </xdr:cNvPr>
          <xdr:cNvSpPr txBox="1"/>
        </xdr:nvSpPr>
        <xdr:spPr>
          <a:xfrm>
            <a:off x="2819399" y="438150"/>
            <a:ext cx="2785026"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Determinist Sensibility Analysis</a:t>
            </a:r>
            <a:endParaRPr lang="pt-BR" sz="1100" i="1" kern="1200">
              <a:solidFill>
                <a:schemeClr val="accent5"/>
              </a:solidFill>
            </a:endParaRPr>
          </a:p>
        </xdr:txBody>
      </xdr:sp>
    </xdr:grpSp>
    <xdr:clientData/>
  </xdr:twoCellAnchor>
  <xdr:twoCellAnchor>
    <xdr:from>
      <xdr:col>12</xdr:col>
      <xdr:colOff>205740</xdr:colOff>
      <xdr:row>14</xdr:row>
      <xdr:rowOff>143827</xdr:rowOff>
    </xdr:from>
    <xdr:to>
      <xdr:col>19</xdr:col>
      <xdr:colOff>510540</xdr:colOff>
      <xdr:row>26</xdr:row>
      <xdr:rowOff>123825</xdr:rowOff>
    </xdr:to>
    <xdr:graphicFrame macro="">
      <xdr:nvGraphicFramePr>
        <xdr:cNvPr id="12" name="Gráfico 11">
          <a:extLst>
            <a:ext uri="{FF2B5EF4-FFF2-40B4-BE49-F238E27FC236}">
              <a16:creationId xmlns:a16="http://schemas.microsoft.com/office/drawing/2014/main" id="{40FDF2AA-ACF8-AB8B-5BF7-71F3D7C016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102869</xdr:colOff>
      <xdr:row>14</xdr:row>
      <xdr:rowOff>145731</xdr:rowOff>
    </xdr:from>
    <xdr:to>
      <xdr:col>23</xdr:col>
      <xdr:colOff>822959</xdr:colOff>
      <xdr:row>26</xdr:row>
      <xdr:rowOff>114300</xdr:rowOff>
    </xdr:to>
    <xdr:graphicFrame macro="">
      <xdr:nvGraphicFramePr>
        <xdr:cNvPr id="13" name="Gráfico 12">
          <a:extLst>
            <a:ext uri="{FF2B5EF4-FFF2-40B4-BE49-F238E27FC236}">
              <a16:creationId xmlns:a16="http://schemas.microsoft.com/office/drawing/2014/main" id="{0C0068BD-4C15-67B1-9E5B-13EF11CF9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205740</xdr:colOff>
      <xdr:row>27</xdr:row>
      <xdr:rowOff>38101</xdr:rowOff>
    </xdr:from>
    <xdr:to>
      <xdr:col>19</xdr:col>
      <xdr:colOff>510540</xdr:colOff>
      <xdr:row>38</xdr:row>
      <xdr:rowOff>152401</xdr:rowOff>
    </xdr:to>
    <xdr:graphicFrame macro="">
      <xdr:nvGraphicFramePr>
        <xdr:cNvPr id="14" name="Gráfico 13">
          <a:extLst>
            <a:ext uri="{FF2B5EF4-FFF2-40B4-BE49-F238E27FC236}">
              <a16:creationId xmlns:a16="http://schemas.microsoft.com/office/drawing/2014/main" id="{50D735CB-263D-4254-AB49-E02A34DF44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114299</xdr:colOff>
      <xdr:row>27</xdr:row>
      <xdr:rowOff>9526</xdr:rowOff>
    </xdr:from>
    <xdr:to>
      <xdr:col>23</xdr:col>
      <xdr:colOff>826769</xdr:colOff>
      <xdr:row>38</xdr:row>
      <xdr:rowOff>140970</xdr:rowOff>
    </xdr:to>
    <xdr:graphicFrame macro="">
      <xdr:nvGraphicFramePr>
        <xdr:cNvPr id="15" name="Gráfico 14">
          <a:extLst>
            <a:ext uri="{FF2B5EF4-FFF2-40B4-BE49-F238E27FC236}">
              <a16:creationId xmlns:a16="http://schemas.microsoft.com/office/drawing/2014/main" id="{59F28D54-2158-4053-A64E-69DF7316A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247650</xdr:colOff>
      <xdr:row>40</xdr:row>
      <xdr:rowOff>47626</xdr:rowOff>
    </xdr:from>
    <xdr:to>
      <xdr:col>19</xdr:col>
      <xdr:colOff>552450</xdr:colOff>
      <xdr:row>51</xdr:row>
      <xdr:rowOff>185739</xdr:rowOff>
    </xdr:to>
    <xdr:graphicFrame macro="">
      <xdr:nvGraphicFramePr>
        <xdr:cNvPr id="16" name="Gráfico 15">
          <a:extLst>
            <a:ext uri="{FF2B5EF4-FFF2-40B4-BE49-F238E27FC236}">
              <a16:creationId xmlns:a16="http://schemas.microsoft.com/office/drawing/2014/main" id="{7D982129-6845-48C4-9437-AA1EDF41BA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152399</xdr:colOff>
      <xdr:row>40</xdr:row>
      <xdr:rowOff>47625</xdr:rowOff>
    </xdr:from>
    <xdr:to>
      <xdr:col>23</xdr:col>
      <xdr:colOff>866774</xdr:colOff>
      <xdr:row>51</xdr:row>
      <xdr:rowOff>176213</xdr:rowOff>
    </xdr:to>
    <xdr:graphicFrame macro="">
      <xdr:nvGraphicFramePr>
        <xdr:cNvPr id="17" name="Gráfico 16">
          <a:extLst>
            <a:ext uri="{FF2B5EF4-FFF2-40B4-BE49-F238E27FC236}">
              <a16:creationId xmlns:a16="http://schemas.microsoft.com/office/drawing/2014/main" id="{BDC15484-C829-41A1-9A5F-6C52A22B66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257175</xdr:colOff>
      <xdr:row>52</xdr:row>
      <xdr:rowOff>57151</xdr:rowOff>
    </xdr:from>
    <xdr:to>
      <xdr:col>19</xdr:col>
      <xdr:colOff>561975</xdr:colOff>
      <xdr:row>63</xdr:row>
      <xdr:rowOff>52389</xdr:rowOff>
    </xdr:to>
    <xdr:graphicFrame macro="">
      <xdr:nvGraphicFramePr>
        <xdr:cNvPr id="18" name="Gráfico 17">
          <a:extLst>
            <a:ext uri="{FF2B5EF4-FFF2-40B4-BE49-F238E27FC236}">
              <a16:creationId xmlns:a16="http://schemas.microsoft.com/office/drawing/2014/main" id="{F7E7C6A3-4ACE-4BAE-889A-2FA1BB63DC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161924</xdr:colOff>
      <xdr:row>52</xdr:row>
      <xdr:rowOff>57150</xdr:rowOff>
    </xdr:from>
    <xdr:to>
      <xdr:col>23</xdr:col>
      <xdr:colOff>876299</xdr:colOff>
      <xdr:row>63</xdr:row>
      <xdr:rowOff>42863</xdr:rowOff>
    </xdr:to>
    <xdr:graphicFrame macro="">
      <xdr:nvGraphicFramePr>
        <xdr:cNvPr id="19" name="Gráfico 18">
          <a:extLst>
            <a:ext uri="{FF2B5EF4-FFF2-40B4-BE49-F238E27FC236}">
              <a16:creationId xmlns:a16="http://schemas.microsoft.com/office/drawing/2014/main" id="{269CE514-E420-405E-91A8-61CD0C5856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257176</xdr:colOff>
      <xdr:row>66</xdr:row>
      <xdr:rowOff>1</xdr:rowOff>
    </xdr:from>
    <xdr:to>
      <xdr:col>19</xdr:col>
      <xdr:colOff>581026</xdr:colOff>
      <xdr:row>77</xdr:row>
      <xdr:rowOff>138114</xdr:rowOff>
    </xdr:to>
    <xdr:graphicFrame macro="">
      <xdr:nvGraphicFramePr>
        <xdr:cNvPr id="24" name="Gráfico 23">
          <a:extLst>
            <a:ext uri="{FF2B5EF4-FFF2-40B4-BE49-F238E27FC236}">
              <a16:creationId xmlns:a16="http://schemas.microsoft.com/office/drawing/2014/main" id="{AD0117E3-6E65-4BFF-994E-81C27CF74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200024</xdr:colOff>
      <xdr:row>66</xdr:row>
      <xdr:rowOff>19050</xdr:rowOff>
    </xdr:from>
    <xdr:to>
      <xdr:col>23</xdr:col>
      <xdr:colOff>914399</xdr:colOff>
      <xdr:row>77</xdr:row>
      <xdr:rowOff>147638</xdr:rowOff>
    </xdr:to>
    <xdr:graphicFrame macro="">
      <xdr:nvGraphicFramePr>
        <xdr:cNvPr id="25" name="Gráfico 24">
          <a:extLst>
            <a:ext uri="{FF2B5EF4-FFF2-40B4-BE49-F238E27FC236}">
              <a16:creationId xmlns:a16="http://schemas.microsoft.com/office/drawing/2014/main" id="{56E596E4-8DFC-4D53-AB04-3F095820BA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266700</xdr:colOff>
      <xdr:row>78</xdr:row>
      <xdr:rowOff>9526</xdr:rowOff>
    </xdr:from>
    <xdr:to>
      <xdr:col>19</xdr:col>
      <xdr:colOff>581025</xdr:colOff>
      <xdr:row>89</xdr:row>
      <xdr:rowOff>4764</xdr:rowOff>
    </xdr:to>
    <xdr:graphicFrame macro="">
      <xdr:nvGraphicFramePr>
        <xdr:cNvPr id="26" name="Gráfico 25">
          <a:extLst>
            <a:ext uri="{FF2B5EF4-FFF2-40B4-BE49-F238E27FC236}">
              <a16:creationId xmlns:a16="http://schemas.microsoft.com/office/drawing/2014/main" id="{845BAEB1-F1C9-4803-9686-048CC460E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219074</xdr:colOff>
      <xdr:row>78</xdr:row>
      <xdr:rowOff>19050</xdr:rowOff>
    </xdr:from>
    <xdr:to>
      <xdr:col>23</xdr:col>
      <xdr:colOff>933449</xdr:colOff>
      <xdr:row>89</xdr:row>
      <xdr:rowOff>4763</xdr:rowOff>
    </xdr:to>
    <xdr:graphicFrame macro="">
      <xdr:nvGraphicFramePr>
        <xdr:cNvPr id="27" name="Gráfico 26">
          <a:extLst>
            <a:ext uri="{FF2B5EF4-FFF2-40B4-BE49-F238E27FC236}">
              <a16:creationId xmlns:a16="http://schemas.microsoft.com/office/drawing/2014/main" id="{9EAA00F4-6288-47AD-9BFD-42A379A262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240030</xdr:colOff>
      <xdr:row>6</xdr:row>
      <xdr:rowOff>150493</xdr:rowOff>
    </xdr:from>
    <xdr:to>
      <xdr:col>8</xdr:col>
      <xdr:colOff>123825</xdr:colOff>
      <xdr:row>9</xdr:row>
      <xdr:rowOff>123825</xdr:rowOff>
    </xdr:to>
    <xdr:sp macro="[0]!DSA" textlink="">
      <xdr:nvSpPr>
        <xdr:cNvPr id="3" name="Retângulo: Cantos Arredondados 2">
          <a:extLst>
            <a:ext uri="{FF2B5EF4-FFF2-40B4-BE49-F238E27FC236}">
              <a16:creationId xmlns:a16="http://schemas.microsoft.com/office/drawing/2014/main" id="{0BCFA6AC-0D2A-4055-9F05-EE021E963DA2}"/>
            </a:ext>
          </a:extLst>
        </xdr:cNvPr>
        <xdr:cNvSpPr/>
      </xdr:nvSpPr>
      <xdr:spPr>
        <a:xfrm>
          <a:off x="9126855" y="1464943"/>
          <a:ext cx="1598295" cy="592457"/>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000" b="1">
              <a:latin typeface="Calibri" panose="020F0502020204030204" pitchFamily="34" charset="0"/>
              <a:ea typeface="Calibri" panose="020F0502020204030204" pitchFamily="34" charset="0"/>
              <a:cs typeface="Calibri" panose="020F0502020204030204" pitchFamily="34" charset="0"/>
            </a:rPr>
            <a:t>Run DSA</a:t>
          </a:r>
        </a:p>
      </xdr:txBody>
    </xdr:sp>
    <xdr:clientData/>
  </xdr:twoCellAnchor>
  <xdr:twoCellAnchor>
    <xdr:from>
      <xdr:col>1</xdr:col>
      <xdr:colOff>0</xdr:colOff>
      <xdr:row>0</xdr:row>
      <xdr:rowOff>417160</xdr:rowOff>
    </xdr:from>
    <xdr:to>
      <xdr:col>4</xdr:col>
      <xdr:colOff>200025</xdr:colOff>
      <xdr:row>3</xdr:row>
      <xdr:rowOff>18203</xdr:rowOff>
    </xdr:to>
    <xdr:grpSp>
      <xdr:nvGrpSpPr>
        <xdr:cNvPr id="4" name="Agrupar 3">
          <a:extLst>
            <a:ext uri="{FF2B5EF4-FFF2-40B4-BE49-F238E27FC236}">
              <a16:creationId xmlns:a16="http://schemas.microsoft.com/office/drawing/2014/main" id="{23D60035-77ED-4828-854D-792E8EDF46AD}"/>
            </a:ext>
          </a:extLst>
        </xdr:cNvPr>
        <xdr:cNvGrpSpPr/>
      </xdr:nvGrpSpPr>
      <xdr:grpSpPr>
        <a:xfrm>
          <a:off x="571500" y="417160"/>
          <a:ext cx="5031105" cy="279223"/>
          <a:chOff x="390525" y="407670"/>
          <a:chExt cx="5234875" cy="303934"/>
        </a:xfrm>
      </xdr:grpSpPr>
      <xdr:grpSp>
        <xdr:nvGrpSpPr>
          <xdr:cNvPr id="5" name="Agrupar 4">
            <a:extLst>
              <a:ext uri="{FF2B5EF4-FFF2-40B4-BE49-F238E27FC236}">
                <a16:creationId xmlns:a16="http://schemas.microsoft.com/office/drawing/2014/main" id="{9271427C-ED91-BFB3-B19C-5D88703D97BE}"/>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68EA74-3AAE-A2D9-27F0-BCF0160A0460}"/>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A543E73C-222F-9D14-C7F2-394BA72B49C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Sensibility analysis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F457513F-C707-2A6B-0D62-CB383B0E3D4A}"/>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EB194D11-06B8-EE19-BAFD-7E189A02B12A}"/>
              </a:ext>
            </a:extLst>
          </xdr:cNvPr>
          <xdr:cNvSpPr txBox="1"/>
        </xdr:nvSpPr>
        <xdr:spPr>
          <a:xfrm>
            <a:off x="2849170" y="407670"/>
            <a:ext cx="2776230"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Probabilistic Sensitivity </a:t>
            </a:r>
            <a:r>
              <a:rPr lang="pt-BR" sz="1000" i="1" kern="1200">
                <a:solidFill>
                  <a:schemeClr val="accent5"/>
                </a:solidFill>
              </a:rPr>
              <a:t>Analysis</a:t>
            </a:r>
          </a:p>
        </xdr:txBody>
      </xdr:sp>
    </xdr:grpSp>
    <xdr:clientData/>
  </xdr:twoCellAnchor>
  <xdr:twoCellAnchor>
    <xdr:from>
      <xdr:col>1</xdr:col>
      <xdr:colOff>283794</xdr:colOff>
      <xdr:row>41</xdr:row>
      <xdr:rowOff>171451</xdr:rowOff>
    </xdr:from>
    <xdr:to>
      <xdr:col>6</xdr:col>
      <xdr:colOff>981076</xdr:colOff>
      <xdr:row>70</xdr:row>
      <xdr:rowOff>60958</xdr:rowOff>
    </xdr:to>
    <xdr:graphicFrame macro="">
      <xdr:nvGraphicFramePr>
        <xdr:cNvPr id="12" name="tornado2">
          <a:extLst>
            <a:ext uri="{FF2B5EF4-FFF2-40B4-BE49-F238E27FC236}">
              <a16:creationId xmlns:a16="http://schemas.microsoft.com/office/drawing/2014/main" id="{91E08977-315E-40A1-81C5-7078A3C5282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xdr:row>
      <xdr:rowOff>0</xdr:rowOff>
    </xdr:from>
    <xdr:to>
      <xdr:col>6</xdr:col>
      <xdr:colOff>697282</xdr:colOff>
      <xdr:row>36</xdr:row>
      <xdr:rowOff>80007</xdr:rowOff>
    </xdr:to>
    <xdr:graphicFrame macro="">
      <xdr:nvGraphicFramePr>
        <xdr:cNvPr id="15" name="tornado1">
          <a:extLst>
            <a:ext uri="{FF2B5EF4-FFF2-40B4-BE49-F238E27FC236}">
              <a16:creationId xmlns:a16="http://schemas.microsoft.com/office/drawing/2014/main" id="{FFD11A6B-C233-41AC-BF0B-95221A59C5C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(Technology cost–only results)</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0.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(All Costs Involved)</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1.xml><?xml version="1.0" encoding="utf-8"?>
<xdr:wsDr xmlns:xdr="http://schemas.openxmlformats.org/drawingml/2006/spreadsheetDrawing" xmlns:a="http://schemas.openxmlformats.org/drawingml/2006/main">
  <xdr:twoCellAnchor>
    <xdr:from>
      <xdr:col>0</xdr:col>
      <xdr:colOff>361950</xdr:colOff>
      <xdr:row>1</xdr:row>
      <xdr:rowOff>1</xdr:rowOff>
    </xdr:from>
    <xdr:to>
      <xdr:col>2</xdr:col>
      <xdr:colOff>1082041</xdr:colOff>
      <xdr:row>1</xdr:row>
      <xdr:rowOff>225720</xdr:rowOff>
    </xdr:to>
    <xdr:grpSp>
      <xdr:nvGrpSpPr>
        <xdr:cNvPr id="4" name="Agrupar 3">
          <a:extLst>
            <a:ext uri="{FF2B5EF4-FFF2-40B4-BE49-F238E27FC236}">
              <a16:creationId xmlns:a16="http://schemas.microsoft.com/office/drawing/2014/main" id="{CEAEF455-FF91-44D0-A867-450E368B6B9A}"/>
            </a:ext>
          </a:extLst>
        </xdr:cNvPr>
        <xdr:cNvGrpSpPr/>
      </xdr:nvGrpSpPr>
      <xdr:grpSpPr>
        <a:xfrm>
          <a:off x="361950" y="426721"/>
          <a:ext cx="1885951" cy="225719"/>
          <a:chOff x="-136151" y="421524"/>
          <a:chExt cx="5266099" cy="250422"/>
        </a:xfrm>
      </xdr:grpSpPr>
      <xdr:sp macro="" textlink="">
        <xdr:nvSpPr>
          <xdr:cNvPr id="5" name="Retângulo: Cantos Superiores Arredondados 4">
            <a:extLst>
              <a:ext uri="{FF2B5EF4-FFF2-40B4-BE49-F238E27FC236}">
                <a16:creationId xmlns:a16="http://schemas.microsoft.com/office/drawing/2014/main" id="{EA785A5E-4C87-5309-D0BD-59F80933D011}"/>
              </a:ext>
            </a:extLst>
          </xdr:cNvPr>
          <xdr:cNvSpPr/>
        </xdr:nvSpPr>
        <xdr:spPr>
          <a:xfrm>
            <a:off x="796637" y="421524"/>
            <a:ext cx="4333311" cy="250422"/>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Probabilistic an.</a:t>
            </a:r>
          </a:p>
        </xdr:txBody>
      </xdr:sp>
      <xdr:sp macro="" textlink="">
        <xdr:nvSpPr>
          <xdr:cNvPr id="6" name="Retângulo: Cantos Superiores Arredondados 5">
            <a:hlinkClick xmlns:r="http://schemas.openxmlformats.org/officeDocument/2006/relationships" r:id="rId1"/>
            <a:extLst>
              <a:ext uri="{FF2B5EF4-FFF2-40B4-BE49-F238E27FC236}">
                <a16:creationId xmlns:a16="http://schemas.microsoft.com/office/drawing/2014/main" id="{0B7A28F8-0B1A-DBB9-DBFD-73F7C339E79D}"/>
              </a:ext>
            </a:extLst>
          </xdr:cNvPr>
          <xdr:cNvSpPr/>
        </xdr:nvSpPr>
        <xdr:spPr>
          <a:xfrm>
            <a:off x="-136151" y="432091"/>
            <a:ext cx="861944" cy="232482"/>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xdr:from>
      <xdr:col>5</xdr:col>
      <xdr:colOff>133350</xdr:colOff>
      <xdr:row>9</xdr:row>
      <xdr:rowOff>9525</xdr:rowOff>
    </xdr:from>
    <xdr:to>
      <xdr:col>6</xdr:col>
      <xdr:colOff>464820</xdr:colOff>
      <xdr:row>11</xdr:row>
      <xdr:rowOff>116207</xdr:rowOff>
    </xdr:to>
    <xdr:sp macro="[0]!PSA" textlink="">
      <xdr:nvSpPr>
        <xdr:cNvPr id="7" name="Retângulo: Cantos Arredondados 6">
          <a:extLst>
            <a:ext uri="{FF2B5EF4-FFF2-40B4-BE49-F238E27FC236}">
              <a16:creationId xmlns:a16="http://schemas.microsoft.com/office/drawing/2014/main" id="{14472997-1317-4B17-95FF-292C954C4787}"/>
            </a:ext>
          </a:extLst>
        </xdr:cNvPr>
        <xdr:cNvSpPr/>
      </xdr:nvSpPr>
      <xdr:spPr>
        <a:xfrm>
          <a:off x="5497830" y="2272665"/>
          <a:ext cx="1642110" cy="563882"/>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000" b="1">
              <a:latin typeface="Calibri" panose="020F0502020204030204" pitchFamily="34" charset="0"/>
              <a:ea typeface="Calibri" panose="020F0502020204030204" pitchFamily="34" charset="0"/>
              <a:cs typeface="Calibri" panose="020F0502020204030204" pitchFamily="34" charset="0"/>
            </a:rPr>
            <a:t>Run PSA</a:t>
          </a:r>
        </a:p>
      </xdr:txBody>
    </xdr:sp>
    <xdr:clientData/>
  </xdr:twoCellAnchor>
  <xdr:twoCellAnchor>
    <xdr:from>
      <xdr:col>2</xdr:col>
      <xdr:colOff>1114425</xdr:colOff>
      <xdr:row>1</xdr:row>
      <xdr:rowOff>9525</xdr:rowOff>
    </xdr:from>
    <xdr:to>
      <xdr:col>2</xdr:col>
      <xdr:colOff>1455081</xdr:colOff>
      <xdr:row>1</xdr:row>
      <xdr:rowOff>228519</xdr:rowOff>
    </xdr:to>
    <xdr:sp macro="[0]!ocultar_marketshare" textlink="">
      <xdr:nvSpPr>
        <xdr:cNvPr id="8" name="Retângulo: Cantos Superiores Arredondados 7">
          <a:hlinkClick xmlns:r="http://schemas.openxmlformats.org/officeDocument/2006/relationships" r:id="rId2"/>
          <a:extLst>
            <a:ext uri="{FF2B5EF4-FFF2-40B4-BE49-F238E27FC236}">
              <a16:creationId xmlns:a16="http://schemas.microsoft.com/office/drawing/2014/main" id="{E13D678F-5A12-4FC9-883F-841DC6FEF4E0}"/>
            </a:ext>
          </a:extLst>
        </xdr:cNvPr>
        <xdr:cNvSpPr/>
      </xdr:nvSpPr>
      <xdr:spPr>
        <a:xfrm>
          <a:off x="2276475" y="438150"/>
          <a:ext cx="340656" cy="218994"/>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clientData/>
  </xdr:twoCellAnchor>
  <xdr:twoCellAnchor>
    <xdr:from>
      <xdr:col>2</xdr:col>
      <xdr:colOff>1447800</xdr:colOff>
      <xdr:row>0</xdr:row>
      <xdr:rowOff>400050</xdr:rowOff>
    </xdr:from>
    <xdr:to>
      <xdr:col>4</xdr:col>
      <xdr:colOff>910936</xdr:colOff>
      <xdr:row>2</xdr:row>
      <xdr:rowOff>20143</xdr:rowOff>
    </xdr:to>
    <xdr:sp macro="" textlink="">
      <xdr:nvSpPr>
        <xdr:cNvPr id="9" name="CaixaDeTexto 8">
          <a:extLst>
            <a:ext uri="{FF2B5EF4-FFF2-40B4-BE49-F238E27FC236}">
              <a16:creationId xmlns:a16="http://schemas.microsoft.com/office/drawing/2014/main" id="{BC38E1BC-F1ED-4703-9C9C-06CFAF013753}"/>
            </a:ext>
          </a:extLst>
        </xdr:cNvPr>
        <xdr:cNvSpPr txBox="1"/>
      </xdr:nvSpPr>
      <xdr:spPr>
        <a:xfrm>
          <a:off x="2609850" y="400050"/>
          <a:ext cx="2377786" cy="286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Calculations</a:t>
          </a:r>
          <a:endParaRPr lang="pt-BR" sz="1100" i="1" kern="1200">
            <a:solidFill>
              <a:schemeClr val="accent5"/>
            </a:solidFill>
          </a:endParaRPr>
        </a:p>
      </xdr:txBody>
    </xdr:sp>
    <xdr:clientData/>
  </xdr:twoCellAnchor>
  <xdr:twoCellAnchor>
    <xdr:from>
      <xdr:col>1</xdr:col>
      <xdr:colOff>457199</xdr:colOff>
      <xdr:row>7</xdr:row>
      <xdr:rowOff>228596</xdr:rowOff>
    </xdr:from>
    <xdr:to>
      <xdr:col>4</xdr:col>
      <xdr:colOff>1257298</xdr:colOff>
      <xdr:row>13</xdr:row>
      <xdr:rowOff>76199</xdr:rowOff>
    </xdr:to>
    <xdr:grpSp>
      <xdr:nvGrpSpPr>
        <xdr:cNvPr id="3" name="Agrupar 2">
          <a:extLst>
            <a:ext uri="{FF2B5EF4-FFF2-40B4-BE49-F238E27FC236}">
              <a16:creationId xmlns:a16="http://schemas.microsoft.com/office/drawing/2014/main" id="{B9954603-DC05-4C1E-9669-FA719FA7B96E}"/>
            </a:ext>
          </a:extLst>
        </xdr:cNvPr>
        <xdr:cNvGrpSpPr/>
      </xdr:nvGrpSpPr>
      <xdr:grpSpPr>
        <a:xfrm>
          <a:off x="1165859" y="2034536"/>
          <a:ext cx="4175759" cy="1219203"/>
          <a:chOff x="10067923" y="2743200"/>
          <a:chExt cx="4283426" cy="790909"/>
        </a:xfrm>
      </xdr:grpSpPr>
      <xdr:grpSp>
        <xdr:nvGrpSpPr>
          <xdr:cNvPr id="10" name="Agrupar 9">
            <a:extLst>
              <a:ext uri="{FF2B5EF4-FFF2-40B4-BE49-F238E27FC236}">
                <a16:creationId xmlns:a16="http://schemas.microsoft.com/office/drawing/2014/main" id="{A43EDD17-756C-A115-9091-DF55111EA740}"/>
              </a:ext>
            </a:extLst>
          </xdr:cNvPr>
          <xdr:cNvGrpSpPr/>
        </xdr:nvGrpSpPr>
        <xdr:grpSpPr>
          <a:xfrm>
            <a:off x="10067923" y="2743200"/>
            <a:ext cx="4283426" cy="790909"/>
            <a:chOff x="7244197" y="8503227"/>
            <a:chExt cx="2317747" cy="790909"/>
          </a:xfrm>
        </xdr:grpSpPr>
        <xdr:sp macro="" textlink="">
          <xdr:nvSpPr>
            <xdr:cNvPr id="12" name="CaixaDeTexto 11">
              <a:extLst>
                <a:ext uri="{FF2B5EF4-FFF2-40B4-BE49-F238E27FC236}">
                  <a16:creationId xmlns:a16="http://schemas.microsoft.com/office/drawing/2014/main" id="{8BC53C24-AA61-405F-8D40-3CA59D90C40A}"/>
                </a:ext>
              </a:extLst>
            </xdr:cNvPr>
            <xdr:cNvSpPr txBox="1"/>
          </xdr:nvSpPr>
          <xdr:spPr>
            <a:xfrm>
              <a:off x="7244197" y="8503227"/>
              <a:ext cx="2317747" cy="7909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13" name="CaixaDeTexto 12">
              <a:extLst>
                <a:ext uri="{FF2B5EF4-FFF2-40B4-BE49-F238E27FC236}">
                  <a16:creationId xmlns:a16="http://schemas.microsoft.com/office/drawing/2014/main" id="{C742BD87-E086-DF0A-A10A-06D596A1BEAB}"/>
                </a:ext>
              </a:extLst>
            </xdr:cNvPr>
            <xdr:cNvSpPr txBox="1"/>
          </xdr:nvSpPr>
          <xdr:spPr>
            <a:xfrm>
              <a:off x="7269968" y="8822949"/>
              <a:ext cx="2241223" cy="416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The screen will be frozen for a few minutes while the analysis is taking place. Do not close the page, but you can cancel the analysis by pressing the ESC key.</a:t>
              </a:r>
            </a:p>
          </xdr:txBody>
        </xdr:sp>
        <xdr:sp macro="" textlink="">
          <xdr:nvSpPr>
            <xdr:cNvPr id="14" name="CaixaDeTexto 13">
              <a:extLst>
                <a:ext uri="{FF2B5EF4-FFF2-40B4-BE49-F238E27FC236}">
                  <a16:creationId xmlns:a16="http://schemas.microsoft.com/office/drawing/2014/main" id="{3A4B8887-2B4F-9CE6-5725-D6146A5B0253}"/>
                </a:ext>
              </a:extLst>
            </xdr:cNvPr>
            <xdr:cNvSpPr txBox="1"/>
          </xdr:nvSpPr>
          <xdr:spPr>
            <a:xfrm>
              <a:off x="7574050" y="8637445"/>
              <a:ext cx="917933" cy="161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11" name="InfoBox1" descr="Information with solid fill">
            <a:extLst>
              <a:ext uri="{FF2B5EF4-FFF2-40B4-BE49-F238E27FC236}">
                <a16:creationId xmlns:a16="http://schemas.microsoft.com/office/drawing/2014/main" id="{D9B4BF96-4CAF-D95C-744D-36EED0379F2C}"/>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258425" y="2827021"/>
            <a:ext cx="371474" cy="217806"/>
          </a:xfrm>
          <a:prstGeom prst="rect">
            <a:avLst/>
          </a:prstGeom>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609599</xdr:colOff>
      <xdr:row>1</xdr:row>
      <xdr:rowOff>9525</xdr:rowOff>
    </xdr:from>
    <xdr:to>
      <xdr:col>2</xdr:col>
      <xdr:colOff>510737</xdr:colOff>
      <xdr:row>2</xdr:row>
      <xdr:rowOff>929</xdr:rowOff>
    </xdr:to>
    <xdr:grpSp>
      <xdr:nvGrpSpPr>
        <xdr:cNvPr id="3" name="Agrupar 2">
          <a:extLst>
            <a:ext uri="{FF2B5EF4-FFF2-40B4-BE49-F238E27FC236}">
              <a16:creationId xmlns:a16="http://schemas.microsoft.com/office/drawing/2014/main" id="{AF96E961-01C1-BB8D-B37C-00232BECD8C8}"/>
            </a:ext>
          </a:extLst>
        </xdr:cNvPr>
        <xdr:cNvGrpSpPr/>
      </xdr:nvGrpSpPr>
      <xdr:grpSpPr>
        <a:xfrm>
          <a:off x="601979" y="436245"/>
          <a:ext cx="1539438" cy="220004"/>
          <a:chOff x="386197" y="438151"/>
          <a:chExt cx="1991590" cy="233795"/>
        </a:xfrm>
      </xdr:grpSpPr>
      <xdr:sp macro="" textlink="">
        <xdr:nvSpPr>
          <xdr:cNvPr id="6" name="Retângulo: Cantos Superiores Arredondados 5">
            <a:extLst>
              <a:ext uri="{FF2B5EF4-FFF2-40B4-BE49-F238E27FC236}">
                <a16:creationId xmlns:a16="http://schemas.microsoft.com/office/drawing/2014/main" id="{EA88F878-F979-C5CC-A735-A709B82B7CA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Data</a:t>
            </a:r>
          </a:p>
        </xdr:txBody>
      </xdr:sp>
      <xdr:sp macro=""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23C466AC-4671-F2E7-EB47-6901E737B1BF}"/>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xdr:from>
      <xdr:col>39</xdr:col>
      <xdr:colOff>495300</xdr:colOff>
      <xdr:row>12</xdr:row>
      <xdr:rowOff>42862</xdr:rowOff>
    </xdr:from>
    <xdr:to>
      <xdr:col>46</xdr:col>
      <xdr:colOff>952500</xdr:colOff>
      <xdr:row>39</xdr:row>
      <xdr:rowOff>133350</xdr:rowOff>
    </xdr:to>
    <xdr:graphicFrame macro="">
      <xdr:nvGraphicFramePr>
        <xdr:cNvPr id="2" name="Gráfico 1">
          <a:extLst>
            <a:ext uri="{FF2B5EF4-FFF2-40B4-BE49-F238E27FC236}">
              <a16:creationId xmlns:a16="http://schemas.microsoft.com/office/drawing/2014/main" id="{3EAC4BFE-9D9F-D702-D4B3-310E5D88CF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495300</xdr:colOff>
      <xdr:row>112</xdr:row>
      <xdr:rowOff>42862</xdr:rowOff>
    </xdr:from>
    <xdr:to>
      <xdr:col>46</xdr:col>
      <xdr:colOff>952500</xdr:colOff>
      <xdr:row>139</xdr:row>
      <xdr:rowOff>133350</xdr:rowOff>
    </xdr:to>
    <xdr:graphicFrame macro="">
      <xdr:nvGraphicFramePr>
        <xdr:cNvPr id="4" name="Gráfico 3">
          <a:extLst>
            <a:ext uri="{FF2B5EF4-FFF2-40B4-BE49-F238E27FC236}">
              <a16:creationId xmlns:a16="http://schemas.microsoft.com/office/drawing/2014/main" id="{1AA3CCE6-8056-42AE-9112-C1C23351AB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757238</xdr:colOff>
      <xdr:row>11</xdr:row>
      <xdr:rowOff>115571</xdr:rowOff>
    </xdr:from>
    <xdr:to>
      <xdr:col>15</xdr:col>
      <xdr:colOff>188913</xdr:colOff>
      <xdr:row>24</xdr:row>
      <xdr:rowOff>124461</xdr:rowOff>
    </xdr:to>
    <xdr:sp macro="" textlink="">
      <xdr:nvSpPr>
        <xdr:cNvPr id="5" name="Retângulo 4">
          <a:extLst>
            <a:ext uri="{FF2B5EF4-FFF2-40B4-BE49-F238E27FC236}">
              <a16:creationId xmlns:a16="http://schemas.microsoft.com/office/drawing/2014/main" id="{FFC6150F-F4E2-B2C9-F1D2-6E95812AE7C3}"/>
            </a:ext>
          </a:extLst>
        </xdr:cNvPr>
        <xdr:cNvSpPr/>
      </xdr:nvSpPr>
      <xdr:spPr>
        <a:xfrm>
          <a:off x="8837613" y="2115821"/>
          <a:ext cx="4956175" cy="238220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t-BR" b="1"/>
            <a:t>General data-entry rule (monthly/bimonthly/quarterly):</a:t>
          </a:r>
          <a:endParaRPr lang="pt-BR"/>
        </a:p>
        <a:p>
          <a:r>
            <a:rPr lang="pt-BR" b="1"/>
            <a:t>- Leave truly missing months BLANK.</a:t>
          </a:r>
          <a:r>
            <a:rPr lang="pt-BR"/>
            <a:t> The annual average formula ignores blanks.</a:t>
          </a:r>
        </a:p>
        <a:p>
          <a:r>
            <a:rPr lang="pt-BR" b="1"/>
            <a:t>- Enter 0% when the value is truly zero.</a:t>
          </a:r>
          <a:r>
            <a:rPr lang="pt-BR"/>
            <a:t> Zeros must be counted in the average.</a:t>
          </a:r>
        </a:p>
        <a:p>
          <a:endParaRPr lang="pt-BR"/>
        </a:p>
        <a:p>
          <a:r>
            <a:rPr lang="pt-BR" b="1"/>
            <a:t>PFS (progression-free survival) rates:</a:t>
          </a:r>
          <a:endParaRPr lang="pt-BR"/>
        </a:p>
        <a:p>
          <a:r>
            <a:rPr lang="pt-BR"/>
            <a:t>- In many cases, </a:t>
          </a:r>
          <a:r>
            <a:rPr lang="pt-BR" b="1"/>
            <a:t>PFS reaches 0% by Year 2 or 3</a:t>
          </a:r>
          <a:r>
            <a:rPr lang="pt-BR"/>
            <a:t>. If zeros are real, </a:t>
          </a:r>
          <a:r>
            <a:rPr lang="pt-BR" b="1"/>
            <a:t>enter 0%</a:t>
          </a:r>
          <a:r>
            <a:rPr lang="pt-BR"/>
            <a:t>; do </a:t>
          </a:r>
          <a:r>
            <a:rPr lang="pt-BR" b="1"/>
            <a:t>not</a:t>
          </a:r>
          <a:r>
            <a:rPr lang="pt-BR"/>
            <a:t> leave the cell blank.</a:t>
          </a:r>
        </a:p>
        <a:p>
          <a:r>
            <a:rPr lang="pt-BR"/>
            <a:t>- Leaving zeros blank will </a:t>
          </a:r>
          <a:r>
            <a:rPr lang="pt-BR" b="1"/>
            <a:t>inflate</a:t>
          </a:r>
          <a:r>
            <a:rPr lang="pt-BR"/>
            <a:t> the annual average and may </a:t>
          </a:r>
          <a:r>
            <a:rPr lang="pt-BR" b="1"/>
            <a:t>fail to show 100% progression</a:t>
          </a:r>
          <a:r>
            <a:rPr lang="pt-BR"/>
            <a:t> in that year.</a:t>
          </a:r>
        </a:p>
        <a:p>
          <a:endParaRPr lang="pt-BR"/>
        </a:p>
        <a:p>
          <a:r>
            <a:rPr lang="pt-BR" b="1"/>
            <a:t>Discontinuation rates:</a:t>
          </a:r>
        </a:p>
        <a:p>
          <a:r>
            <a:rPr lang="pt-BR"/>
            <a:t>- If the </a:t>
          </a:r>
          <a:r>
            <a:rPr lang="pt-BR" b="1"/>
            <a:t>first months are 0%</a:t>
          </a:r>
          <a:r>
            <a:rPr lang="pt-BR"/>
            <a:t>, keep them as </a:t>
          </a:r>
          <a:r>
            <a:rPr lang="pt-BR" b="1"/>
            <a:t>0%</a:t>
          </a:r>
          <a:r>
            <a:rPr lang="pt-BR"/>
            <a:t> (do </a:t>
          </a:r>
          <a:r>
            <a:rPr lang="pt-BR" b="1"/>
            <a:t>not</a:t>
          </a:r>
          <a:r>
            <a:rPr lang="pt-BR"/>
            <a:t> leave blank).</a:t>
          </a:r>
        </a:p>
        <a:p>
          <a:r>
            <a:rPr lang="pt-BR"/>
            <a:t>- If </a:t>
          </a:r>
          <a:r>
            <a:rPr lang="pt-BR" b="1"/>
            <a:t>half the year is already at 0%</a:t>
          </a:r>
          <a:r>
            <a:rPr lang="pt-BR"/>
            <a:t>, these zeros </a:t>
          </a:r>
          <a:r>
            <a:rPr lang="pt-BR" b="1"/>
            <a:t>must be included</a:t>
          </a:r>
          <a:r>
            <a:rPr lang="pt-BR"/>
            <a:t> to correctly adjust the annual average.</a:t>
          </a:r>
        </a:p>
        <a:p>
          <a:pPr algn="l"/>
          <a:endParaRPr lang="pt-BR" sz="1100" baseline="0"/>
        </a:p>
        <a:p>
          <a:pPr algn="l"/>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34</xdr:col>
      <xdr:colOff>51955</xdr:colOff>
      <xdr:row>40</xdr:row>
      <xdr:rowOff>17318</xdr:rowOff>
    </xdr:from>
    <xdr:to>
      <xdr:col>39</xdr:col>
      <xdr:colOff>162487</xdr:colOff>
      <xdr:row>53</xdr:row>
      <xdr:rowOff>21292</xdr:rowOff>
    </xdr:to>
    <xdr:graphicFrame macro="">
      <xdr:nvGraphicFramePr>
        <xdr:cNvPr id="5" name="Gráfico 4">
          <a:extLst>
            <a:ext uri="{FF2B5EF4-FFF2-40B4-BE49-F238E27FC236}">
              <a16:creationId xmlns:a16="http://schemas.microsoft.com/office/drawing/2014/main" id="{4A8DAB38-677C-4077-9546-EB8D82E1F1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79971</xdr:colOff>
      <xdr:row>55</xdr:row>
      <xdr:rowOff>27405</xdr:rowOff>
    </xdr:from>
    <xdr:to>
      <xdr:col>39</xdr:col>
      <xdr:colOff>190503</xdr:colOff>
      <xdr:row>68</xdr:row>
      <xdr:rowOff>31380</xdr:rowOff>
    </xdr:to>
    <xdr:graphicFrame macro="">
      <xdr:nvGraphicFramePr>
        <xdr:cNvPr id="6" name="Gráfico 5">
          <a:extLst>
            <a:ext uri="{FF2B5EF4-FFF2-40B4-BE49-F238E27FC236}">
              <a16:creationId xmlns:a16="http://schemas.microsoft.com/office/drawing/2014/main" id="{F107B957-EE2D-4A6A-91A5-EE7EBF7329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799389</xdr:colOff>
      <xdr:row>70</xdr:row>
      <xdr:rowOff>75217</xdr:rowOff>
    </xdr:from>
    <xdr:to>
      <xdr:col>38</xdr:col>
      <xdr:colOff>528921</xdr:colOff>
      <xdr:row>83</xdr:row>
      <xdr:rowOff>79191</xdr:rowOff>
    </xdr:to>
    <xdr:graphicFrame macro="">
      <xdr:nvGraphicFramePr>
        <xdr:cNvPr id="7" name="Gráfico 6">
          <a:extLst>
            <a:ext uri="{FF2B5EF4-FFF2-40B4-BE49-F238E27FC236}">
              <a16:creationId xmlns:a16="http://schemas.microsoft.com/office/drawing/2014/main" id="{25249FD5-C190-4D8C-AAE6-D9F068F5C7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1125683</xdr:colOff>
      <xdr:row>25</xdr:row>
      <xdr:rowOff>48491</xdr:rowOff>
    </xdr:from>
    <xdr:to>
      <xdr:col>39</xdr:col>
      <xdr:colOff>155864</xdr:colOff>
      <xdr:row>38</xdr:row>
      <xdr:rowOff>34636</xdr:rowOff>
    </xdr:to>
    <xdr:graphicFrame macro="">
      <xdr:nvGraphicFramePr>
        <xdr:cNvPr id="10" name="Gráfico 9">
          <a:extLst>
            <a:ext uri="{FF2B5EF4-FFF2-40B4-BE49-F238E27FC236}">
              <a16:creationId xmlns:a16="http://schemas.microsoft.com/office/drawing/2014/main" id="{29434FDD-AF79-FE9C-07F3-7B614B33F8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xdr:row>
      <xdr:rowOff>0</xdr:rowOff>
    </xdr:from>
    <xdr:to>
      <xdr:col>2</xdr:col>
      <xdr:colOff>447675</xdr:colOff>
      <xdr:row>3</xdr:row>
      <xdr:rowOff>1564</xdr:rowOff>
    </xdr:to>
    <xdr:grpSp>
      <xdr:nvGrpSpPr>
        <xdr:cNvPr id="8" name="Agrupar 7">
          <a:extLst>
            <a:ext uri="{FF2B5EF4-FFF2-40B4-BE49-F238E27FC236}">
              <a16:creationId xmlns:a16="http://schemas.microsoft.com/office/drawing/2014/main" id="{76401D31-3EC9-5848-A206-C74E1B82665E}"/>
            </a:ext>
          </a:extLst>
        </xdr:cNvPr>
        <xdr:cNvGrpSpPr/>
      </xdr:nvGrpSpPr>
      <xdr:grpSpPr>
        <a:xfrm>
          <a:off x="342900" y="426720"/>
          <a:ext cx="1430655" cy="237784"/>
          <a:chOff x="386197" y="438151"/>
          <a:chExt cx="1991590" cy="233795"/>
        </a:xfrm>
      </xdr:grpSpPr>
      <xdr:sp macro="" textlink="">
        <xdr:nvSpPr>
          <xdr:cNvPr id="9" name="Retângulo: Cantos Superiores Arredondados 2">
            <a:extLst>
              <a:ext uri="{FF2B5EF4-FFF2-40B4-BE49-F238E27FC236}">
                <a16:creationId xmlns:a16="http://schemas.microsoft.com/office/drawing/2014/main" id="{E50D32B0-A754-5364-4767-3E87F0EF1A54}"/>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Calculations</a:t>
            </a:r>
          </a:p>
        </xdr:txBody>
      </xdr:sp>
      <xdr:sp macro="" textlink="">
        <xdr:nvSpPr>
          <xdr:cNvPr id="11" name="Retângulo: Cantos Superiores Arredondados 3">
            <a:hlinkClick xmlns:r="http://schemas.openxmlformats.org/officeDocument/2006/relationships" r:id="rId5"/>
            <a:extLst>
              <a:ext uri="{FF2B5EF4-FFF2-40B4-BE49-F238E27FC236}">
                <a16:creationId xmlns:a16="http://schemas.microsoft.com/office/drawing/2014/main" id="{BD068C9C-EBA5-971B-B10C-75FE934B786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619125</xdr:colOff>
      <xdr:row>2</xdr:row>
      <xdr:rowOff>9525</xdr:rowOff>
    </xdr:to>
    <xdr:grpSp>
      <xdr:nvGrpSpPr>
        <xdr:cNvPr id="7" name="Agrupar 6">
          <a:extLst>
            <a:ext uri="{FF2B5EF4-FFF2-40B4-BE49-F238E27FC236}">
              <a16:creationId xmlns:a16="http://schemas.microsoft.com/office/drawing/2014/main" id="{69D8C9B8-6B8B-4A84-9912-3609E5C347CF}"/>
            </a:ext>
          </a:extLst>
        </xdr:cNvPr>
        <xdr:cNvGrpSpPr/>
      </xdr:nvGrpSpPr>
      <xdr:grpSpPr>
        <a:xfrm>
          <a:off x="342900" y="426720"/>
          <a:ext cx="1678305" cy="222885"/>
          <a:chOff x="386197" y="438151"/>
          <a:chExt cx="1991590" cy="233795"/>
        </a:xfrm>
      </xdr:grpSpPr>
      <xdr:sp macro="" textlink="">
        <xdr:nvSpPr>
          <xdr:cNvPr id="8" name="Retângulo: Cantos Superiores Arredondados 2">
            <a:extLst>
              <a:ext uri="{FF2B5EF4-FFF2-40B4-BE49-F238E27FC236}">
                <a16:creationId xmlns:a16="http://schemas.microsoft.com/office/drawing/2014/main" id="{861BEE84-2065-8447-938F-054D1219E387}"/>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Calculations</a:t>
            </a:r>
            <a:r>
              <a:rPr lang="pt-BR" sz="1100" b="1" i="1" kern="1200" baseline="0"/>
              <a:t> 2</a:t>
            </a:r>
            <a:endParaRPr lang="pt-BR" sz="1100" b="1" i="1" kern="1200"/>
          </a:p>
        </xdr:txBody>
      </xdr:sp>
      <xdr:sp macro="" textlink="">
        <xdr:nvSpPr>
          <xdr:cNvPr id="9" name="Retângulo: Cantos Superiores Arredondados 3">
            <a:hlinkClick xmlns:r="http://schemas.openxmlformats.org/officeDocument/2006/relationships" r:id="rId1"/>
            <a:extLst>
              <a:ext uri="{FF2B5EF4-FFF2-40B4-BE49-F238E27FC236}">
                <a16:creationId xmlns:a16="http://schemas.microsoft.com/office/drawing/2014/main" id="{6D450BD5-7BAD-6A0E-ABDE-E603DC06AC9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219074</xdr:colOff>
      <xdr:row>3</xdr:row>
      <xdr:rowOff>47625</xdr:rowOff>
    </xdr:to>
    <xdr:grpSp>
      <xdr:nvGrpSpPr>
        <xdr:cNvPr id="3" name="Agrupar 2">
          <a:extLst>
            <a:ext uri="{FF2B5EF4-FFF2-40B4-BE49-F238E27FC236}">
              <a16:creationId xmlns:a16="http://schemas.microsoft.com/office/drawing/2014/main" id="{E6B990CF-9DA9-44A3-B48C-471CB8EC98D8}"/>
            </a:ext>
          </a:extLst>
        </xdr:cNvPr>
        <xdr:cNvGrpSpPr/>
      </xdr:nvGrpSpPr>
      <xdr:grpSpPr>
        <a:xfrm>
          <a:off x="434340" y="436245"/>
          <a:ext cx="4882514" cy="289560"/>
          <a:chOff x="390525" y="437284"/>
          <a:chExt cx="4552949" cy="304800"/>
        </a:xfrm>
      </xdr:grpSpPr>
      <xdr:grpSp>
        <xdr:nvGrpSpPr>
          <xdr:cNvPr id="4" name="Agrupar 3">
            <a:extLst>
              <a:ext uri="{FF2B5EF4-FFF2-40B4-BE49-F238E27FC236}">
                <a16:creationId xmlns:a16="http://schemas.microsoft.com/office/drawing/2014/main" id="{00A85CB0-0F67-7D9B-8EEA-8BCFDB3E602B}"/>
              </a:ext>
            </a:extLst>
          </xdr:cNvPr>
          <xdr:cNvGrpSpPr/>
        </xdr:nvGrpSpPr>
        <xdr:grpSpPr>
          <a:xfrm>
            <a:off x="390525" y="437284"/>
            <a:ext cx="1990875" cy="229529"/>
            <a:chOff x="386197" y="438151"/>
            <a:chExt cx="1991590" cy="233795"/>
          </a:xfrm>
        </xdr:grpSpPr>
        <xdr:sp macro="" textlink="">
          <xdr:nvSpPr>
            <xdr:cNvPr id="7" name="Retângulo: Cantos Superiores Arredondados 6">
              <a:extLst>
                <a:ext uri="{FF2B5EF4-FFF2-40B4-BE49-F238E27FC236}">
                  <a16:creationId xmlns:a16="http://schemas.microsoft.com/office/drawing/2014/main" id="{9F33560F-AF6A-BB05-44F1-C6612CCBADE5}"/>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baseline="0"/>
                <a:t>Calculations 3</a:t>
              </a:r>
              <a:endParaRPr lang="pt-BR" sz="1100" b="1" i="1" kern="1200"/>
            </a:p>
          </xdr:txBody>
        </xdr:sp>
        <xdr:sp macro="" textlink="">
          <xdr:nvSpPr>
            <xdr:cNvPr id="8" name="Retângulo: Cantos Superiores Arredondados 7">
              <a:hlinkClick xmlns:r="http://schemas.openxmlformats.org/officeDocument/2006/relationships" r:id="rId1"/>
              <a:extLst>
                <a:ext uri="{FF2B5EF4-FFF2-40B4-BE49-F238E27FC236}">
                  <a16:creationId xmlns:a16="http://schemas.microsoft.com/office/drawing/2014/main" id="{87CF72E9-73FE-63B1-8E57-2629B9F90884}"/>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AEE7762F-BC82-4EB2-896F-9626787F6E57}"/>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100" i="1" kern="1200">
              <a:solidFill>
                <a:schemeClr val="accent5"/>
              </a:solidFill>
            </a:endParaRP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266700</xdr:colOff>
      <xdr:row>1</xdr:row>
      <xdr:rowOff>28575</xdr:rowOff>
    </xdr:from>
    <xdr:to>
      <xdr:col>2</xdr:col>
      <xdr:colOff>1167963</xdr:colOff>
      <xdr:row>2</xdr:row>
      <xdr:rowOff>19979</xdr:rowOff>
    </xdr:to>
    <xdr:grpSp>
      <xdr:nvGrpSpPr>
        <xdr:cNvPr id="2" name="Agrupar 1">
          <a:extLst>
            <a:ext uri="{FF2B5EF4-FFF2-40B4-BE49-F238E27FC236}">
              <a16:creationId xmlns:a16="http://schemas.microsoft.com/office/drawing/2014/main" id="{F97759B6-53BE-47D3-8CF2-50D47F678DCB}"/>
            </a:ext>
          </a:extLst>
        </xdr:cNvPr>
        <xdr:cNvGrpSpPr/>
      </xdr:nvGrpSpPr>
      <xdr:grpSpPr>
        <a:xfrm>
          <a:off x="266700" y="455295"/>
          <a:ext cx="1526103" cy="220004"/>
          <a:chOff x="386197" y="438151"/>
          <a:chExt cx="1991590" cy="233795"/>
        </a:xfrm>
      </xdr:grpSpPr>
      <xdr:sp macro="" textlink="">
        <xdr:nvSpPr>
          <xdr:cNvPr id="3" name="Retângulo: Cantos Superiores Arredondados 2">
            <a:extLst>
              <a:ext uri="{FF2B5EF4-FFF2-40B4-BE49-F238E27FC236}">
                <a16:creationId xmlns:a16="http://schemas.microsoft.com/office/drawing/2014/main" id="{1D460CF2-8E5B-F8F8-528E-8B1A20CF906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Parameters</a:t>
            </a:r>
          </a:p>
        </xdr:txBody>
      </xdr:sp>
      <xdr:sp macro="" textlink="">
        <xdr:nvSpPr>
          <xdr:cNvPr id="4" name="Retângulo: Cantos Superiores Arredondados 3">
            <a:hlinkClick xmlns:r="http://schemas.openxmlformats.org/officeDocument/2006/relationships" r:id="rId1"/>
            <a:extLst>
              <a:ext uri="{FF2B5EF4-FFF2-40B4-BE49-F238E27FC236}">
                <a16:creationId xmlns:a16="http://schemas.microsoft.com/office/drawing/2014/main" id="{E81E82F4-FD6A-B321-DFF0-8DE19D3B287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561975</xdr:colOff>
      <xdr:row>1</xdr:row>
      <xdr:rowOff>9525</xdr:rowOff>
    </xdr:from>
    <xdr:to>
      <xdr:col>1</xdr:col>
      <xdr:colOff>1482288</xdr:colOff>
      <xdr:row>2</xdr:row>
      <xdr:rowOff>929</xdr:rowOff>
    </xdr:to>
    <xdr:grpSp>
      <xdr:nvGrpSpPr>
        <xdr:cNvPr id="9" name="Agrupar 8">
          <a:extLst>
            <a:ext uri="{FF2B5EF4-FFF2-40B4-BE49-F238E27FC236}">
              <a16:creationId xmlns:a16="http://schemas.microsoft.com/office/drawing/2014/main" id="{3895277D-AF0C-4EFB-9523-476E0444DBB5}"/>
            </a:ext>
          </a:extLst>
        </xdr:cNvPr>
        <xdr:cNvGrpSpPr/>
      </xdr:nvGrpSpPr>
      <xdr:grpSpPr>
        <a:xfrm>
          <a:off x="561975" y="436245"/>
          <a:ext cx="1522293" cy="220004"/>
          <a:chOff x="386197" y="438151"/>
          <a:chExt cx="1991590" cy="233795"/>
        </a:xfrm>
      </xdr:grpSpPr>
      <xdr:sp macro="" textlink="">
        <xdr:nvSpPr>
          <xdr:cNvPr id="10" name="Retângulo: Cantos Superiores Arredondados 9">
            <a:extLst>
              <a:ext uri="{FF2B5EF4-FFF2-40B4-BE49-F238E27FC236}">
                <a16:creationId xmlns:a16="http://schemas.microsoft.com/office/drawing/2014/main" id="{5BE3A6EE-9544-785C-C211-CC5DD64BE4AA}"/>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Sensibility an.</a:t>
            </a:r>
          </a:p>
        </xdr:txBody>
      </xdr:sp>
      <xdr:sp macro="" textlink="">
        <xdr:nvSpPr>
          <xdr:cNvPr id="11" name="Retângulo: Cantos Superiores Arredondados 10">
            <a:hlinkClick xmlns:r="http://schemas.openxmlformats.org/officeDocument/2006/relationships" r:id="rId1"/>
            <a:extLst>
              <a:ext uri="{FF2B5EF4-FFF2-40B4-BE49-F238E27FC236}">
                <a16:creationId xmlns:a16="http://schemas.microsoft.com/office/drawing/2014/main" id="{3D396CF9-7809-AA20-196D-065747FCC57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Tema do Office">
  <a:themeElements>
    <a:clrScheme name="Personalizada 8">
      <a:dk1>
        <a:srgbClr val="000000"/>
      </a:dk1>
      <a:lt1>
        <a:sysClr val="window" lastClr="FFFFFF"/>
      </a:lt1>
      <a:dk2>
        <a:srgbClr val="1F4E79"/>
      </a:dk2>
      <a:lt2>
        <a:srgbClr val="E7E6E6"/>
      </a:lt2>
      <a:accent1>
        <a:srgbClr val="00B3BD"/>
      </a:accent1>
      <a:accent2>
        <a:srgbClr val="DFF7F7"/>
      </a:accent2>
      <a:accent3>
        <a:srgbClr val="1F4E79"/>
      </a:accent3>
      <a:accent4>
        <a:srgbClr val="FFC000"/>
      </a:accent4>
      <a:accent5>
        <a:srgbClr val="726C5A"/>
      </a:accent5>
      <a:accent6>
        <a:srgbClr val="DDCFAD"/>
      </a:accent6>
      <a:hlink>
        <a:srgbClr val="1F4E79"/>
      </a:hlink>
      <a:folHlink>
        <a:srgbClr val="954F72"/>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2B289-91B4-4226-9BCF-0287F42FE247}">
  <sheetPr codeName="Planilha1">
    <tabColor rgb="FFDDCFAD"/>
  </sheetPr>
  <dimension ref="B1:M61"/>
  <sheetViews>
    <sheetView showGridLines="0" showRowColHeaders="0" zoomScaleNormal="100" workbookViewId="0">
      <selection activeCell="L24" sqref="L24"/>
    </sheetView>
  </sheetViews>
  <sheetFormatPr defaultColWidth="8.77734375" defaultRowHeight="14.4"/>
  <cols>
    <col min="1" max="1" width="5.77734375" style="1" customWidth="1"/>
    <col min="2" max="2" width="19.44140625" style="1" customWidth="1"/>
    <col min="3" max="3" width="4.6640625" style="1" customWidth="1"/>
    <col min="4" max="4" width="50.6640625" style="27" customWidth="1"/>
    <col min="5" max="5" width="9.6640625" style="1" customWidth="1"/>
    <col min="6" max="6" width="50.6640625" style="1" customWidth="1"/>
    <col min="7" max="11" width="8.77734375" style="1" customWidth="1"/>
    <col min="12" max="12" width="12.33203125" style="1" customWidth="1"/>
    <col min="13" max="13" width="4.44140625" style="1" customWidth="1"/>
    <col min="14" max="39" width="8.77734375" style="1" customWidth="1"/>
    <col min="40" max="16384" width="8.77734375" style="1"/>
  </cols>
  <sheetData>
    <row r="1" spans="2:12" s="18" customFormat="1" ht="33.6">
      <c r="B1" s="22" t="str">
        <f>Definitions!$E$8</f>
        <v>Budget impact analysis of treatments for Advanced cancer</v>
      </c>
      <c r="C1" s="22"/>
      <c r="D1" s="25"/>
      <c r="E1" s="19"/>
      <c r="F1" s="19"/>
      <c r="G1" s="19"/>
      <c r="H1" s="19"/>
      <c r="I1" s="19"/>
      <c r="J1" s="19"/>
      <c r="K1" s="19"/>
      <c r="L1" s="19"/>
    </row>
    <row r="2" spans="2:12" s="18" customFormat="1" ht="18">
      <c r="B2" s="21"/>
      <c r="C2" s="21"/>
      <c r="D2" s="30"/>
      <c r="E2" s="20"/>
      <c r="F2" s="20"/>
      <c r="G2" s="20"/>
      <c r="H2" s="20"/>
      <c r="I2" s="20"/>
      <c r="J2" s="20"/>
      <c r="K2" s="20"/>
      <c r="L2" s="20"/>
    </row>
    <row r="3" spans="2:12" s="45" customFormat="1" ht="2.25" customHeight="1">
      <c r="D3" s="46"/>
    </row>
    <row r="4" spans="2:12">
      <c r="B4" s="8"/>
      <c r="C4" s="8"/>
      <c r="D4" s="26"/>
      <c r="E4" s="8"/>
      <c r="F4" s="8"/>
      <c r="G4" s="8"/>
      <c r="H4" s="8"/>
      <c r="I4" s="8"/>
      <c r="J4" s="8"/>
      <c r="K4" s="8"/>
      <c r="L4" s="8"/>
    </row>
    <row r="5" spans="2:12">
      <c r="B5" s="8"/>
      <c r="C5" s="8"/>
      <c r="D5" s="26"/>
      <c r="E5" s="8"/>
      <c r="F5" s="8"/>
      <c r="G5" s="8"/>
      <c r="H5" s="8"/>
      <c r="I5" s="8"/>
      <c r="J5" s="8"/>
      <c r="K5" s="8"/>
      <c r="L5" s="8"/>
    </row>
    <row r="6" spans="2:12">
      <c r="B6" s="8"/>
      <c r="C6" s="8"/>
      <c r="D6" s="26"/>
      <c r="E6" s="8"/>
      <c r="F6" s="8"/>
      <c r="G6" s="8"/>
      <c r="H6" s="8"/>
      <c r="I6" s="8"/>
      <c r="J6" s="8"/>
      <c r="K6" s="8"/>
      <c r="L6" s="8"/>
    </row>
    <row r="7" spans="2:12">
      <c r="B7" s="8"/>
      <c r="C7" s="8"/>
      <c r="D7" s="26"/>
      <c r="E7" s="8"/>
      <c r="F7" s="8"/>
      <c r="G7" s="8"/>
      <c r="H7" s="8"/>
      <c r="I7" s="8"/>
      <c r="J7" s="8"/>
      <c r="K7" s="8"/>
      <c r="L7" s="8"/>
    </row>
    <row r="8" spans="2:12">
      <c r="B8" s="8"/>
      <c r="C8" s="8"/>
      <c r="D8" s="26"/>
      <c r="E8" s="8"/>
      <c r="F8" s="8"/>
      <c r="G8" s="8"/>
      <c r="H8" s="8"/>
      <c r="I8" s="8"/>
      <c r="J8" s="8"/>
      <c r="K8" s="8"/>
      <c r="L8" s="8"/>
    </row>
    <row r="9" spans="2:12">
      <c r="B9" s="8"/>
      <c r="C9" s="8"/>
      <c r="D9" s="26"/>
      <c r="E9" s="8"/>
      <c r="F9" s="8"/>
      <c r="G9" s="8"/>
      <c r="H9" s="8"/>
      <c r="I9" s="8"/>
      <c r="J9" s="8"/>
      <c r="K9" s="8"/>
      <c r="L9" s="8"/>
    </row>
    <row r="10" spans="2:12">
      <c r="B10" s="8"/>
      <c r="C10" s="8"/>
      <c r="D10" s="26"/>
      <c r="E10" s="8"/>
      <c r="F10" s="8"/>
      <c r="G10" s="8"/>
      <c r="H10" s="8"/>
      <c r="I10" s="8"/>
      <c r="J10" s="8"/>
      <c r="K10" s="8"/>
      <c r="L10" s="8"/>
    </row>
    <row r="11" spans="2:12">
      <c r="B11" s="8"/>
      <c r="C11" s="8"/>
      <c r="D11" s="26"/>
      <c r="E11" s="8"/>
      <c r="F11" s="8"/>
      <c r="G11" s="8"/>
      <c r="H11" s="8"/>
      <c r="I11" s="8"/>
      <c r="J11" s="8"/>
      <c r="K11" s="8"/>
      <c r="L11" s="8"/>
    </row>
    <row r="12" spans="2:12">
      <c r="B12" s="8"/>
      <c r="C12" s="8"/>
      <c r="D12" s="26"/>
      <c r="E12" s="8"/>
      <c r="F12" s="8"/>
      <c r="G12" s="8"/>
      <c r="H12" s="8"/>
      <c r="I12" s="8"/>
      <c r="J12" s="8"/>
      <c r="K12" s="8"/>
      <c r="L12" s="8"/>
    </row>
    <row r="13" spans="2:12">
      <c r="B13" s="8"/>
      <c r="C13" s="8"/>
      <c r="D13" s="26"/>
      <c r="E13" s="8"/>
      <c r="F13" s="8"/>
      <c r="G13" s="8"/>
      <c r="H13" s="8"/>
      <c r="I13" s="8"/>
      <c r="J13" s="8"/>
      <c r="K13" s="8"/>
      <c r="L13" s="8"/>
    </row>
    <row r="14" spans="2:12">
      <c r="B14" s="8"/>
      <c r="C14" s="8"/>
      <c r="D14" s="8"/>
      <c r="E14" s="8"/>
      <c r="F14" s="8"/>
      <c r="G14" s="8"/>
      <c r="H14" s="8"/>
      <c r="I14" s="8"/>
      <c r="J14" s="8"/>
      <c r="K14" s="8"/>
      <c r="L14" s="8"/>
    </row>
    <row r="15" spans="2:12">
      <c r="B15" s="8"/>
      <c r="C15" s="8"/>
      <c r="D15" s="8"/>
      <c r="E15" s="8"/>
      <c r="F15" s="8"/>
      <c r="G15" s="8"/>
      <c r="H15" s="8"/>
      <c r="I15" s="8"/>
      <c r="J15" s="8"/>
      <c r="K15" s="8"/>
      <c r="L15" s="8"/>
    </row>
    <row r="16" spans="2:12">
      <c r="B16" s="8"/>
      <c r="C16" s="8"/>
      <c r="D16" s="8"/>
      <c r="E16" s="8"/>
      <c r="F16" s="8"/>
      <c r="G16" s="8"/>
      <c r="H16" s="8"/>
      <c r="I16" s="8"/>
      <c r="J16" s="8"/>
      <c r="K16" s="8"/>
      <c r="L16" s="8"/>
    </row>
    <row r="17" spans="2:13">
      <c r="B17" s="8"/>
      <c r="C17" s="8"/>
      <c r="D17" s="8"/>
      <c r="E17" s="8"/>
      <c r="F17" s="8"/>
      <c r="G17" s="8"/>
      <c r="H17" s="8"/>
      <c r="I17" s="8"/>
      <c r="J17" s="8"/>
      <c r="K17" s="8"/>
      <c r="L17" s="8"/>
    </row>
    <row r="18" spans="2:13">
      <c r="B18" s="8"/>
      <c r="C18" s="8"/>
      <c r="D18" s="8"/>
      <c r="E18" s="8"/>
      <c r="F18" s="8"/>
      <c r="G18" s="8"/>
      <c r="H18" s="8"/>
      <c r="I18" s="8"/>
      <c r="J18" s="8"/>
      <c r="K18" s="8"/>
      <c r="L18" s="8"/>
    </row>
    <row r="19" spans="2:13">
      <c r="B19" s="8"/>
      <c r="C19" s="8"/>
      <c r="D19" s="8"/>
      <c r="E19" s="8"/>
      <c r="F19" s="8"/>
      <c r="G19" s="8"/>
      <c r="H19" s="8"/>
      <c r="I19" s="8"/>
      <c r="J19" s="8"/>
      <c r="K19" s="8"/>
      <c r="L19" s="8"/>
    </row>
    <row r="20" spans="2:13">
      <c r="B20" s="8"/>
      <c r="C20" s="8"/>
      <c r="D20" s="8"/>
      <c r="E20" s="8"/>
      <c r="F20" s="8"/>
      <c r="G20" s="8"/>
      <c r="H20" s="8"/>
      <c r="I20" s="8"/>
      <c r="J20" s="8"/>
      <c r="K20" s="8"/>
      <c r="L20" s="8"/>
    </row>
    <row r="21" spans="2:13">
      <c r="B21" s="8"/>
      <c r="C21" s="8"/>
      <c r="D21" s="8"/>
      <c r="E21" s="8"/>
      <c r="F21" s="8"/>
      <c r="G21" s="8"/>
      <c r="H21" s="8"/>
      <c r="I21" s="8"/>
      <c r="J21" s="8"/>
      <c r="K21" s="8"/>
      <c r="L21" s="8"/>
    </row>
    <row r="22" spans="2:13">
      <c r="B22" s="8"/>
      <c r="C22" s="8"/>
      <c r="D22" s="8"/>
      <c r="E22" s="8"/>
      <c r="F22" s="8"/>
      <c r="G22" s="8"/>
      <c r="H22" s="8"/>
      <c r="I22" s="8"/>
      <c r="J22" s="8"/>
      <c r="K22" s="8"/>
      <c r="L22" s="8"/>
    </row>
    <row r="23" spans="2:13">
      <c r="B23" s="8"/>
      <c r="C23" s="8"/>
      <c r="D23" s="8"/>
      <c r="E23" s="8"/>
      <c r="F23" s="8"/>
      <c r="G23" s="8"/>
      <c r="H23" s="8"/>
      <c r="I23" s="8"/>
      <c r="J23" s="8"/>
      <c r="K23" s="8"/>
      <c r="L23" s="8"/>
    </row>
    <row r="24" spans="2:13">
      <c r="B24" s="8"/>
      <c r="C24" s="8"/>
      <c r="D24" s="8"/>
      <c r="E24" s="8"/>
      <c r="F24" s="8"/>
      <c r="G24" s="8"/>
      <c r="H24" s="8"/>
      <c r="I24" s="8"/>
      <c r="J24" s="8"/>
      <c r="K24" s="8"/>
      <c r="L24" s="8"/>
    </row>
    <row r="25" spans="2:13">
      <c r="B25" s="8"/>
      <c r="C25" s="8"/>
      <c r="D25" s="8"/>
      <c r="E25" s="8"/>
      <c r="F25" s="8"/>
      <c r="G25" s="8"/>
      <c r="H25" s="8"/>
      <c r="I25" s="8"/>
      <c r="J25" s="8"/>
      <c r="K25" s="8"/>
      <c r="L25" s="8"/>
    </row>
    <row r="26" spans="2:13">
      <c r="B26" s="24"/>
      <c r="C26" s="24"/>
      <c r="D26" s="26"/>
      <c r="E26" s="8"/>
      <c r="F26" s="8"/>
      <c r="G26" s="8"/>
      <c r="H26" s="8"/>
      <c r="I26" s="8"/>
      <c r="J26" s="8"/>
      <c r="K26" s="8"/>
      <c r="L26" s="16"/>
    </row>
    <row r="27" spans="2:13">
      <c r="B27" s="24"/>
      <c r="C27" s="24"/>
      <c r="D27" s="26"/>
      <c r="E27" s="8"/>
      <c r="F27" s="8"/>
      <c r="G27" s="8"/>
      <c r="H27" s="8"/>
      <c r="I27" s="8"/>
      <c r="J27" s="8"/>
      <c r="K27" s="8"/>
      <c r="L27" s="16"/>
    </row>
    <row r="28" spans="2:13">
      <c r="B28" s="8"/>
      <c r="C28" s="8"/>
      <c r="D28" s="26"/>
      <c r="E28" s="8"/>
      <c r="F28" s="8"/>
      <c r="G28" s="8"/>
      <c r="H28" s="8"/>
      <c r="I28" s="8"/>
      <c r="J28" s="8"/>
      <c r="K28" s="28"/>
      <c r="L28" s="16"/>
    </row>
    <row r="29" spans="2:13" ht="85.95" customHeight="1">
      <c r="B29" s="403" t="e" vm="1">
        <v>#VALUE!</v>
      </c>
      <c r="C29" s="403"/>
      <c r="D29" s="403"/>
      <c r="E29" s="403"/>
      <c r="F29" s="403"/>
      <c r="G29" s="403"/>
      <c r="H29" s="403"/>
      <c r="I29" s="403"/>
      <c r="J29" s="23"/>
      <c r="K29" s="23"/>
      <c r="L29" s="23"/>
      <c r="M29" s="23"/>
    </row>
    <row r="30" spans="2:13">
      <c r="B30" s="24"/>
      <c r="C30" s="24"/>
      <c r="D30" s="26"/>
      <c r="E30" s="8"/>
      <c r="F30" s="8"/>
      <c r="G30" s="8"/>
      <c r="H30" s="8"/>
      <c r="I30" s="8"/>
      <c r="J30" s="8"/>
      <c r="K30" s="8"/>
      <c r="L30" s="8"/>
    </row>
    <row r="31" spans="2:13">
      <c r="B31" s="24"/>
      <c r="C31" s="24"/>
      <c r="D31" s="26"/>
      <c r="E31" s="8"/>
      <c r="F31" s="8"/>
      <c r="G31" s="8"/>
      <c r="H31" s="8"/>
      <c r="I31" s="8"/>
      <c r="J31" s="8"/>
      <c r="K31" s="8"/>
      <c r="L31" s="8"/>
    </row>
    <row r="32" spans="2:13">
      <c r="B32" s="8"/>
      <c r="C32" s="8"/>
      <c r="D32" s="26"/>
      <c r="E32" s="8"/>
      <c r="F32" s="8"/>
      <c r="G32" s="8"/>
      <c r="H32" s="8"/>
      <c r="I32" s="8"/>
      <c r="J32" s="8"/>
      <c r="K32" s="8"/>
      <c r="L32" s="8"/>
    </row>
    <row r="33" spans="2:12">
      <c r="B33" s="23"/>
      <c r="C33" s="23"/>
      <c r="D33" s="16"/>
      <c r="E33" s="8"/>
      <c r="F33" s="8"/>
      <c r="G33" s="9"/>
      <c r="H33" s="9"/>
      <c r="I33" s="9"/>
      <c r="J33" s="9"/>
      <c r="K33" s="9"/>
      <c r="L33" s="9"/>
    </row>
    <row r="34" spans="2:12">
      <c r="B34" s="23"/>
      <c r="C34" s="23"/>
      <c r="D34" s="16"/>
      <c r="E34" s="8"/>
      <c r="F34" s="8"/>
      <c r="G34" s="9"/>
      <c r="H34" s="9"/>
      <c r="I34" s="9"/>
      <c r="J34" s="9"/>
      <c r="K34" s="9"/>
      <c r="L34" s="9"/>
    </row>
    <row r="35" spans="2:12">
      <c r="B35" s="23"/>
      <c r="C35" s="23"/>
      <c r="D35" s="16"/>
      <c r="E35" s="8"/>
      <c r="F35" s="8"/>
      <c r="G35" s="9"/>
      <c r="H35" s="9"/>
      <c r="I35" s="9"/>
      <c r="J35" s="9"/>
      <c r="K35" s="9"/>
      <c r="L35" s="9"/>
    </row>
    <row r="36" spans="2:12">
      <c r="B36" s="23"/>
      <c r="C36" s="23"/>
      <c r="D36" s="13"/>
      <c r="E36" s="8"/>
      <c r="F36" s="8"/>
      <c r="G36" s="9"/>
      <c r="H36" s="9"/>
      <c r="I36" s="9"/>
      <c r="J36" s="9"/>
      <c r="K36" s="9"/>
      <c r="L36" s="9"/>
    </row>
    <row r="37" spans="2:12">
      <c r="B37" s="23"/>
      <c r="C37" s="23"/>
      <c r="D37" s="13"/>
      <c r="E37" s="8"/>
      <c r="F37" s="8"/>
      <c r="G37" s="9"/>
      <c r="H37" s="9"/>
      <c r="I37" s="9"/>
      <c r="J37" s="9"/>
      <c r="K37" s="9"/>
      <c r="L37" s="9"/>
    </row>
    <row r="38" spans="2:12">
      <c r="B38" s="23"/>
      <c r="C38" s="23"/>
      <c r="D38" s="13"/>
      <c r="E38" s="8"/>
      <c r="F38" s="8"/>
      <c r="G38" s="9"/>
      <c r="H38" s="9"/>
      <c r="I38" s="9"/>
      <c r="J38" s="9"/>
      <c r="K38" s="9"/>
      <c r="L38" s="9"/>
    </row>
    <row r="39" spans="2:12">
      <c r="B39" s="23"/>
      <c r="C39" s="23"/>
      <c r="D39" s="13"/>
      <c r="E39" s="9"/>
      <c r="F39" s="8"/>
      <c r="G39" s="9"/>
      <c r="H39" s="9"/>
      <c r="I39" s="9"/>
      <c r="J39" s="9"/>
      <c r="K39" s="9"/>
      <c r="L39" s="9"/>
    </row>
    <row r="40" spans="2:12">
      <c r="B40" s="23"/>
      <c r="C40" s="23"/>
      <c r="D40" s="13"/>
      <c r="E40" s="8"/>
      <c r="F40" s="8"/>
      <c r="G40" s="9"/>
      <c r="H40" s="9"/>
      <c r="I40" s="9"/>
      <c r="J40" s="9"/>
      <c r="K40" s="9"/>
      <c r="L40" s="9"/>
    </row>
    <row r="41" spans="2:12">
      <c r="B41" s="23"/>
      <c r="C41" s="23"/>
      <c r="D41" s="13"/>
      <c r="E41" s="14"/>
      <c r="F41" s="8"/>
      <c r="G41" s="9"/>
      <c r="H41" s="9"/>
      <c r="I41" s="9"/>
      <c r="J41" s="9"/>
      <c r="K41" s="9"/>
      <c r="L41" s="9"/>
    </row>
    <row r="42" spans="2:12">
      <c r="B42" s="23"/>
      <c r="C42" s="23"/>
      <c r="D42" s="13"/>
      <c r="E42" s="8"/>
      <c r="F42" s="8"/>
      <c r="G42" s="9"/>
      <c r="H42" s="9"/>
      <c r="I42" s="9"/>
      <c r="J42" s="9"/>
      <c r="K42" s="9"/>
      <c r="L42" s="9"/>
    </row>
    <row r="43" spans="2:12">
      <c r="B43" s="23"/>
      <c r="C43" s="23"/>
      <c r="D43" s="13"/>
      <c r="E43" s="8"/>
      <c r="F43" s="8"/>
      <c r="G43" s="9"/>
      <c r="H43" s="9"/>
      <c r="I43" s="9"/>
      <c r="J43" s="9"/>
      <c r="K43" s="9"/>
      <c r="L43" s="9"/>
    </row>
    <row r="44" spans="2:12">
      <c r="B44" s="23"/>
      <c r="C44" s="23"/>
      <c r="D44" s="13"/>
      <c r="E44" s="8"/>
      <c r="F44" s="8"/>
      <c r="G44" s="9"/>
      <c r="H44" s="9"/>
      <c r="I44" s="9"/>
      <c r="J44" s="9"/>
      <c r="K44" s="9"/>
      <c r="L44" s="9"/>
    </row>
    <row r="45" spans="2:12">
      <c r="B45" s="23"/>
      <c r="C45" s="23"/>
      <c r="D45" s="13"/>
      <c r="E45" s="15"/>
      <c r="F45" s="8"/>
      <c r="G45" s="8"/>
      <c r="H45" s="8"/>
      <c r="I45" s="8"/>
      <c r="J45" s="8"/>
      <c r="K45" s="8"/>
      <c r="L45" s="8"/>
    </row>
    <row r="46" spans="2:12">
      <c r="B46" s="8"/>
      <c r="C46" s="8"/>
      <c r="D46" s="13"/>
      <c r="E46" s="8"/>
      <c r="F46" s="8"/>
      <c r="G46" s="8"/>
      <c r="H46" s="8"/>
      <c r="I46" s="8"/>
      <c r="J46" s="8"/>
      <c r="K46" s="8"/>
      <c r="L46" s="8"/>
    </row>
    <row r="47" spans="2:12">
      <c r="B47" s="8"/>
      <c r="C47" s="8"/>
      <c r="D47" s="13"/>
      <c r="E47" s="14"/>
      <c r="F47" s="8"/>
      <c r="G47" s="8"/>
      <c r="H47" s="8"/>
      <c r="I47" s="8"/>
      <c r="J47" s="8"/>
      <c r="K47" s="8"/>
      <c r="L47" s="8"/>
    </row>
    <row r="48" spans="2:12">
      <c r="B48" s="8"/>
      <c r="C48" s="8"/>
      <c r="D48" s="13"/>
      <c r="E48" s="14"/>
      <c r="F48" s="8"/>
      <c r="G48" s="8"/>
      <c r="H48" s="8"/>
      <c r="I48" s="8"/>
      <c r="J48" s="8"/>
      <c r="K48" s="8"/>
      <c r="L48" s="8"/>
    </row>
    <row r="49" spans="4:12">
      <c r="D49" s="13"/>
      <c r="E49" s="14"/>
      <c r="F49" s="8"/>
      <c r="G49" s="8"/>
      <c r="H49" s="8"/>
      <c r="I49" s="8"/>
      <c r="J49" s="8"/>
      <c r="K49" s="8"/>
      <c r="L49" s="8"/>
    </row>
    <row r="50" spans="4:12">
      <c r="D50" s="13"/>
      <c r="E50" s="14"/>
      <c r="F50" s="8"/>
      <c r="G50" s="8"/>
      <c r="H50" s="9"/>
      <c r="I50" s="8"/>
      <c r="J50" s="8"/>
      <c r="K50" s="8"/>
      <c r="L50" s="8"/>
    </row>
    <row r="51" spans="4:12">
      <c r="D51" s="13"/>
      <c r="E51" s="14"/>
      <c r="F51" s="8"/>
      <c r="G51" s="8"/>
      <c r="H51" s="8"/>
      <c r="I51" s="8"/>
      <c r="J51" s="8"/>
      <c r="K51" s="8"/>
      <c r="L51" s="8"/>
    </row>
    <row r="52" spans="4:12">
      <c r="D52" s="13"/>
      <c r="E52" s="14" t="str">
        <f>IF(comparador2=0," ",comparador2)</f>
        <v xml:space="preserve"> </v>
      </c>
      <c r="F52" s="8"/>
      <c r="G52" s="8"/>
      <c r="H52" s="8"/>
      <c r="I52" s="8"/>
      <c r="J52" s="8"/>
      <c r="K52" s="8"/>
      <c r="L52" s="8"/>
    </row>
    <row r="56" spans="4:12">
      <c r="D56" s="29"/>
      <c r="E56" s="17"/>
      <c r="F56" s="8"/>
      <c r="G56" s="8"/>
      <c r="H56" s="8"/>
      <c r="I56" s="8"/>
      <c r="J56" s="8"/>
      <c r="K56" s="8"/>
      <c r="L56" s="8"/>
    </row>
    <row r="57" spans="4:12">
      <c r="D57" s="29"/>
      <c r="E57" s="17"/>
      <c r="F57" s="8"/>
      <c r="G57" s="8"/>
      <c r="H57" s="8"/>
      <c r="I57" s="8"/>
      <c r="J57" s="8"/>
      <c r="K57" s="8"/>
      <c r="L57" s="8"/>
    </row>
    <row r="58" spans="4:12">
      <c r="D58" s="29"/>
      <c r="E58" s="17"/>
      <c r="F58" s="8"/>
      <c r="G58" s="8"/>
      <c r="H58" s="8"/>
      <c r="I58" s="8"/>
      <c r="J58" s="8"/>
      <c r="K58" s="8"/>
      <c r="L58" s="8"/>
    </row>
    <row r="59" spans="4:12">
      <c r="D59" s="29"/>
      <c r="E59" s="17"/>
      <c r="F59" s="8"/>
      <c r="G59" s="8"/>
      <c r="H59" s="8"/>
      <c r="I59" s="8"/>
      <c r="J59" s="8"/>
      <c r="K59" s="8"/>
      <c r="L59" s="8"/>
    </row>
    <row r="60" spans="4:12">
      <c r="D60" s="29"/>
      <c r="E60" s="17"/>
      <c r="F60" s="8"/>
      <c r="G60" s="8"/>
      <c r="H60" s="8"/>
      <c r="I60" s="8"/>
      <c r="J60" s="8"/>
      <c r="K60" s="8"/>
      <c r="L60" s="8"/>
    </row>
    <row r="61" spans="4:12">
      <c r="D61" s="29"/>
      <c r="E61" s="17"/>
      <c r="F61" s="8"/>
      <c r="G61" s="8"/>
      <c r="H61" s="8"/>
      <c r="I61" s="8"/>
      <c r="J61" s="8"/>
      <c r="K61" s="8"/>
      <c r="L61" s="8"/>
    </row>
  </sheetData>
  <sheetProtection algorithmName="SHA-512" hashValue="5XTL+Zn4mhPG27pr5oryYQ89qm6V5/a3w9xnhjiJZ08ieT3DsxQxVACe2kioIdHd0RBi7q4E8b2+9pd+fOt6ig==" saltValue="Yx9kTeRAQYp9bv9+xZBvGg==" spinCount="100000" sheet="1" objects="1" scenarios="1" selectLockedCells="1" selectUnlockedCells="1"/>
  <mergeCells count="1">
    <mergeCell ref="B29:I29"/>
  </mergeCells>
  <pageMargins left="0.511811024" right="0.511811024" top="0.78740157499999996" bottom="0.78740157499999996" header="0.31496062000000002" footer="0.31496062000000002"/>
  <ignoredErrors>
    <ignoredError sqref="B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91E3E-4A4F-49B5-90BF-CCBF09C7B5BA}">
  <sheetPr codeName="Planilha10">
    <tabColor rgb="FFDDCFAD"/>
  </sheetPr>
  <dimension ref="A1:U70"/>
  <sheetViews>
    <sheetView showGridLines="0" showRowColHeaders="0" topLeftCell="A32" zoomScaleNormal="100" workbookViewId="0">
      <selection activeCell="J49" sqref="J49"/>
    </sheetView>
  </sheetViews>
  <sheetFormatPr defaultColWidth="8.77734375" defaultRowHeight="14.4"/>
  <cols>
    <col min="1" max="1" width="5.77734375" style="142" customWidth="1"/>
    <col min="2" max="2" width="3.44140625" style="142" customWidth="1"/>
    <col min="3" max="3" width="39" style="142" customWidth="1"/>
    <col min="4" max="4" width="4.77734375" style="79" customWidth="1"/>
    <col min="5" max="5" width="37.109375" style="142" customWidth="1"/>
    <col min="6" max="6" width="12.109375" style="142" customWidth="1"/>
    <col min="7" max="7" width="4.6640625" style="142" customWidth="1"/>
    <col min="8" max="16" width="8.77734375" style="142" customWidth="1"/>
    <col min="17" max="17" width="4.44140625" style="142" customWidth="1"/>
    <col min="18" max="18" width="47.109375" style="142" hidden="1" customWidth="1"/>
    <col min="19" max="19" width="2.109375" style="142" hidden="1" customWidth="1"/>
    <col min="20" max="20" width="8.77734375" style="142" hidden="1" customWidth="1"/>
    <col min="21" max="43" width="8.77734375" style="142" customWidth="1"/>
    <col min="44" max="16384" width="8.77734375" style="142"/>
  </cols>
  <sheetData>
    <row r="1" spans="1:21" s="130" customFormat="1" ht="33.6">
      <c r="A1" s="127"/>
      <c r="B1" s="128" t="str">
        <f>Introduction!$B$1</f>
        <v>Budget impact analysis of treatments for Advanced cancer</v>
      </c>
      <c r="C1" s="128"/>
      <c r="D1" s="129"/>
      <c r="E1" s="127"/>
      <c r="F1" s="127"/>
      <c r="G1" s="127"/>
      <c r="H1" s="127"/>
      <c r="I1" s="127"/>
      <c r="J1" s="127"/>
      <c r="K1" s="127"/>
      <c r="L1" s="127"/>
      <c r="M1" s="127"/>
      <c r="N1" s="127"/>
      <c r="O1" s="127"/>
      <c r="P1" s="127"/>
      <c r="Q1" s="127"/>
      <c r="R1" s="127"/>
      <c r="S1" s="127"/>
      <c r="T1" s="127"/>
      <c r="U1" s="127"/>
    </row>
    <row r="2" spans="1:21" s="130" customFormat="1" ht="18">
      <c r="A2" s="127"/>
      <c r="B2" s="131"/>
      <c r="C2" s="131"/>
      <c r="D2" s="132"/>
      <c r="E2" s="133"/>
      <c r="F2" s="133"/>
      <c r="G2" s="133"/>
      <c r="H2" s="133"/>
      <c r="I2" s="133"/>
      <c r="J2" s="133"/>
      <c r="K2" s="133"/>
      <c r="L2" s="133"/>
      <c r="M2" s="127"/>
      <c r="N2" s="127"/>
      <c r="O2" s="127"/>
      <c r="P2" s="127"/>
      <c r="Q2" s="127"/>
      <c r="R2" s="127"/>
      <c r="S2" s="127"/>
      <c r="T2" s="127"/>
      <c r="U2" s="127"/>
    </row>
    <row r="3" spans="1:21" s="134" customFormat="1" ht="2.25" customHeight="1">
      <c r="D3" s="135"/>
    </row>
    <row r="4" spans="1:21" s="137" customFormat="1">
      <c r="A4" s="136"/>
      <c r="D4" s="138"/>
      <c r="P4" s="139"/>
      <c r="Q4" s="139"/>
      <c r="R4" s="149" t="s">
        <v>60</v>
      </c>
      <c r="S4" s="149"/>
      <c r="T4" s="149"/>
      <c r="U4" s="139"/>
    </row>
    <row r="5" spans="1:21" ht="18">
      <c r="A5" s="136"/>
      <c r="B5" s="136"/>
      <c r="C5" s="140" t="s">
        <v>61</v>
      </c>
      <c r="D5" s="141"/>
      <c r="E5" s="83"/>
      <c r="F5" s="136"/>
      <c r="G5" s="136"/>
      <c r="H5" s="136"/>
      <c r="I5" s="136"/>
      <c r="J5" s="136"/>
      <c r="K5" s="136"/>
      <c r="L5" s="136"/>
      <c r="M5" s="136"/>
      <c r="N5" s="136"/>
      <c r="O5" s="136"/>
      <c r="P5" s="139"/>
      <c r="Q5" s="139">
        <v>1</v>
      </c>
      <c r="R5" s="149" t="str">
        <f>"Budget impact analysis of "&amp;E33&amp;" for treatment of "&amp;E27</f>
        <v>Budget impact analysis of Drug 1 for treatment of Advanced cancer</v>
      </c>
      <c r="S5" s="149" t="str">
        <f>intervencao1</f>
        <v>Drug 1</v>
      </c>
      <c r="T5" s="149"/>
      <c r="U5" s="139"/>
    </row>
    <row r="6" spans="1:21">
      <c r="A6" s="136"/>
      <c r="B6" s="136"/>
      <c r="C6" s="136" t="s">
        <v>62</v>
      </c>
      <c r="D6" s="136"/>
      <c r="E6" s="83"/>
      <c r="F6" s="136"/>
      <c r="G6" s="136"/>
      <c r="H6" s="136"/>
      <c r="I6" s="136"/>
      <c r="J6" s="136"/>
      <c r="K6" s="136"/>
      <c r="L6" s="136"/>
      <c r="M6" s="136"/>
      <c r="N6" s="136"/>
      <c r="O6" s="136"/>
      <c r="P6" s="139"/>
      <c r="Q6" s="139">
        <v>2</v>
      </c>
      <c r="R6" s="149" t="str">
        <f>"Budget impact analysis of treatments for "&amp;E27</f>
        <v>Budget impact analysis of treatments for Advanced cancer</v>
      </c>
      <c r="S6" s="149" t="str">
        <f>intervencao2</f>
        <v>Drug 2</v>
      </c>
      <c r="T6" s="149"/>
      <c r="U6" s="139"/>
    </row>
    <row r="7" spans="1:21">
      <c r="A7" s="136"/>
      <c r="B7" s="136"/>
      <c r="C7" s="136"/>
      <c r="D7" s="136"/>
      <c r="E7" s="83"/>
      <c r="F7" s="143"/>
      <c r="G7" s="136"/>
      <c r="H7" s="136"/>
      <c r="I7" s="136"/>
      <c r="J7" s="136"/>
      <c r="K7" s="136"/>
      <c r="L7" s="136"/>
      <c r="M7" s="136"/>
      <c r="N7" s="136"/>
      <c r="O7" s="136"/>
      <c r="P7" s="139"/>
      <c r="Q7" s="139">
        <v>3</v>
      </c>
      <c r="R7" s="149"/>
      <c r="S7" s="149">
        <f>intervencao3</f>
        <v>0</v>
      </c>
      <c r="T7" s="149"/>
      <c r="U7" s="139"/>
    </row>
    <row r="8" spans="1:21" ht="57" customHeight="1">
      <c r="A8" s="136"/>
      <c r="B8" s="136"/>
      <c r="C8" s="144" t="s">
        <v>135</v>
      </c>
      <c r="D8" s="145"/>
      <c r="E8" s="146" t="str">
        <f>IF(AND(E33="",n_interv&lt;2),R4,IF(n_interv&lt;2,R5,R6))</f>
        <v>Budget impact analysis of treatments for Advanced cancer</v>
      </c>
      <c r="F8" s="406" t="s">
        <v>63</v>
      </c>
      <c r="G8" s="407"/>
      <c r="H8" s="407"/>
      <c r="I8" s="407"/>
      <c r="J8" s="136"/>
      <c r="K8" s="136"/>
      <c r="L8" s="136"/>
      <c r="M8" s="136"/>
      <c r="N8" s="136"/>
      <c r="O8" s="136"/>
      <c r="P8" s="139"/>
      <c r="Q8" s="139">
        <v>4</v>
      </c>
      <c r="R8" s="149"/>
      <c r="S8" s="149">
        <f>intervencao4</f>
        <v>0</v>
      </c>
      <c r="T8" s="149"/>
      <c r="U8" s="139"/>
    </row>
    <row r="9" spans="1:21">
      <c r="A9" s="136"/>
      <c r="B9" s="136"/>
      <c r="C9" s="42"/>
      <c r="D9" s="145"/>
      <c r="E9" s="145"/>
      <c r="F9" s="43"/>
      <c r="G9" s="136"/>
      <c r="H9" s="136"/>
      <c r="I9" s="136"/>
      <c r="J9" s="136"/>
      <c r="K9" s="136"/>
      <c r="L9" s="136"/>
      <c r="M9" s="136"/>
      <c r="N9" s="136"/>
      <c r="O9" s="136"/>
      <c r="P9" s="139"/>
      <c r="Q9" s="139">
        <v>5</v>
      </c>
      <c r="R9" s="149"/>
      <c r="S9" s="149" t="str">
        <f>comparador1</f>
        <v>BSC</v>
      </c>
      <c r="T9" s="149"/>
      <c r="U9" s="139"/>
    </row>
    <row r="10" spans="1:21">
      <c r="A10" s="136"/>
      <c r="B10" s="136"/>
      <c r="C10" s="42" t="s">
        <v>210</v>
      </c>
      <c r="D10" s="145"/>
      <c r="E10" s="44"/>
      <c r="F10" s="43"/>
      <c r="G10" s="136"/>
      <c r="H10" s="136"/>
      <c r="I10" s="136"/>
      <c r="J10" s="136"/>
      <c r="K10" s="136"/>
      <c r="L10" s="136"/>
      <c r="M10" s="136"/>
      <c r="N10" s="136"/>
      <c r="O10" s="136"/>
      <c r="P10" s="139"/>
      <c r="Q10" s="139">
        <v>6</v>
      </c>
      <c r="R10" s="149"/>
      <c r="S10" s="149">
        <f>comparador2</f>
        <v>0</v>
      </c>
      <c r="T10" s="149"/>
      <c r="U10" s="139"/>
    </row>
    <row r="11" spans="1:21">
      <c r="A11" s="136"/>
      <c r="B11" s="136"/>
      <c r="C11" s="42"/>
      <c r="D11" s="145"/>
      <c r="E11" s="145"/>
      <c r="F11" s="43"/>
      <c r="G11" s="136"/>
      <c r="H11" s="136"/>
      <c r="I11" s="136"/>
      <c r="J11" s="136"/>
      <c r="K11" s="136"/>
      <c r="L11" s="136"/>
      <c r="M11" s="136"/>
      <c r="N11" s="136"/>
      <c r="O11" s="136"/>
      <c r="P11" s="139"/>
      <c r="Q11" s="139">
        <v>7</v>
      </c>
      <c r="R11" s="149"/>
      <c r="S11" s="149">
        <f>comparador3</f>
        <v>0</v>
      </c>
      <c r="T11" s="149"/>
      <c r="U11" s="139"/>
    </row>
    <row r="12" spans="1:21">
      <c r="A12" s="136"/>
      <c r="B12" s="136"/>
      <c r="C12" s="42" t="s">
        <v>64</v>
      </c>
      <c r="D12" s="145"/>
      <c r="E12" s="44"/>
      <c r="F12" s="43"/>
      <c r="G12" s="136"/>
      <c r="H12" s="136"/>
      <c r="I12" s="136"/>
      <c r="J12" s="136"/>
      <c r="K12" s="136"/>
      <c r="L12" s="136"/>
      <c r="M12" s="136"/>
      <c r="N12" s="136"/>
      <c r="O12" s="136"/>
      <c r="P12" s="139"/>
      <c r="Q12" s="139">
        <v>8</v>
      </c>
      <c r="R12" s="149"/>
      <c r="S12" s="149">
        <f>comparador4</f>
        <v>0</v>
      </c>
      <c r="T12" s="149"/>
      <c r="U12" s="139"/>
    </row>
    <row r="13" spans="1:21">
      <c r="A13" s="136"/>
      <c r="B13" s="136"/>
      <c r="C13" s="42"/>
      <c r="D13" s="145"/>
      <c r="E13" s="145"/>
      <c r="F13" s="43"/>
      <c r="G13" s="136"/>
      <c r="H13" s="136"/>
      <c r="I13" s="136"/>
      <c r="J13" s="136"/>
      <c r="K13" s="136"/>
      <c r="L13" s="136"/>
      <c r="M13" s="136"/>
      <c r="N13" s="136"/>
      <c r="O13" s="136"/>
      <c r="P13" s="139"/>
      <c r="Q13" s="139">
        <v>9</v>
      </c>
      <c r="R13" s="149"/>
      <c r="S13" s="149">
        <f>comparador5</f>
        <v>0</v>
      </c>
      <c r="T13" s="149"/>
      <c r="U13" s="139"/>
    </row>
    <row r="14" spans="1:21">
      <c r="A14" s="136"/>
      <c r="B14" s="136"/>
      <c r="C14" s="42" t="s">
        <v>65</v>
      </c>
      <c r="D14" s="145"/>
      <c r="E14" s="125"/>
      <c r="F14" s="43"/>
      <c r="G14" s="136"/>
      <c r="H14" s="136"/>
      <c r="I14" s="136"/>
      <c r="J14" s="136"/>
      <c r="K14" s="136"/>
      <c r="L14" s="136"/>
      <c r="M14" s="136"/>
      <c r="N14" s="136"/>
      <c r="O14" s="136"/>
      <c r="P14" s="139"/>
      <c r="Q14" s="139">
        <v>10</v>
      </c>
      <c r="R14" s="149"/>
      <c r="S14" s="149">
        <f>comparador6</f>
        <v>0</v>
      </c>
      <c r="T14" s="149"/>
      <c r="U14" s="139"/>
    </row>
    <row r="15" spans="1:21">
      <c r="A15" s="136"/>
      <c r="B15" s="136"/>
      <c r="C15" s="42"/>
      <c r="D15" s="42"/>
      <c r="E15" s="42"/>
      <c r="F15" s="43"/>
      <c r="G15" s="136"/>
      <c r="H15" s="136"/>
      <c r="I15" s="136"/>
      <c r="J15" s="136"/>
      <c r="K15" s="136"/>
      <c r="L15" s="136"/>
      <c r="M15" s="136"/>
      <c r="N15" s="136"/>
      <c r="O15" s="136"/>
      <c r="P15" s="139"/>
      <c r="Q15" s="139" t="s">
        <v>0</v>
      </c>
      <c r="R15" s="149"/>
      <c r="S15" s="149">
        <f>comparador7</f>
        <v>0</v>
      </c>
      <c r="T15" s="149"/>
      <c r="U15" s="139"/>
    </row>
    <row r="16" spans="1:21">
      <c r="A16" s="136"/>
      <c r="B16" s="136"/>
      <c r="C16" s="42" t="s">
        <v>66</v>
      </c>
      <c r="D16" s="145"/>
      <c r="E16" s="44"/>
      <c r="F16" s="43"/>
      <c r="G16" s="136"/>
      <c r="H16" s="136"/>
      <c r="I16" s="136"/>
      <c r="J16" s="136"/>
      <c r="K16" s="136"/>
      <c r="L16" s="136"/>
      <c r="M16" s="136"/>
      <c r="N16" s="136"/>
      <c r="O16" s="136"/>
      <c r="P16" s="139"/>
      <c r="Q16" s="139" t="s">
        <v>1</v>
      </c>
      <c r="R16" s="149"/>
      <c r="S16" s="149">
        <f>comparador8</f>
        <v>0</v>
      </c>
      <c r="T16" s="149"/>
      <c r="U16" s="139"/>
    </row>
    <row r="17" spans="3:21">
      <c r="C17" s="136"/>
      <c r="D17" s="145"/>
      <c r="E17" s="44"/>
      <c r="F17" s="43"/>
      <c r="G17" s="136"/>
      <c r="H17" s="136"/>
      <c r="I17" s="136"/>
      <c r="J17" s="136"/>
      <c r="K17" s="136"/>
      <c r="L17" s="136"/>
      <c r="M17" s="136"/>
      <c r="N17" s="136"/>
      <c r="O17" s="136"/>
      <c r="P17" s="139"/>
      <c r="Q17" s="139"/>
      <c r="R17" s="149"/>
      <c r="S17" s="149">
        <f>comparador9</f>
        <v>0</v>
      </c>
      <c r="T17" s="149"/>
      <c r="U17" s="139"/>
    </row>
    <row r="18" spans="3:21">
      <c r="C18" s="145"/>
      <c r="D18" s="145"/>
      <c r="E18" s="44"/>
      <c r="F18" s="43"/>
      <c r="G18" s="136"/>
      <c r="H18" s="136"/>
      <c r="I18" s="136"/>
      <c r="J18" s="136"/>
      <c r="K18" s="136"/>
      <c r="L18" s="136"/>
      <c r="M18" s="136"/>
      <c r="N18" s="136"/>
      <c r="O18" s="136"/>
      <c r="P18" s="139"/>
      <c r="Q18" s="139"/>
      <c r="R18" s="149"/>
      <c r="S18" s="149">
        <f>comparador10</f>
        <v>0</v>
      </c>
      <c r="T18" s="149"/>
      <c r="U18" s="139"/>
    </row>
    <row r="19" spans="3:21">
      <c r="C19" s="145"/>
      <c r="D19" s="145"/>
      <c r="E19" s="32"/>
      <c r="F19" s="43"/>
      <c r="G19" s="136"/>
      <c r="H19" s="136"/>
      <c r="I19" s="136"/>
      <c r="J19" s="136"/>
      <c r="K19" s="136"/>
      <c r="L19" s="136"/>
      <c r="M19" s="136"/>
      <c r="N19" s="136"/>
      <c r="O19" s="136"/>
      <c r="P19" s="139"/>
      <c r="Q19" s="139"/>
      <c r="R19" s="150"/>
      <c r="S19" s="151"/>
      <c r="T19" s="150"/>
      <c r="U19" s="139"/>
    </row>
    <row r="20" spans="3:21" customFormat="1">
      <c r="C20" s="63"/>
      <c r="D20" s="7"/>
      <c r="E20" s="7"/>
      <c r="F20" s="7"/>
      <c r="G20" s="7"/>
      <c r="H20" s="7"/>
      <c r="I20" s="7"/>
      <c r="J20" s="7"/>
      <c r="K20" s="7"/>
      <c r="L20" s="7"/>
      <c r="M20" s="7"/>
      <c r="N20" s="7"/>
      <c r="O20" s="7"/>
      <c r="P20" s="7"/>
      <c r="Q20" s="7"/>
      <c r="R20" s="152"/>
      <c r="S20" s="151"/>
      <c r="T20" s="152"/>
    </row>
    <row r="21" spans="3:21" customFormat="1">
      <c r="C21" s="64"/>
      <c r="D21" s="65"/>
      <c r="E21" s="65"/>
      <c r="F21" s="65"/>
      <c r="G21" s="65"/>
      <c r="H21" s="65"/>
      <c r="I21" s="65"/>
      <c r="J21" s="65"/>
      <c r="K21" s="65"/>
      <c r="L21" s="65"/>
      <c r="M21" s="65"/>
      <c r="N21" s="65"/>
      <c r="O21" s="7"/>
      <c r="P21" s="7"/>
      <c r="Q21" s="7"/>
      <c r="R21" s="7"/>
      <c r="S21" s="147"/>
      <c r="T21" s="7"/>
    </row>
    <row r="22" spans="3:21" customFormat="1">
      <c r="C22" s="63"/>
      <c r="D22" s="7"/>
      <c r="E22" s="7"/>
      <c r="F22" s="7"/>
      <c r="G22" s="7"/>
      <c r="H22" s="7"/>
      <c r="I22" s="7"/>
      <c r="J22" s="7"/>
      <c r="K22" s="7"/>
      <c r="L22" s="7"/>
      <c r="M22" s="7"/>
      <c r="N22" s="7"/>
      <c r="O22" s="7"/>
      <c r="P22" s="7"/>
      <c r="Q22" s="7"/>
      <c r="R22" s="7"/>
      <c r="S22" s="7"/>
      <c r="T22" s="7"/>
    </row>
    <row r="23" spans="3:21" ht="18">
      <c r="C23" s="140" t="s">
        <v>67</v>
      </c>
      <c r="D23" s="141"/>
      <c r="E23" s="83"/>
      <c r="F23" s="43"/>
      <c r="G23" s="136"/>
      <c r="H23" s="136"/>
      <c r="I23" s="136"/>
      <c r="J23" s="136"/>
      <c r="K23" s="136"/>
      <c r="L23" s="136"/>
      <c r="M23" s="136"/>
      <c r="N23" s="136"/>
      <c r="O23" s="136"/>
      <c r="P23" s="136"/>
      <c r="Q23" s="136"/>
      <c r="R23" s="136"/>
      <c r="S23" s="136"/>
      <c r="T23" s="136"/>
      <c r="U23" s="136"/>
    </row>
    <row r="24" spans="3:21">
      <c r="C24" s="136" t="s">
        <v>211</v>
      </c>
      <c r="D24" s="136"/>
      <c r="E24" s="83"/>
      <c r="F24" s="43"/>
      <c r="G24" s="136"/>
      <c r="H24" s="136"/>
      <c r="I24" s="136"/>
      <c r="J24" s="136"/>
      <c r="K24" s="136"/>
      <c r="L24" s="136"/>
      <c r="M24" s="136"/>
      <c r="N24" s="136"/>
      <c r="O24" s="136"/>
      <c r="P24" s="136"/>
      <c r="Q24" s="136"/>
      <c r="R24" s="136"/>
      <c r="S24" s="136"/>
      <c r="T24" s="136"/>
      <c r="U24" s="136"/>
    </row>
    <row r="25" spans="3:21">
      <c r="C25" s="136"/>
      <c r="D25" s="136"/>
      <c r="E25" s="83"/>
      <c r="F25" s="43"/>
      <c r="G25" s="136"/>
      <c r="H25" s="136"/>
      <c r="I25" s="136"/>
      <c r="J25" s="136"/>
      <c r="K25" s="136"/>
      <c r="L25" s="136"/>
      <c r="M25" s="136"/>
      <c r="N25" s="136"/>
      <c r="O25" s="136"/>
      <c r="P25" s="136"/>
      <c r="Q25" s="136"/>
      <c r="R25" s="136"/>
      <c r="S25" s="136"/>
      <c r="T25" s="136"/>
      <c r="U25" s="136"/>
    </row>
    <row r="26" spans="3:21">
      <c r="C26" s="42" t="s">
        <v>68</v>
      </c>
      <c r="D26" s="145"/>
      <c r="E26" s="136"/>
      <c r="F26" s="43"/>
      <c r="G26" s="136"/>
      <c r="H26" s="136"/>
      <c r="I26" s="136"/>
      <c r="J26" s="136"/>
      <c r="K26" s="136"/>
      <c r="L26" s="136"/>
      <c r="M26" s="136"/>
      <c r="N26" s="136"/>
      <c r="O26" s="136"/>
      <c r="P26" s="136"/>
      <c r="Q26" s="136"/>
      <c r="R26" s="136"/>
      <c r="S26" s="136"/>
      <c r="T26" s="136"/>
      <c r="U26" s="136"/>
    </row>
    <row r="27" spans="3:21">
      <c r="C27" s="405" t="s">
        <v>212</v>
      </c>
      <c r="D27" s="145"/>
      <c r="E27" s="44" t="s">
        <v>345</v>
      </c>
      <c r="F27" s="43"/>
      <c r="G27" s="136"/>
      <c r="H27" s="136"/>
      <c r="I27" s="136"/>
      <c r="J27" s="136"/>
      <c r="K27" s="136"/>
      <c r="L27" s="136"/>
      <c r="M27" s="136"/>
      <c r="N27" s="136"/>
      <c r="O27" s="136"/>
      <c r="P27" s="136"/>
      <c r="Q27" s="136"/>
      <c r="R27" s="136"/>
      <c r="S27" s="136"/>
      <c r="T27" s="136"/>
      <c r="U27" s="136"/>
    </row>
    <row r="28" spans="3:21">
      <c r="C28" s="405"/>
      <c r="D28" s="145"/>
      <c r="E28" s="145"/>
      <c r="F28" s="145"/>
      <c r="G28" s="145"/>
      <c r="H28" s="145"/>
      <c r="I28" s="136"/>
      <c r="J28" s="136"/>
      <c r="K28" s="136"/>
      <c r="L28" s="136"/>
      <c r="M28" s="136"/>
      <c r="N28" s="136"/>
      <c r="O28" s="136"/>
      <c r="P28" s="136"/>
      <c r="Q28" s="136"/>
      <c r="R28" s="136"/>
      <c r="S28" s="136"/>
      <c r="T28" s="136"/>
      <c r="U28" s="136"/>
    </row>
    <row r="29" spans="3:21">
      <c r="C29" s="42" t="s">
        <v>69</v>
      </c>
      <c r="D29" s="145"/>
      <c r="E29" s="145"/>
      <c r="F29" s="43"/>
      <c r="G29" s="136"/>
      <c r="H29" s="136"/>
      <c r="I29" s="136"/>
      <c r="J29" s="136"/>
      <c r="K29" s="136"/>
      <c r="L29" s="136"/>
      <c r="M29" s="136"/>
      <c r="N29" s="136"/>
      <c r="O29" s="136"/>
      <c r="P29" s="136"/>
      <c r="Q29" s="136"/>
      <c r="R29" s="136"/>
      <c r="S29" s="136"/>
      <c r="T29" s="136"/>
      <c r="U29" s="136"/>
    </row>
    <row r="30" spans="3:21">
      <c r="C30" s="148" t="s">
        <v>213</v>
      </c>
      <c r="D30" s="145"/>
      <c r="E30" s="145"/>
      <c r="F30" s="43"/>
      <c r="G30" s="136"/>
      <c r="H30" s="136"/>
      <c r="I30" s="136"/>
      <c r="J30" s="136"/>
      <c r="K30" s="136"/>
      <c r="L30" s="136"/>
      <c r="M30" s="136"/>
      <c r="N30" s="136"/>
      <c r="O30" s="136"/>
      <c r="P30" s="136"/>
      <c r="Q30" s="136"/>
      <c r="R30" s="136"/>
      <c r="S30" s="136"/>
      <c r="T30" s="136"/>
      <c r="U30" s="136"/>
    </row>
    <row r="31" spans="3:21">
      <c r="C31" s="48" t="s">
        <v>214</v>
      </c>
      <c r="D31" s="145"/>
      <c r="E31" s="44">
        <v>2</v>
      </c>
      <c r="F31" s="408" t="s">
        <v>72</v>
      </c>
      <c r="G31" s="408"/>
      <c r="H31" s="408"/>
      <c r="I31" s="408"/>
      <c r="J31" s="408"/>
      <c r="K31" s="408"/>
      <c r="L31" s="136"/>
      <c r="M31" s="136"/>
      <c r="N31" s="136"/>
      <c r="O31" s="136"/>
      <c r="P31" s="136"/>
      <c r="Q31" s="136"/>
      <c r="R31" s="136"/>
      <c r="S31" s="136"/>
      <c r="T31" s="136"/>
      <c r="U31" s="136"/>
    </row>
    <row r="32" spans="3:21">
      <c r="C32" s="48"/>
      <c r="D32" s="145"/>
      <c r="E32" s="145"/>
      <c r="F32" s="408"/>
      <c r="G32" s="408"/>
      <c r="H32" s="408"/>
      <c r="I32" s="408"/>
      <c r="J32" s="408"/>
      <c r="K32" s="408"/>
      <c r="L32" s="136"/>
      <c r="M32" s="136"/>
      <c r="N32" s="136"/>
      <c r="O32" s="136"/>
      <c r="P32" s="136"/>
      <c r="Q32" s="136"/>
      <c r="R32" s="136"/>
      <c r="S32" s="136"/>
      <c r="T32" s="136"/>
      <c r="U32" s="136"/>
    </row>
    <row r="33" spans="3:21">
      <c r="C33" s="48" t="s">
        <v>215</v>
      </c>
      <c r="D33" s="145">
        <v>1</v>
      </c>
      <c r="E33" s="44" t="s">
        <v>346</v>
      </c>
      <c r="F33" s="43"/>
      <c r="G33" s="136"/>
      <c r="H33" s="136"/>
      <c r="I33" s="136"/>
      <c r="J33" s="136"/>
      <c r="K33" s="136"/>
      <c r="L33" s="136"/>
      <c r="M33" s="136"/>
      <c r="N33" s="136"/>
      <c r="O33" s="136"/>
      <c r="P33" s="136"/>
      <c r="Q33" s="136"/>
      <c r="R33" s="136"/>
      <c r="S33" s="136"/>
      <c r="T33" s="136"/>
      <c r="U33" s="136"/>
    </row>
    <row r="34" spans="3:21">
      <c r="C34" s="48" t="s">
        <v>215</v>
      </c>
      <c r="D34" s="145">
        <v>2</v>
      </c>
      <c r="E34" s="44" t="s">
        <v>347</v>
      </c>
      <c r="F34" s="43"/>
      <c r="G34" s="136"/>
      <c r="H34" s="136"/>
      <c r="I34" s="136"/>
      <c r="J34" s="136"/>
      <c r="K34" s="136"/>
      <c r="L34" s="136"/>
      <c r="M34" s="136"/>
      <c r="N34" s="136"/>
      <c r="O34" s="136"/>
      <c r="P34" s="136"/>
      <c r="Q34" s="136"/>
      <c r="R34" s="136"/>
      <c r="S34" s="136"/>
      <c r="T34" s="136"/>
      <c r="U34" s="136"/>
    </row>
    <row r="35" spans="3:21">
      <c r="C35" s="48" t="s">
        <v>215</v>
      </c>
      <c r="D35" s="145">
        <v>3</v>
      </c>
      <c r="E35" s="44"/>
      <c r="F35" s="43"/>
      <c r="G35" s="136"/>
      <c r="H35" s="136"/>
      <c r="I35" s="136"/>
      <c r="J35" s="136"/>
      <c r="K35" s="136"/>
      <c r="L35" s="136"/>
      <c r="M35" s="136"/>
      <c r="N35" s="136"/>
      <c r="O35" s="136"/>
      <c r="P35" s="136"/>
      <c r="Q35" s="136"/>
      <c r="R35" s="136"/>
      <c r="S35" s="136"/>
      <c r="T35" s="136"/>
      <c r="U35" s="136"/>
    </row>
    <row r="36" spans="3:21">
      <c r="C36" s="48" t="s">
        <v>215</v>
      </c>
      <c r="D36" s="145">
        <v>4</v>
      </c>
      <c r="E36" s="44"/>
      <c r="F36" s="43"/>
      <c r="G36" s="136"/>
      <c r="H36" s="136"/>
      <c r="I36" s="136"/>
      <c r="J36" s="136"/>
      <c r="K36" s="136"/>
      <c r="L36" s="136"/>
      <c r="M36" s="136"/>
      <c r="N36" s="136"/>
      <c r="O36" s="136"/>
      <c r="P36" s="136"/>
      <c r="Q36" s="136"/>
      <c r="R36" s="136"/>
      <c r="S36" s="136"/>
      <c r="T36" s="136"/>
      <c r="U36" s="136"/>
    </row>
    <row r="37" spans="3:21">
      <c r="C37" s="136"/>
      <c r="D37" s="136"/>
      <c r="E37" s="136"/>
      <c r="F37" s="43"/>
      <c r="G37" s="136"/>
      <c r="H37" s="136"/>
      <c r="I37" s="136"/>
      <c r="J37" s="136"/>
      <c r="K37" s="136"/>
      <c r="L37" s="136"/>
      <c r="M37" s="136"/>
      <c r="N37" s="136"/>
      <c r="O37" s="136"/>
      <c r="P37" s="136"/>
      <c r="Q37" s="136"/>
      <c r="R37" s="136"/>
      <c r="S37" s="136"/>
      <c r="T37" s="136"/>
      <c r="U37" s="136"/>
    </row>
    <row r="38" spans="3:21">
      <c r="C38" s="42" t="s">
        <v>70</v>
      </c>
      <c r="D38" s="145"/>
      <c r="E38" s="145"/>
      <c r="F38" s="43"/>
      <c r="G38" s="136"/>
      <c r="H38" s="136"/>
      <c r="I38" s="136"/>
      <c r="J38" s="136"/>
      <c r="K38" s="136"/>
      <c r="L38" s="136"/>
      <c r="M38" s="136"/>
      <c r="N38" s="136"/>
      <c r="O38" s="136"/>
      <c r="P38" s="136"/>
      <c r="Q38" s="136"/>
      <c r="R38" s="136"/>
      <c r="S38" s="136"/>
      <c r="T38" s="136"/>
      <c r="U38" s="136"/>
    </row>
    <row r="39" spans="3:21">
      <c r="C39" s="148" t="s">
        <v>71</v>
      </c>
      <c r="D39" s="145"/>
      <c r="E39" s="145"/>
      <c r="F39" s="43"/>
      <c r="G39" s="136"/>
      <c r="H39" s="136"/>
      <c r="I39" s="136"/>
      <c r="J39" s="136"/>
      <c r="K39" s="136"/>
      <c r="L39" s="136"/>
      <c r="M39" s="136"/>
      <c r="N39" s="136"/>
      <c r="O39" s="136"/>
      <c r="P39" s="136"/>
      <c r="Q39" s="136"/>
      <c r="R39" s="136"/>
      <c r="S39" s="136"/>
      <c r="T39" s="136"/>
      <c r="U39" s="136"/>
    </row>
    <row r="40" spans="3:21">
      <c r="C40" s="48" t="s">
        <v>217</v>
      </c>
      <c r="D40" s="145"/>
      <c r="E40" s="44">
        <v>1</v>
      </c>
      <c r="F40" s="408" t="s">
        <v>73</v>
      </c>
      <c r="G40" s="408"/>
      <c r="H40" s="408"/>
      <c r="I40" s="408"/>
      <c r="J40" s="408"/>
      <c r="K40" s="136"/>
      <c r="L40" s="136"/>
      <c r="M40" s="136"/>
      <c r="N40" s="136"/>
      <c r="O40" s="136"/>
      <c r="P40" s="136"/>
      <c r="Q40" s="136"/>
      <c r="R40" s="136"/>
      <c r="S40" s="136"/>
      <c r="T40" s="136"/>
      <c r="U40" s="136"/>
    </row>
    <row r="41" spans="3:21">
      <c r="C41" s="48"/>
      <c r="D41" s="145"/>
      <c r="E41" s="145"/>
      <c r="F41" s="408"/>
      <c r="G41" s="408"/>
      <c r="H41" s="408"/>
      <c r="I41" s="408"/>
      <c r="J41" s="408"/>
      <c r="K41" s="136"/>
      <c r="L41" s="136"/>
      <c r="M41" s="136"/>
      <c r="N41" s="136"/>
      <c r="O41" s="136"/>
      <c r="P41" s="136"/>
      <c r="Q41" s="136"/>
      <c r="R41" s="136"/>
      <c r="S41" s="136"/>
      <c r="T41" s="136"/>
      <c r="U41" s="136"/>
    </row>
    <row r="42" spans="3:21">
      <c r="C42" s="48" t="s">
        <v>216</v>
      </c>
      <c r="D42" s="145">
        <v>1</v>
      </c>
      <c r="E42" s="44" t="s">
        <v>348</v>
      </c>
      <c r="F42" s="43"/>
      <c r="G42" s="136"/>
      <c r="H42" s="136"/>
      <c r="I42" s="136"/>
      <c r="J42" s="136"/>
      <c r="K42" s="136"/>
      <c r="L42" s="136"/>
      <c r="M42" s="136"/>
      <c r="N42" s="136"/>
      <c r="O42" s="136"/>
      <c r="P42" s="136"/>
      <c r="Q42" s="136"/>
      <c r="R42" s="136"/>
      <c r="S42" s="136"/>
      <c r="T42" s="136"/>
      <c r="U42" s="136"/>
    </row>
    <row r="43" spans="3:21">
      <c r="C43" s="48" t="s">
        <v>216</v>
      </c>
      <c r="D43" s="145">
        <v>2</v>
      </c>
      <c r="E43" s="44"/>
      <c r="F43" s="43"/>
      <c r="G43" s="136"/>
      <c r="H43" s="136"/>
      <c r="I43" s="136"/>
      <c r="J43" s="136"/>
      <c r="K43" s="136"/>
      <c r="L43" s="136"/>
      <c r="M43" s="136"/>
      <c r="N43" s="136"/>
      <c r="O43" s="136"/>
      <c r="P43" s="136"/>
      <c r="Q43" s="136"/>
      <c r="R43" s="136"/>
      <c r="S43" s="136"/>
      <c r="T43" s="136"/>
      <c r="U43" s="136"/>
    </row>
    <row r="44" spans="3:21">
      <c r="C44" s="48" t="s">
        <v>216</v>
      </c>
      <c r="D44" s="145">
        <v>3</v>
      </c>
      <c r="E44" s="44"/>
      <c r="F44" s="43"/>
      <c r="G44" s="136"/>
      <c r="H44" s="136"/>
      <c r="I44" s="136"/>
      <c r="J44" s="136"/>
      <c r="K44" s="136"/>
      <c r="L44" s="136"/>
      <c r="M44" s="136"/>
      <c r="N44" s="136"/>
      <c r="O44" s="136"/>
      <c r="P44" s="136"/>
      <c r="Q44" s="136"/>
      <c r="R44" s="136"/>
      <c r="S44" s="136"/>
      <c r="T44" s="136"/>
      <c r="U44" s="136"/>
    </row>
    <row r="45" spans="3:21">
      <c r="C45" s="48" t="s">
        <v>216</v>
      </c>
      <c r="D45" s="145">
        <v>4</v>
      </c>
      <c r="E45" s="44"/>
      <c r="F45" s="43"/>
      <c r="G45" s="136"/>
      <c r="H45" s="136"/>
      <c r="I45" s="136"/>
      <c r="J45" s="136"/>
      <c r="K45" s="136"/>
      <c r="L45" s="136"/>
      <c r="M45" s="136"/>
      <c r="N45" s="136"/>
      <c r="O45" s="136"/>
      <c r="P45" s="136"/>
      <c r="Q45" s="136"/>
      <c r="R45" s="136"/>
      <c r="S45" s="136"/>
      <c r="T45" s="136"/>
      <c r="U45" s="136"/>
    </row>
    <row r="46" spans="3:21">
      <c r="C46" s="48" t="s">
        <v>216</v>
      </c>
      <c r="D46" s="145">
        <v>5</v>
      </c>
      <c r="E46" s="44"/>
      <c r="F46" s="43"/>
      <c r="G46" s="136"/>
      <c r="H46" s="136"/>
      <c r="I46" s="136"/>
      <c r="J46" s="136"/>
      <c r="K46" s="136"/>
      <c r="L46" s="136"/>
      <c r="M46" s="136"/>
      <c r="N46" s="136"/>
      <c r="O46" s="136"/>
      <c r="P46" s="136"/>
      <c r="Q46" s="136"/>
      <c r="R46" s="136"/>
      <c r="S46" s="136"/>
      <c r="T46" s="136"/>
      <c r="U46" s="136"/>
    </row>
    <row r="47" spans="3:21">
      <c r="C47" s="48" t="s">
        <v>216</v>
      </c>
      <c r="D47" s="145">
        <v>6</v>
      </c>
      <c r="E47" s="44"/>
      <c r="F47" s="43"/>
      <c r="G47" s="136"/>
      <c r="H47" s="136"/>
      <c r="I47" s="136"/>
      <c r="J47" s="136"/>
      <c r="K47" s="136"/>
      <c r="L47" s="136"/>
      <c r="M47" s="136"/>
      <c r="N47" s="136"/>
      <c r="O47" s="136"/>
      <c r="P47" s="136"/>
      <c r="Q47" s="136"/>
      <c r="R47" s="136"/>
      <c r="S47" s="136"/>
      <c r="T47" s="136"/>
      <c r="U47" s="136"/>
    </row>
    <row r="48" spans="3:21">
      <c r="C48" s="48" t="s">
        <v>216</v>
      </c>
      <c r="D48" s="145">
        <v>7</v>
      </c>
      <c r="E48" s="44"/>
      <c r="F48" s="43"/>
      <c r="G48" s="136"/>
      <c r="H48" s="136"/>
      <c r="I48" s="136"/>
      <c r="J48" s="136"/>
      <c r="K48" s="136"/>
      <c r="L48" s="136"/>
      <c r="M48" s="136"/>
      <c r="N48" s="136"/>
      <c r="O48" s="136"/>
      <c r="P48" s="136"/>
      <c r="Q48" s="136"/>
      <c r="R48" s="136"/>
      <c r="S48" s="136"/>
      <c r="T48" s="136"/>
      <c r="U48" s="136"/>
    </row>
    <row r="49" spans="3:12">
      <c r="C49" s="48" t="s">
        <v>216</v>
      </c>
      <c r="D49" s="145">
        <v>8</v>
      </c>
      <c r="E49" s="44"/>
      <c r="F49" s="43"/>
      <c r="G49" s="136"/>
      <c r="H49" s="136"/>
      <c r="I49" s="136"/>
      <c r="J49" s="136"/>
      <c r="K49" s="136"/>
      <c r="L49" s="136"/>
    </row>
    <row r="50" spans="3:12">
      <c r="C50" s="48" t="s">
        <v>216</v>
      </c>
      <c r="D50" s="145">
        <v>9</v>
      </c>
      <c r="E50" s="44"/>
      <c r="F50" s="43"/>
      <c r="G50" s="136"/>
      <c r="H50" s="136"/>
      <c r="I50" s="136"/>
      <c r="J50" s="136"/>
      <c r="K50" s="136"/>
      <c r="L50" s="136"/>
    </row>
    <row r="51" spans="3:12">
      <c r="C51" s="48" t="s">
        <v>216</v>
      </c>
      <c r="D51" s="145">
        <v>10</v>
      </c>
      <c r="E51" s="44"/>
      <c r="F51" s="43"/>
      <c r="G51" s="136"/>
      <c r="H51" s="136"/>
      <c r="I51" s="136"/>
      <c r="J51" s="136"/>
      <c r="K51" s="136"/>
      <c r="L51" s="136"/>
    </row>
    <row r="52" spans="3:12">
      <c r="C52" s="42"/>
      <c r="D52" s="42"/>
      <c r="E52" s="42"/>
      <c r="F52" s="43"/>
      <c r="G52" s="136"/>
      <c r="H52" s="136"/>
      <c r="I52" s="136"/>
      <c r="J52" s="136"/>
      <c r="K52" s="136"/>
      <c r="L52" s="136"/>
    </row>
    <row r="53" spans="3:12">
      <c r="C53" s="42" t="s">
        <v>218</v>
      </c>
      <c r="D53" s="42"/>
      <c r="E53" s="42"/>
      <c r="F53" s="43"/>
      <c r="G53" s="136"/>
      <c r="H53" s="136"/>
      <c r="I53" s="136"/>
      <c r="J53" s="136"/>
      <c r="K53" s="136"/>
      <c r="L53" s="136"/>
    </row>
    <row r="54" spans="3:12">
      <c r="C54" s="148" t="s">
        <v>219</v>
      </c>
      <c r="D54" s="42"/>
      <c r="E54" s="42"/>
      <c r="F54" s="43"/>
      <c r="G54" s="136"/>
      <c r="H54" s="136"/>
      <c r="I54" s="136"/>
      <c r="J54" s="136"/>
      <c r="K54" s="136"/>
      <c r="L54" s="136"/>
    </row>
    <row r="55" spans="3:12" ht="15" customHeight="1">
      <c r="C55" s="48" t="s">
        <v>220</v>
      </c>
      <c r="D55" s="42"/>
      <c r="E55" s="44" t="s">
        <v>349</v>
      </c>
      <c r="F55" s="408" t="s">
        <v>74</v>
      </c>
      <c r="G55" s="408"/>
      <c r="H55" s="408"/>
      <c r="I55" s="408"/>
      <c r="J55" s="408"/>
      <c r="K55" s="307"/>
      <c r="L55" s="307"/>
    </row>
    <row r="56" spans="3:12">
      <c r="C56" s="48"/>
      <c r="D56" s="48"/>
      <c r="E56" s="48"/>
      <c r="F56" s="408"/>
      <c r="G56" s="408"/>
      <c r="H56" s="408"/>
      <c r="I56" s="408"/>
      <c r="J56" s="408"/>
      <c r="K56" s="307"/>
      <c r="L56" s="307"/>
    </row>
    <row r="57" spans="3:12">
      <c r="C57" s="48" t="s">
        <v>221</v>
      </c>
      <c r="D57" s="42"/>
      <c r="E57" s="44" t="s">
        <v>350</v>
      </c>
      <c r="F57" s="406" t="s">
        <v>75</v>
      </c>
      <c r="G57" s="407"/>
      <c r="H57" s="407"/>
      <c r="I57" s="407"/>
      <c r="J57" s="407"/>
      <c r="K57" s="407"/>
      <c r="L57" s="136"/>
    </row>
    <row r="58" spans="3:12">
      <c r="C58" s="48" t="s">
        <v>222</v>
      </c>
      <c r="D58" s="42"/>
      <c r="E58" s="44" t="s">
        <v>351</v>
      </c>
      <c r="F58" s="406"/>
      <c r="G58" s="407"/>
      <c r="H58" s="407"/>
      <c r="I58" s="407"/>
      <c r="J58" s="407"/>
      <c r="K58" s="407"/>
      <c r="L58" s="136"/>
    </row>
    <row r="59" spans="3:12">
      <c r="C59" s="48" t="s">
        <v>223</v>
      </c>
      <c r="D59" s="42"/>
      <c r="E59" s="44" t="s">
        <v>352</v>
      </c>
      <c r="F59" s="43" t="s">
        <v>76</v>
      </c>
      <c r="G59" s="136"/>
      <c r="H59" s="136"/>
      <c r="I59" s="136"/>
      <c r="J59" s="136"/>
      <c r="K59" s="136"/>
      <c r="L59" s="136"/>
    </row>
    <row r="60" spans="3:12">
      <c r="C60" s="136"/>
      <c r="D60" s="83"/>
      <c r="E60" s="136"/>
      <c r="F60" s="43"/>
      <c r="G60" s="136"/>
      <c r="H60" s="136"/>
      <c r="I60" s="136"/>
      <c r="J60" s="136"/>
      <c r="K60" s="136"/>
      <c r="L60" s="136"/>
    </row>
    <row r="61" spans="3:12">
      <c r="C61" s="136"/>
      <c r="D61" s="83"/>
      <c r="E61" s="136"/>
      <c r="F61" s="43"/>
      <c r="G61" s="136"/>
      <c r="H61" s="136"/>
      <c r="I61" s="136"/>
      <c r="J61" s="136"/>
      <c r="K61" s="136"/>
      <c r="L61" s="136"/>
    </row>
    <row r="62" spans="3:12">
      <c r="C62" s="136"/>
      <c r="D62" s="83"/>
      <c r="E62" s="136"/>
      <c r="F62" s="43"/>
      <c r="G62" s="136"/>
      <c r="H62" s="136"/>
      <c r="I62" s="136"/>
      <c r="J62" s="136"/>
      <c r="K62" s="136"/>
      <c r="L62" s="136"/>
    </row>
    <row r="63" spans="3:12">
      <c r="C63" s="136"/>
      <c r="D63" s="83"/>
      <c r="E63" s="136"/>
      <c r="F63" s="43"/>
      <c r="G63" s="136"/>
      <c r="H63" s="136"/>
      <c r="I63" s="136"/>
      <c r="J63" s="136"/>
      <c r="K63" s="136"/>
      <c r="L63" s="136"/>
    </row>
    <row r="66" spans="2:14">
      <c r="C66" s="7"/>
      <c r="D66" s="7"/>
      <c r="E66" s="7"/>
      <c r="F66" s="7"/>
      <c r="G66" s="7"/>
      <c r="H66" s="7"/>
      <c r="I66" s="7"/>
      <c r="J66" s="7"/>
      <c r="K66" s="7"/>
      <c r="L66" s="7"/>
    </row>
    <row r="67" spans="2:14">
      <c r="C67" s="65"/>
      <c r="D67" s="65"/>
      <c r="E67" s="65"/>
      <c r="F67" s="65"/>
      <c r="G67" s="65"/>
      <c r="H67" s="65"/>
      <c r="I67" s="65"/>
      <c r="J67" s="65"/>
      <c r="K67" s="65"/>
      <c r="L67" s="65"/>
      <c r="M67" s="65"/>
      <c r="N67" s="65"/>
    </row>
    <row r="68" spans="2:14" ht="15" customHeight="1">
      <c r="C68" s="404" t="s">
        <v>224</v>
      </c>
      <c r="D68" s="404"/>
      <c r="E68" s="404"/>
      <c r="F68" s="404"/>
      <c r="G68" s="404"/>
      <c r="H68" s="404"/>
      <c r="I68" s="404"/>
      <c r="J68" s="404"/>
      <c r="K68" s="404"/>
      <c r="L68" s="404"/>
      <c r="M68" s="404"/>
      <c r="N68" s="404"/>
    </row>
    <row r="69" spans="2:14">
      <c r="C69" s="404"/>
      <c r="D69" s="404"/>
      <c r="E69" s="404"/>
      <c r="F69" s="404"/>
      <c r="G69" s="404"/>
      <c r="H69" s="404"/>
      <c r="I69" s="404"/>
      <c r="J69" s="404"/>
      <c r="K69" s="404"/>
      <c r="L69" s="404"/>
      <c r="M69" s="404"/>
      <c r="N69" s="404"/>
    </row>
    <row r="70" spans="2:14" s="1" customFormat="1" ht="85.95" customHeight="1">
      <c r="B70" s="403" t="e" vm="1">
        <v>#VALUE!</v>
      </c>
      <c r="C70" s="403"/>
      <c r="D70" s="403"/>
      <c r="E70" s="403"/>
      <c r="F70" s="403"/>
      <c r="G70" s="403"/>
      <c r="H70" s="403"/>
      <c r="I70" s="403"/>
      <c r="J70" s="403"/>
      <c r="K70" s="403"/>
      <c r="L70" s="403"/>
      <c r="M70" s="403"/>
      <c r="N70" s="403"/>
    </row>
  </sheetData>
  <sheetProtection algorithmName="SHA-512" hashValue="4NoPnzzsXKJV4cOIQhPZbzxuNg9aTJZyQAZOD/F5reEZDv5hMJgquJG7jIIfRAMepcdY8wv4QezNunUn/j+hWQ==" saltValue="YjL0cm/yPCU3Blpx+C8dNw==" spinCount="100000" sheet="1" objects="1" scenarios="1" formatCells="0" formatColumns="0" formatRows="0"/>
  <protectedRanges>
    <protectedRange sqref="E9:E26 E28:E32 E37:E41 E51:E54 E56 E59:E64" name="Intervalo2"/>
    <protectedRange sqref="E27" name="Intervalo2_1"/>
    <protectedRange sqref="E33:E36" name="Intervalo2_2"/>
    <protectedRange sqref="E42:E50" name="Intervalo2_3"/>
    <protectedRange sqref="E55" name="Intervalo2_4"/>
    <protectedRange sqref="E57:E58" name="Intervalo2_5"/>
  </protectedRanges>
  <mergeCells count="8">
    <mergeCell ref="B70:N70"/>
    <mergeCell ref="C68:N69"/>
    <mergeCell ref="C27:C28"/>
    <mergeCell ref="F8:I8"/>
    <mergeCell ref="F40:J41"/>
    <mergeCell ref="F31:K32"/>
    <mergeCell ref="F55:J56"/>
    <mergeCell ref="F57:K58"/>
  </mergeCells>
  <phoneticPr fontId="2" type="noConversion"/>
  <conditionalFormatting sqref="E51">
    <cfRule type="expression" dxfId="126" priority="4" stopIfTrue="1">
      <formula>$E$40&lt;D51</formula>
    </cfRule>
  </conditionalFormatting>
  <conditionalFormatting sqref="E35:E36">
    <cfRule type="expression" dxfId="125" priority="3">
      <formula>$E$31&lt;D35</formula>
    </cfRule>
  </conditionalFormatting>
  <conditionalFormatting sqref="E43:E50">
    <cfRule type="expression" dxfId="124" priority="2" stopIfTrue="1">
      <formula>$E$40&lt;D43</formula>
    </cfRule>
  </conditionalFormatting>
  <conditionalFormatting sqref="E34">
    <cfRule type="expression" dxfId="123" priority="1">
      <formula>$E$31&lt;D34</formula>
    </cfRule>
  </conditionalFormatting>
  <dataValidations count="2">
    <dataValidation type="list" allowBlank="1" showInputMessage="1" showErrorMessage="1" sqref="E31" xr:uid="{002524FC-CAD6-491E-9DDB-3B3214DCB9EF}">
      <formula1>$Q$5:$Q$8</formula1>
    </dataValidation>
    <dataValidation type="list" allowBlank="1" showInputMessage="1" showErrorMessage="1" sqref="E40" xr:uid="{0F1A0210-B0E6-4BCD-A10C-84A0CDA1BFA3}">
      <formula1>$Q$5:$Q$14</formula1>
    </dataValidation>
  </dataValidations>
  <pageMargins left="0.511811024" right="0.511811024" top="0.78740157499999996" bottom="0.78740157499999996" header="0.31496062000000002" footer="0.31496062000000002"/>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E63D5-D22D-4DA2-93AE-98035830CD08}">
  <sheetPr codeName="Planilha11">
    <tabColor rgb="FFDDCFAD"/>
  </sheetPr>
  <dimension ref="A1:Z269"/>
  <sheetViews>
    <sheetView showGridLines="0" showRowColHeaders="0" zoomScaleNormal="100" workbookViewId="0">
      <selection activeCell="AE82" sqref="AE82"/>
    </sheetView>
  </sheetViews>
  <sheetFormatPr defaultColWidth="8.77734375" defaultRowHeight="14.4"/>
  <cols>
    <col min="1" max="1" width="6.77734375" style="3" customWidth="1"/>
    <col min="2" max="2" width="21.6640625" style="3" customWidth="1"/>
    <col min="3" max="7" width="13.44140625" style="3" customWidth="1"/>
    <col min="8" max="8" width="33.77734375" style="182" customWidth="1"/>
    <col min="9" max="9" width="8.77734375" style="3" customWidth="1"/>
    <col min="10" max="14" width="15.109375" style="3" hidden="1" customWidth="1"/>
    <col min="15" max="15" width="8.77734375" style="3" hidden="1" customWidth="1"/>
    <col min="16" max="16" width="13" style="172" hidden="1" customWidth="1"/>
    <col min="17" max="18" width="8.77734375" style="3" hidden="1" customWidth="1"/>
    <col min="19" max="38" width="8.77734375" style="3" customWidth="1"/>
    <col min="39" max="16384" width="8.77734375" style="3"/>
  </cols>
  <sheetData>
    <row r="1" spans="1:20" s="157" customFormat="1" ht="33.6">
      <c r="A1" s="153"/>
      <c r="B1" s="154" t="str">
        <f>Definitions!$E$8</f>
        <v>Budget impact analysis of treatments for Advanced cancer</v>
      </c>
      <c r="C1" s="154"/>
      <c r="D1" s="155"/>
      <c r="E1" s="153"/>
      <c r="F1" s="153"/>
      <c r="G1" s="153"/>
      <c r="H1" s="156"/>
      <c r="I1" s="153"/>
      <c r="J1" s="153"/>
      <c r="K1" s="153"/>
      <c r="L1" s="153"/>
      <c r="M1" s="153"/>
      <c r="N1" s="153"/>
      <c r="O1" s="153"/>
      <c r="P1" s="153"/>
      <c r="Q1" s="153"/>
      <c r="R1" s="153"/>
      <c r="S1" s="153"/>
      <c r="T1" s="153"/>
    </row>
    <row r="2" spans="1:20" s="157" customFormat="1" ht="18">
      <c r="A2" s="153"/>
      <c r="B2" s="158"/>
      <c r="C2" s="158"/>
      <c r="D2" s="159"/>
      <c r="E2" s="160"/>
      <c r="F2" s="160"/>
      <c r="G2" s="160"/>
      <c r="H2" s="161"/>
      <c r="I2" s="160"/>
      <c r="J2" s="160"/>
      <c r="K2" s="160"/>
      <c r="L2" s="160"/>
      <c r="M2" s="153"/>
      <c r="N2" s="153"/>
      <c r="O2" s="153"/>
      <c r="P2" s="153"/>
      <c r="Q2" s="153"/>
      <c r="R2" s="153"/>
      <c r="S2" s="153"/>
      <c r="T2" s="153"/>
    </row>
    <row r="3" spans="1:20" s="134" customFormat="1" ht="2.25" customHeight="1">
      <c r="D3" s="135"/>
      <c r="H3" s="162"/>
    </row>
    <row r="4" spans="1:20" s="142" customFormat="1">
      <c r="A4" s="136"/>
      <c r="B4" s="136"/>
      <c r="C4" s="136"/>
      <c r="D4" s="163"/>
      <c r="E4" s="136"/>
      <c r="F4" s="43"/>
      <c r="G4" s="136"/>
      <c r="H4" s="136"/>
      <c r="I4" s="136"/>
      <c r="J4" s="136"/>
      <c r="K4" s="136"/>
      <c r="L4" s="136"/>
      <c r="M4" s="136"/>
      <c r="N4" s="136"/>
      <c r="O4" s="136"/>
      <c r="P4" s="136"/>
      <c r="Q4" s="136"/>
      <c r="R4" s="136"/>
      <c r="S4" s="136"/>
      <c r="T4" s="136"/>
    </row>
    <row r="5" spans="1:20" s="137" customFormat="1" ht="18">
      <c r="A5" s="136"/>
      <c r="B5" s="140" t="s">
        <v>78</v>
      </c>
      <c r="D5" s="138"/>
      <c r="F5" s="43"/>
    </row>
    <row r="6" spans="1:20" s="137" customFormat="1">
      <c r="A6" s="136"/>
      <c r="B6" s="136" t="s">
        <v>84</v>
      </c>
      <c r="D6" s="138"/>
      <c r="F6" s="43"/>
    </row>
    <row r="7" spans="1:20" s="142" customFormat="1">
      <c r="A7" s="136"/>
      <c r="B7" s="136"/>
      <c r="C7" s="136"/>
      <c r="D7" s="163"/>
      <c r="E7" s="136"/>
      <c r="F7" s="43"/>
      <c r="G7" s="136"/>
      <c r="H7" s="136"/>
      <c r="I7" s="136"/>
      <c r="J7" s="136"/>
      <c r="K7" s="136"/>
      <c r="L7" s="136"/>
      <c r="M7" s="136"/>
      <c r="N7" s="136"/>
      <c r="O7" s="136"/>
      <c r="P7" s="136"/>
      <c r="Q7" s="136"/>
      <c r="R7" s="136"/>
      <c r="S7" s="136"/>
      <c r="T7" s="136"/>
    </row>
    <row r="8" spans="1:20" s="142" customFormat="1">
      <c r="A8" s="136"/>
      <c r="B8" s="136"/>
      <c r="C8" s="42" t="s">
        <v>80</v>
      </c>
      <c r="D8" s="83"/>
      <c r="E8" s="164" t="s">
        <v>79</v>
      </c>
      <c r="F8" s="43" t="s">
        <v>86</v>
      </c>
      <c r="G8" s="136"/>
      <c r="I8" s="136"/>
      <c r="J8" s="136"/>
      <c r="K8" s="136"/>
      <c r="L8" s="136"/>
      <c r="M8" s="139">
        <f>IF(E8="5 anos",5,IF(E8="4 anos",4,3))</f>
        <v>3</v>
      </c>
      <c r="N8" s="136"/>
      <c r="O8" s="136"/>
      <c r="P8" s="136"/>
      <c r="Q8" s="136"/>
      <c r="R8" s="136"/>
      <c r="S8" s="136"/>
      <c r="T8" s="136"/>
    </row>
    <row r="9" spans="1:20" s="142" customFormat="1">
      <c r="A9" s="136"/>
      <c r="B9" s="136"/>
      <c r="C9" s="136"/>
      <c r="D9" s="83"/>
      <c r="E9" s="136"/>
      <c r="F9" s="43"/>
      <c r="G9" s="136"/>
      <c r="H9" s="136"/>
      <c r="I9" s="136"/>
      <c r="J9" s="136"/>
      <c r="K9" s="136"/>
      <c r="L9" s="136"/>
      <c r="M9" s="136"/>
      <c r="N9" s="136"/>
      <c r="O9" s="136"/>
      <c r="P9" s="136"/>
      <c r="Q9" s="136"/>
      <c r="R9" s="136"/>
      <c r="S9" s="136"/>
      <c r="T9" s="136"/>
    </row>
    <row r="10" spans="1:20" s="142" customFormat="1">
      <c r="A10" s="136"/>
      <c r="B10" s="136"/>
      <c r="C10" s="42" t="s">
        <v>87</v>
      </c>
      <c r="D10" s="83"/>
      <c r="E10" s="44">
        <v>2026</v>
      </c>
      <c r="F10" s="43" t="s">
        <v>85</v>
      </c>
      <c r="G10" s="136"/>
      <c r="H10" s="136"/>
      <c r="I10" s="136"/>
      <c r="J10" s="136"/>
      <c r="K10" s="136"/>
      <c r="L10" s="136"/>
      <c r="M10" s="136"/>
      <c r="N10" s="136"/>
      <c r="O10" s="136"/>
      <c r="P10" s="136"/>
      <c r="Q10" s="136"/>
      <c r="R10" s="136"/>
      <c r="S10" s="136"/>
      <c r="T10" s="136"/>
    </row>
    <row r="11" spans="1:20" s="142" customFormat="1">
      <c r="A11" s="136"/>
      <c r="B11" s="136"/>
      <c r="C11" s="136"/>
      <c r="D11" s="83"/>
      <c r="E11" s="136"/>
      <c r="F11" s="43"/>
      <c r="G11" s="136"/>
      <c r="H11" s="136"/>
      <c r="I11" s="136"/>
      <c r="J11" s="136"/>
      <c r="K11" s="136"/>
      <c r="L11" s="136"/>
      <c r="M11" s="136"/>
      <c r="N11" s="136"/>
      <c r="O11" s="136"/>
      <c r="P11" s="136"/>
      <c r="Q11" s="136"/>
      <c r="R11" s="136"/>
      <c r="S11" s="136"/>
      <c r="T11" s="136"/>
    </row>
    <row r="12" spans="1:20" customFormat="1">
      <c r="B12" s="63"/>
      <c r="C12" s="63"/>
      <c r="D12" s="7"/>
      <c r="E12" s="7"/>
      <c r="F12" s="7"/>
      <c r="G12" s="7"/>
      <c r="H12" s="7"/>
      <c r="I12" s="7"/>
      <c r="J12" s="7"/>
      <c r="K12" s="7"/>
      <c r="L12" s="7"/>
      <c r="M12" s="7"/>
      <c r="N12" s="7"/>
      <c r="O12" s="7"/>
      <c r="P12" s="7"/>
      <c r="Q12" s="7"/>
      <c r="R12" s="7"/>
      <c r="S12" s="7"/>
      <c r="T12" s="7"/>
    </row>
    <row r="13" spans="1:20" customFormat="1">
      <c r="B13" s="64"/>
      <c r="C13" s="64"/>
      <c r="D13" s="65"/>
      <c r="E13" s="65"/>
      <c r="F13" s="65"/>
      <c r="G13" s="65"/>
      <c r="H13" s="65"/>
      <c r="I13" s="65"/>
      <c r="J13" s="65"/>
      <c r="K13" s="65"/>
      <c r="L13" s="65"/>
      <c r="M13" s="65"/>
      <c r="N13" s="65"/>
      <c r="O13" s="7"/>
      <c r="P13" s="7"/>
      <c r="Q13" s="7"/>
      <c r="R13" s="7"/>
      <c r="S13" s="7"/>
      <c r="T13" s="7"/>
    </row>
    <row r="14" spans="1:20" s="142" customFormat="1">
      <c r="A14" s="136"/>
      <c r="B14" s="136"/>
      <c r="C14" s="136"/>
      <c r="D14" s="163"/>
      <c r="E14" s="136"/>
      <c r="F14" s="43"/>
      <c r="G14" s="136"/>
      <c r="H14" s="136"/>
      <c r="I14" s="136"/>
      <c r="J14" s="136"/>
      <c r="K14" s="136"/>
      <c r="L14" s="136"/>
      <c r="M14" s="136"/>
      <c r="N14" s="136"/>
      <c r="O14" s="136"/>
      <c r="P14" s="136"/>
      <c r="Q14" s="136"/>
      <c r="R14" s="136"/>
      <c r="S14" s="136"/>
      <c r="T14" s="136"/>
    </row>
    <row r="15" spans="1:20" s="137" customFormat="1" ht="18">
      <c r="A15" s="136"/>
      <c r="B15" s="140" t="s">
        <v>2</v>
      </c>
      <c r="D15" s="138"/>
      <c r="F15" s="43"/>
    </row>
    <row r="16" spans="1:20" s="137" customFormat="1">
      <c r="A16" s="136"/>
      <c r="B16" s="136" t="s">
        <v>88</v>
      </c>
      <c r="D16" s="138"/>
      <c r="F16" s="43"/>
    </row>
    <row r="17" spans="1:18" s="142" customFormat="1">
      <c r="A17" s="136"/>
      <c r="B17" s="136" t="s">
        <v>338</v>
      </c>
      <c r="C17" s="136"/>
      <c r="D17" s="163"/>
      <c r="E17" s="136"/>
      <c r="F17" s="43"/>
      <c r="G17" s="136"/>
      <c r="H17" s="136"/>
      <c r="I17" s="136"/>
      <c r="J17" s="136"/>
      <c r="K17" s="136"/>
      <c r="L17" s="136"/>
      <c r="M17" s="136"/>
      <c r="N17" s="136"/>
      <c r="O17" s="136"/>
      <c r="P17" s="136"/>
      <c r="Q17" s="136"/>
      <c r="R17" s="136"/>
    </row>
    <row r="18" spans="1:18" s="142" customFormat="1" ht="15.6">
      <c r="A18" s="136"/>
      <c r="B18" s="136" t="s">
        <v>339</v>
      </c>
      <c r="C18" s="83"/>
      <c r="D18" s="83"/>
      <c r="E18" s="83"/>
      <c r="F18" s="43"/>
      <c r="G18" s="136"/>
      <c r="H18" s="136"/>
      <c r="I18" s="136"/>
      <c r="J18" s="165" t="s">
        <v>3</v>
      </c>
      <c r="K18" s="136"/>
      <c r="L18" s="136"/>
      <c r="M18" s="136"/>
      <c r="N18" s="136"/>
      <c r="O18" s="136"/>
      <c r="P18" s="136"/>
      <c r="Q18" s="136"/>
      <c r="R18" s="136"/>
    </row>
    <row r="19" spans="1:18" s="166" customFormat="1" ht="18">
      <c r="B19" s="167" t="s">
        <v>83</v>
      </c>
      <c r="C19" s="168" t="str">
        <f>cen_atual</f>
        <v>BSC only</v>
      </c>
      <c r="D19" s="140"/>
      <c r="E19" s="140"/>
      <c r="F19" s="169"/>
      <c r="G19" s="140"/>
      <c r="H19" s="170"/>
      <c r="J19" s="171" t="str">
        <f>cen_atual</f>
        <v>BSC only</v>
      </c>
      <c r="K19" s="9"/>
      <c r="L19" s="9"/>
      <c r="M19" s="9"/>
      <c r="N19" s="9"/>
      <c r="O19" s="9"/>
      <c r="P19" s="172"/>
      <c r="Q19" s="9"/>
      <c r="R19" s="9"/>
    </row>
    <row r="20" spans="1:18">
      <c r="A20" s="9"/>
      <c r="B20" s="9"/>
      <c r="C20" s="9"/>
      <c r="D20" s="9"/>
      <c r="E20" s="9"/>
      <c r="F20" s="9"/>
      <c r="G20" s="9"/>
      <c r="H20" s="173"/>
      <c r="I20" s="9"/>
      <c r="J20" s="9"/>
      <c r="K20" s="9"/>
      <c r="L20" s="9"/>
      <c r="M20" s="9"/>
      <c r="N20" s="9"/>
      <c r="O20" s="9"/>
      <c r="Q20" s="9"/>
      <c r="R20" s="9"/>
    </row>
    <row r="21" spans="1:18">
      <c r="A21" s="9"/>
      <c r="B21" s="174" t="s">
        <v>81</v>
      </c>
      <c r="C21" s="174">
        <f>ano_1</f>
        <v>2026</v>
      </c>
      <c r="D21" s="174">
        <f>ano_1+1</f>
        <v>2027</v>
      </c>
      <c r="E21" s="174">
        <f>ano_1+2</f>
        <v>2028</v>
      </c>
      <c r="F21" s="174">
        <f>ano_1+3</f>
        <v>2029</v>
      </c>
      <c r="G21" s="174">
        <f>ano_1+4</f>
        <v>2030</v>
      </c>
      <c r="H21" s="173" t="s">
        <v>93</v>
      </c>
      <c r="I21" s="9"/>
      <c r="J21" s="174">
        <f>ano_1</f>
        <v>2026</v>
      </c>
      <c r="K21" s="174">
        <f>ano_1+1</f>
        <v>2027</v>
      </c>
      <c r="L21" s="174">
        <f>ano_1+2</f>
        <v>2028</v>
      </c>
      <c r="M21" s="174">
        <f>ano_1+3</f>
        <v>2029</v>
      </c>
      <c r="N21" s="174">
        <f>ano_1+4</f>
        <v>2030</v>
      </c>
      <c r="O21" s="9"/>
      <c r="P21" s="174" t="s">
        <v>4</v>
      </c>
      <c r="Q21" s="9"/>
      <c r="R21" s="9"/>
    </row>
    <row r="22" spans="1:18" ht="15" customHeight="1">
      <c r="A22" s="410" t="s">
        <v>91</v>
      </c>
      <c r="B22" s="175" t="str">
        <f>IF(intervencao1=0,"Do not fill this line",intervencao1)</f>
        <v>Drug 1</v>
      </c>
      <c r="C22" s="51">
        <v>0</v>
      </c>
      <c r="D22" s="51">
        <v>0</v>
      </c>
      <c r="E22" s="51">
        <v>0</v>
      </c>
      <c r="F22" s="51">
        <v>0</v>
      </c>
      <c r="G22" s="51">
        <v>0</v>
      </c>
      <c r="H22" s="409" t="s">
        <v>95</v>
      </c>
      <c r="I22" s="9"/>
      <c r="J22" s="164">
        <f>C22*Results!$D$9</f>
        <v>0</v>
      </c>
      <c r="K22" s="164">
        <f>D22*Results!$E$9</f>
        <v>0</v>
      </c>
      <c r="L22" s="164">
        <f>E22*Results!$F$9</f>
        <v>0</v>
      </c>
      <c r="M22" s="164">
        <f>F22*Results!$G$9</f>
        <v>0</v>
      </c>
      <c r="N22" s="164">
        <f>G22*Results!$H$9</f>
        <v>0</v>
      </c>
      <c r="O22" s="9"/>
      <c r="P22" s="176" t="str">
        <f t="shared" ref="P22:P37" si="0">IF(B22="Do not fill this line","Não","Sim")</f>
        <v>Sim</v>
      </c>
      <c r="Q22" s="9"/>
      <c r="R22" s="9"/>
    </row>
    <row r="23" spans="1:18">
      <c r="A23" s="410"/>
      <c r="B23" s="175" t="str">
        <f>IF(intervencao2=0,"Do not fill this line",intervencao2)</f>
        <v>Drug 2</v>
      </c>
      <c r="C23" s="51">
        <v>0</v>
      </c>
      <c r="D23" s="51">
        <v>0</v>
      </c>
      <c r="E23" s="51">
        <v>0</v>
      </c>
      <c r="F23" s="51">
        <v>0</v>
      </c>
      <c r="G23" s="51">
        <v>0</v>
      </c>
      <c r="H23" s="409"/>
      <c r="I23" s="9"/>
      <c r="J23" s="164">
        <f>C23*Results!$D$9</f>
        <v>0</v>
      </c>
      <c r="K23" s="164">
        <f>D23*Results!$E$9</f>
        <v>0</v>
      </c>
      <c r="L23" s="164">
        <f>E23*Results!$F$9</f>
        <v>0</v>
      </c>
      <c r="M23" s="164">
        <f>F23*Results!$G$9</f>
        <v>0</v>
      </c>
      <c r="N23" s="164">
        <f>G23*Results!$H$9</f>
        <v>0</v>
      </c>
      <c r="O23" s="9"/>
      <c r="P23" s="176" t="str">
        <f t="shared" si="0"/>
        <v>Sim</v>
      </c>
      <c r="Q23" s="9"/>
      <c r="R23" s="9"/>
    </row>
    <row r="24" spans="1:18">
      <c r="A24" s="410"/>
      <c r="B24" s="175" t="str">
        <f>IF(intervencao3=0,"Do not fill this line",intervencao3)</f>
        <v>Do not fill this line</v>
      </c>
      <c r="C24" s="51">
        <v>0</v>
      </c>
      <c r="D24" s="51">
        <v>0</v>
      </c>
      <c r="E24" s="51">
        <v>0</v>
      </c>
      <c r="F24" s="51">
        <v>0</v>
      </c>
      <c r="G24" s="51">
        <v>0</v>
      </c>
      <c r="H24" s="409"/>
      <c r="I24" s="9"/>
      <c r="J24" s="164">
        <f>C24*Results!$D$9</f>
        <v>0</v>
      </c>
      <c r="K24" s="164">
        <f>D24*Results!$E$9</f>
        <v>0</v>
      </c>
      <c r="L24" s="164">
        <f>E24*Results!$F$9</f>
        <v>0</v>
      </c>
      <c r="M24" s="164">
        <f>F24*Results!$G$9</f>
        <v>0</v>
      </c>
      <c r="N24" s="164">
        <f>G24*Results!$H$9</f>
        <v>0</v>
      </c>
      <c r="O24" s="9"/>
      <c r="P24" s="176" t="str">
        <f t="shared" si="0"/>
        <v>Não</v>
      </c>
      <c r="Q24" s="9"/>
      <c r="R24" s="9"/>
    </row>
    <row r="25" spans="1:18">
      <c r="A25" s="410"/>
      <c r="B25" s="175" t="str">
        <f>IF(intervencao4=0,"Do not fill this line",intervencao4)</f>
        <v>Do not fill this line</v>
      </c>
      <c r="C25" s="51">
        <v>0</v>
      </c>
      <c r="D25" s="51">
        <v>0</v>
      </c>
      <c r="E25" s="51">
        <v>0</v>
      </c>
      <c r="F25" s="51">
        <v>0</v>
      </c>
      <c r="G25" s="51">
        <v>0</v>
      </c>
      <c r="H25" s="409"/>
      <c r="I25" s="9"/>
      <c r="J25" s="164">
        <f>C25*Results!$D$9</f>
        <v>0</v>
      </c>
      <c r="K25" s="164">
        <f>D25*Results!$E$9</f>
        <v>0</v>
      </c>
      <c r="L25" s="164">
        <f>E25*Results!$F$9</f>
        <v>0</v>
      </c>
      <c r="M25" s="164">
        <f>F25*Results!$G$9</f>
        <v>0</v>
      </c>
      <c r="N25" s="164">
        <f>G25*Results!$H$9</f>
        <v>0</v>
      </c>
      <c r="O25" s="9"/>
      <c r="P25" s="176" t="str">
        <f t="shared" si="0"/>
        <v>Não</v>
      </c>
      <c r="Q25" s="9"/>
      <c r="R25" s="9"/>
    </row>
    <row r="26" spans="1:18" ht="15" customHeight="1">
      <c r="A26" s="411" t="s">
        <v>92</v>
      </c>
      <c r="B26" s="11" t="str">
        <f>IF(comparador1=0,"Do not fill this line",comparador1)</f>
        <v>BSC</v>
      </c>
      <c r="C26" s="385">
        <v>1</v>
      </c>
      <c r="D26" s="385">
        <v>1</v>
      </c>
      <c r="E26" s="385">
        <v>1</v>
      </c>
      <c r="F26" s="385">
        <v>1</v>
      </c>
      <c r="G26" s="385">
        <v>1</v>
      </c>
      <c r="H26" s="173"/>
      <c r="I26" s="9"/>
      <c r="J26" s="164">
        <f>C26*Results!$D$9</f>
        <v>684.99247650000007</v>
      </c>
      <c r="K26" s="164">
        <f>D26*Results!$E$9</f>
        <v>690.371840625</v>
      </c>
      <c r="L26" s="164">
        <f>E26*Results!$F$9</f>
        <v>695.59661162500004</v>
      </c>
      <c r="M26" s="164">
        <f>F26*Results!$G$9</f>
        <v>700.84444662500005</v>
      </c>
      <c r="N26" s="164">
        <f>G26*Results!$H$9</f>
        <v>706.19335325000009</v>
      </c>
      <c r="O26" s="9"/>
      <c r="P26" s="176" t="str">
        <f t="shared" si="0"/>
        <v>Sim</v>
      </c>
      <c r="Q26" s="9"/>
      <c r="R26" s="9"/>
    </row>
    <row r="27" spans="1:18">
      <c r="A27" s="411"/>
      <c r="B27" s="11" t="str">
        <f>IF(comparador2=0,"Do not fill this line",comparador2)</f>
        <v>Do not fill this line</v>
      </c>
      <c r="C27" s="385"/>
      <c r="D27" s="385"/>
      <c r="E27" s="385"/>
      <c r="F27" s="385"/>
      <c r="G27" s="385"/>
      <c r="H27" s="177"/>
      <c r="I27" s="9"/>
      <c r="J27" s="164">
        <f>C27*Results!$D$9</f>
        <v>0</v>
      </c>
      <c r="K27" s="164">
        <f>D27*Results!$E$9</f>
        <v>0</v>
      </c>
      <c r="L27" s="164">
        <f>E27*Results!$F$9</f>
        <v>0</v>
      </c>
      <c r="M27" s="164">
        <f>F27*Results!$G$9</f>
        <v>0</v>
      </c>
      <c r="N27" s="164">
        <f>G27*Results!$H$9</f>
        <v>0</v>
      </c>
      <c r="O27" s="9"/>
      <c r="P27" s="176" t="str">
        <f t="shared" si="0"/>
        <v>Não</v>
      </c>
      <c r="Q27" s="9"/>
      <c r="R27" s="9"/>
    </row>
    <row r="28" spans="1:18">
      <c r="A28" s="411"/>
      <c r="B28" s="11" t="str">
        <f>IF(comparador3=0,"Do not fill this line",comparador3)</f>
        <v>Do not fill this line</v>
      </c>
      <c r="C28" s="385"/>
      <c r="D28" s="385"/>
      <c r="E28" s="385"/>
      <c r="F28" s="385"/>
      <c r="G28" s="385"/>
      <c r="H28" s="173"/>
      <c r="I28" s="9"/>
      <c r="J28" s="164">
        <f>C28*Results!$D$9</f>
        <v>0</v>
      </c>
      <c r="K28" s="164">
        <f>D28*Results!$E$9</f>
        <v>0</v>
      </c>
      <c r="L28" s="164">
        <f>E28*Results!$F$9</f>
        <v>0</v>
      </c>
      <c r="M28" s="164">
        <f>F28*Results!$G$9</f>
        <v>0</v>
      </c>
      <c r="N28" s="164">
        <f>G28*Results!$H$9</f>
        <v>0</v>
      </c>
      <c r="O28" s="9"/>
      <c r="P28" s="176" t="str">
        <f t="shared" si="0"/>
        <v>Não</v>
      </c>
      <c r="Q28" s="9"/>
      <c r="R28" s="9"/>
    </row>
    <row r="29" spans="1:18">
      <c r="A29" s="411"/>
      <c r="B29" s="11" t="str">
        <f>IF(comparador4=0,"Do not fill this line",comparador4)</f>
        <v>Do not fill this line</v>
      </c>
      <c r="C29" s="385"/>
      <c r="D29" s="385"/>
      <c r="E29" s="385"/>
      <c r="F29" s="385"/>
      <c r="G29" s="385"/>
      <c r="H29" s="173"/>
      <c r="I29" s="9"/>
      <c r="J29" s="164">
        <f>C29*Results!$D$9</f>
        <v>0</v>
      </c>
      <c r="K29" s="164">
        <f>D29*Results!$E$9</f>
        <v>0</v>
      </c>
      <c r="L29" s="164">
        <f>E29*Results!$F$9</f>
        <v>0</v>
      </c>
      <c r="M29" s="164">
        <f>F29*Results!$G$9</f>
        <v>0</v>
      </c>
      <c r="N29" s="164">
        <f>G29*Results!$H$9</f>
        <v>0</v>
      </c>
      <c r="O29" s="9"/>
      <c r="P29" s="176" t="str">
        <f t="shared" si="0"/>
        <v>Não</v>
      </c>
      <c r="Q29" s="9"/>
      <c r="R29" s="9"/>
    </row>
    <row r="30" spans="1:18">
      <c r="A30" s="411"/>
      <c r="B30" s="11" t="str">
        <f>IF(comparador5=0,"Do not fill this line",comparador5)</f>
        <v>Do not fill this line</v>
      </c>
      <c r="C30" s="385"/>
      <c r="D30" s="385"/>
      <c r="E30" s="385"/>
      <c r="F30" s="385"/>
      <c r="G30" s="385"/>
      <c r="H30" s="173"/>
      <c r="I30" s="9"/>
      <c r="J30" s="164">
        <f>C30*Results!$D$9</f>
        <v>0</v>
      </c>
      <c r="K30" s="164">
        <f>D30*Results!$E$9</f>
        <v>0</v>
      </c>
      <c r="L30" s="164">
        <f>E30*Results!$F$9</f>
        <v>0</v>
      </c>
      <c r="M30" s="164">
        <f>F30*Results!$G$9</f>
        <v>0</v>
      </c>
      <c r="N30" s="164">
        <f>G30*Results!$H$9</f>
        <v>0</v>
      </c>
      <c r="O30" s="9"/>
      <c r="P30" s="176" t="str">
        <f t="shared" si="0"/>
        <v>Não</v>
      </c>
      <c r="Q30" s="9"/>
      <c r="R30" s="9"/>
    </row>
    <row r="31" spans="1:18">
      <c r="A31" s="411"/>
      <c r="B31" s="11" t="str">
        <f>IF(comparador6=0,"Do not fill this line",comparador6)</f>
        <v>Do not fill this line</v>
      </c>
      <c r="C31" s="385"/>
      <c r="D31" s="385"/>
      <c r="E31" s="385"/>
      <c r="F31" s="385"/>
      <c r="G31" s="385"/>
      <c r="H31" s="173"/>
      <c r="I31" s="9"/>
      <c r="J31" s="164">
        <f>C31*Results!$D$9</f>
        <v>0</v>
      </c>
      <c r="K31" s="164">
        <f>D31*Results!$E$9</f>
        <v>0</v>
      </c>
      <c r="L31" s="164">
        <f>E31*Results!$F$9</f>
        <v>0</v>
      </c>
      <c r="M31" s="164">
        <f>F31*Results!$G$9</f>
        <v>0</v>
      </c>
      <c r="N31" s="164">
        <f>G31*Results!$H$9</f>
        <v>0</v>
      </c>
      <c r="O31" s="9"/>
      <c r="P31" s="176" t="str">
        <f t="shared" si="0"/>
        <v>Não</v>
      </c>
      <c r="Q31" s="9"/>
      <c r="R31" s="9"/>
    </row>
    <row r="32" spans="1:18">
      <c r="A32" s="411"/>
      <c r="B32" s="11" t="str">
        <f>IF(comparador7=0,"Do not fill this line",comparador7)</f>
        <v>Do not fill this line</v>
      </c>
      <c r="C32" s="385"/>
      <c r="D32" s="385"/>
      <c r="E32" s="385"/>
      <c r="F32" s="385"/>
      <c r="G32" s="385"/>
      <c r="H32" s="173"/>
      <c r="I32" s="9"/>
      <c r="J32" s="164">
        <f>C32*Results!$D$9</f>
        <v>0</v>
      </c>
      <c r="K32" s="164">
        <f>D32*Results!$E$9</f>
        <v>0</v>
      </c>
      <c r="L32" s="164">
        <f>E32*Results!$F$9</f>
        <v>0</v>
      </c>
      <c r="M32" s="164">
        <f>F32*Results!$G$9</f>
        <v>0</v>
      </c>
      <c r="N32" s="164">
        <f>G32*Results!$H$9</f>
        <v>0</v>
      </c>
      <c r="O32" s="9"/>
      <c r="P32" s="176" t="str">
        <f t="shared" si="0"/>
        <v>Não</v>
      </c>
      <c r="Q32" s="9"/>
      <c r="R32" s="9"/>
    </row>
    <row r="33" spans="1:18">
      <c r="A33" s="411"/>
      <c r="B33" s="11" t="str">
        <f>IF(comparador8=0,"Do not fill this line",comparador8)</f>
        <v>Do not fill this line</v>
      </c>
      <c r="C33" s="385"/>
      <c r="D33" s="385"/>
      <c r="E33" s="385"/>
      <c r="F33" s="385"/>
      <c r="G33" s="385"/>
      <c r="H33" s="173"/>
      <c r="I33" s="9"/>
      <c r="J33" s="164">
        <f>C33*Results!$D$9</f>
        <v>0</v>
      </c>
      <c r="K33" s="164">
        <f>D33*Results!$E$9</f>
        <v>0</v>
      </c>
      <c r="L33" s="164">
        <f>E33*Results!$F$9</f>
        <v>0</v>
      </c>
      <c r="M33" s="164">
        <f>F33*Results!$G$9</f>
        <v>0</v>
      </c>
      <c r="N33" s="164">
        <f>G33*Results!$H$9</f>
        <v>0</v>
      </c>
      <c r="O33" s="9"/>
      <c r="P33" s="176" t="str">
        <f t="shared" si="0"/>
        <v>Não</v>
      </c>
      <c r="Q33" s="9"/>
      <c r="R33" s="9"/>
    </row>
    <row r="34" spans="1:18">
      <c r="A34" s="411"/>
      <c r="B34" s="11" t="str">
        <f>IF(comparador9=0,"Do not fill this line",comparador9)</f>
        <v>Do not fill this line</v>
      </c>
      <c r="C34" s="385"/>
      <c r="D34" s="385"/>
      <c r="E34" s="385"/>
      <c r="F34" s="385"/>
      <c r="G34" s="385"/>
      <c r="H34" s="173"/>
      <c r="I34" s="9"/>
      <c r="J34" s="164">
        <f>C34*Results!$D$9</f>
        <v>0</v>
      </c>
      <c r="K34" s="164">
        <f>D34*Results!$E$9</f>
        <v>0</v>
      </c>
      <c r="L34" s="164">
        <f>E34*Results!$F$9</f>
        <v>0</v>
      </c>
      <c r="M34" s="164">
        <f>F34*Results!$G$9</f>
        <v>0</v>
      </c>
      <c r="N34" s="164">
        <f>G34*Results!$H$9</f>
        <v>0</v>
      </c>
      <c r="O34" s="9"/>
      <c r="P34" s="176" t="str">
        <f t="shared" si="0"/>
        <v>Não</v>
      </c>
      <c r="Q34" s="9"/>
      <c r="R34" s="9"/>
    </row>
    <row r="35" spans="1:18" ht="15" customHeight="1">
      <c r="A35" s="411"/>
      <c r="B35" s="11" t="str">
        <f>IF(comparador10=0,"Do not fill this line",comparador10)</f>
        <v>Do not fill this line</v>
      </c>
      <c r="C35" s="50"/>
      <c r="D35" s="50"/>
      <c r="E35" s="50"/>
      <c r="F35" s="50"/>
      <c r="G35" s="50"/>
      <c r="H35" s="173"/>
      <c r="I35" s="9"/>
      <c r="J35" s="164">
        <f>C35*Results!$D$9</f>
        <v>0</v>
      </c>
      <c r="K35" s="164">
        <f>D35*Results!$E$9</f>
        <v>0</v>
      </c>
      <c r="L35" s="164">
        <f>E35*Results!$F$9</f>
        <v>0</v>
      </c>
      <c r="M35" s="164">
        <f>F35*Results!$G$9</f>
        <v>0</v>
      </c>
      <c r="N35" s="164">
        <f>G35*Results!$H$9</f>
        <v>0</v>
      </c>
      <c r="O35" s="9"/>
      <c r="P35" s="176" t="str">
        <f t="shared" si="0"/>
        <v>Não</v>
      </c>
      <c r="Q35" s="9"/>
      <c r="R35" s="9"/>
    </row>
    <row r="36" spans="1:18">
      <c r="A36" s="9"/>
      <c r="B36" s="9"/>
      <c r="C36" s="178">
        <f>SUM(C22:C35)</f>
        <v>1</v>
      </c>
      <c r="D36" s="178">
        <f t="shared" ref="D36:G36" si="1">SUM(D22:D35)</f>
        <v>1</v>
      </c>
      <c r="E36" s="178">
        <f t="shared" si="1"/>
        <v>1</v>
      </c>
      <c r="F36" s="178">
        <f t="shared" si="1"/>
        <v>1</v>
      </c>
      <c r="G36" s="178">
        <f t="shared" si="1"/>
        <v>1</v>
      </c>
      <c r="H36" s="173"/>
      <c r="I36" s="9"/>
      <c r="J36" s="9"/>
      <c r="K36" s="9"/>
      <c r="L36" s="9"/>
      <c r="M36" s="9"/>
      <c r="N36" s="9"/>
      <c r="O36" s="9"/>
      <c r="P36" s="176" t="str">
        <f t="shared" si="0"/>
        <v>Sim</v>
      </c>
      <c r="Q36" s="9"/>
      <c r="R36" s="9"/>
    </row>
    <row r="37" spans="1:18" ht="15.6">
      <c r="A37" s="9"/>
      <c r="B37" s="9"/>
      <c r="C37" s="179" t="str">
        <f>IF(C36=1,"ok","check")</f>
        <v>ok</v>
      </c>
      <c r="D37" s="179" t="str">
        <f>IF(D36=1,"ok","check")</f>
        <v>ok</v>
      </c>
      <c r="E37" s="179" t="str">
        <f>IF(E36=1,"ok","check")</f>
        <v>ok</v>
      </c>
      <c r="F37" s="179" t="str">
        <f>IF(F36=1,"ok","check")</f>
        <v>ok</v>
      </c>
      <c r="G37" s="179" t="str">
        <f>IF(G36=1,"ok","check")</f>
        <v>ok</v>
      </c>
      <c r="H37" s="173" t="s">
        <v>94</v>
      </c>
      <c r="I37" s="9"/>
      <c r="J37" s="165" t="s">
        <v>3</v>
      </c>
      <c r="K37" s="9"/>
      <c r="L37" s="9"/>
      <c r="M37" s="9"/>
      <c r="N37" s="9"/>
      <c r="O37" s="9"/>
      <c r="P37" s="176" t="str">
        <f t="shared" si="0"/>
        <v>Sim</v>
      </c>
      <c r="Q37" s="9"/>
      <c r="R37" s="9"/>
    </row>
    <row r="38" spans="1:18" ht="15.6">
      <c r="A38" s="9"/>
      <c r="B38" s="9"/>
      <c r="C38" s="179"/>
      <c r="D38" s="179"/>
      <c r="E38" s="179"/>
      <c r="F38" s="179"/>
      <c r="G38" s="179"/>
      <c r="H38" s="173"/>
      <c r="I38" s="9"/>
      <c r="J38" s="165"/>
      <c r="K38" s="9"/>
      <c r="L38" s="9"/>
      <c r="M38" s="9"/>
      <c r="N38" s="9"/>
      <c r="O38" s="9"/>
      <c r="P38" s="176"/>
      <c r="Q38" s="9"/>
      <c r="R38" s="9"/>
    </row>
    <row r="39" spans="1:18" s="166" customFormat="1" ht="18">
      <c r="B39" s="167" t="s">
        <v>82</v>
      </c>
      <c r="C39" s="168" t="str">
        <f>cen_prop1</f>
        <v>Drug 1 only</v>
      </c>
      <c r="D39" s="168"/>
      <c r="E39" s="168"/>
      <c r="F39" s="168"/>
      <c r="G39" s="168"/>
      <c r="H39" s="170"/>
      <c r="J39" s="171" t="str">
        <f>cen_prop1</f>
        <v>Drug 1 only</v>
      </c>
      <c r="K39" s="9"/>
      <c r="L39" s="9"/>
      <c r="M39" s="9"/>
      <c r="N39" s="9"/>
      <c r="O39" s="9"/>
      <c r="P39" s="176" t="str">
        <f t="shared" ref="P39:P57" si="2">IF(B39="Do not fill this line","Não","Sim")</f>
        <v>Sim</v>
      </c>
      <c r="Q39" s="9"/>
      <c r="R39" s="9"/>
    </row>
    <row r="40" spans="1:18">
      <c r="A40" s="9"/>
      <c r="B40" s="9"/>
      <c r="C40" s="9"/>
      <c r="D40" s="9"/>
      <c r="E40" s="9"/>
      <c r="F40" s="9"/>
      <c r="G40" s="9"/>
      <c r="H40" s="173"/>
      <c r="I40" s="9"/>
      <c r="J40" s="9"/>
      <c r="K40" s="9"/>
      <c r="L40" s="9"/>
      <c r="M40" s="9"/>
      <c r="N40" s="9"/>
      <c r="O40" s="9"/>
      <c r="P40" s="176" t="str">
        <f t="shared" si="2"/>
        <v>Sim</v>
      </c>
      <c r="Q40" s="9"/>
      <c r="R40" s="9"/>
    </row>
    <row r="41" spans="1:18">
      <c r="A41" s="9"/>
      <c r="B41" s="174" t="s">
        <v>81</v>
      </c>
      <c r="C41" s="174">
        <f>ano_1</f>
        <v>2026</v>
      </c>
      <c r="D41" s="174">
        <f>ano_1+1</f>
        <v>2027</v>
      </c>
      <c r="E41" s="174">
        <f>ano_1+2</f>
        <v>2028</v>
      </c>
      <c r="F41" s="174">
        <f>ano_1+3</f>
        <v>2029</v>
      </c>
      <c r="G41" s="174">
        <f>ano_1+4</f>
        <v>2030</v>
      </c>
      <c r="H41" s="173" t="s">
        <v>93</v>
      </c>
      <c r="I41" s="9"/>
      <c r="J41" s="174">
        <f>ano_1</f>
        <v>2026</v>
      </c>
      <c r="K41" s="174">
        <f>ano_1+1</f>
        <v>2027</v>
      </c>
      <c r="L41" s="174">
        <f>ano_1+2</f>
        <v>2028</v>
      </c>
      <c r="M41" s="174">
        <f>ano_1+3</f>
        <v>2029</v>
      </c>
      <c r="N41" s="174">
        <f>ano_1+4</f>
        <v>2030</v>
      </c>
      <c r="O41" s="9"/>
      <c r="P41" s="176" t="str">
        <f t="shared" si="2"/>
        <v>Sim</v>
      </c>
      <c r="Q41" s="9"/>
      <c r="R41" s="9"/>
    </row>
    <row r="42" spans="1:18" ht="15" customHeight="1">
      <c r="A42" s="410" t="s">
        <v>91</v>
      </c>
      <c r="B42" s="175" t="str">
        <f>IF(intervencao1=0,"Do not fill this line",intervencao1)</f>
        <v>Drug 1</v>
      </c>
      <c r="C42" s="385">
        <v>0.05</v>
      </c>
      <c r="D42" s="385">
        <v>0.1</v>
      </c>
      <c r="E42" s="385">
        <v>0.15</v>
      </c>
      <c r="F42" s="385">
        <v>0.2</v>
      </c>
      <c r="G42" s="385">
        <v>0.25</v>
      </c>
      <c r="H42" s="173"/>
      <c r="I42" s="9"/>
      <c r="J42" s="164">
        <f>C42*Results!$D$9</f>
        <v>34.249623825000008</v>
      </c>
      <c r="K42" s="164">
        <f>D42*Results!$E$9</f>
        <v>69.037184062500003</v>
      </c>
      <c r="L42" s="164">
        <f>E42*Results!$F$9</f>
        <v>104.33949174375</v>
      </c>
      <c r="M42" s="164">
        <f>F42*Results!$G$9</f>
        <v>140.16888932500001</v>
      </c>
      <c r="N42" s="164">
        <f>G42*Results!$H$9</f>
        <v>176.54833831250002</v>
      </c>
      <c r="O42" s="9"/>
      <c r="P42" s="176" t="str">
        <f t="shared" si="2"/>
        <v>Sim</v>
      </c>
      <c r="Q42" s="9"/>
      <c r="R42" s="9"/>
    </row>
    <row r="43" spans="1:18">
      <c r="A43" s="410"/>
      <c r="B43" s="175" t="str">
        <f>IF(intervencao2=0,"Do not fill this line",intervencao2)</f>
        <v>Drug 2</v>
      </c>
      <c r="C43" s="385">
        <v>0</v>
      </c>
      <c r="D43" s="385">
        <v>0</v>
      </c>
      <c r="E43" s="385">
        <v>0</v>
      </c>
      <c r="F43" s="385">
        <v>0</v>
      </c>
      <c r="G43" s="385">
        <v>0</v>
      </c>
      <c r="H43" s="173"/>
      <c r="I43" s="9"/>
      <c r="J43" s="164">
        <f>C43*Results!$D$9</f>
        <v>0</v>
      </c>
      <c r="K43" s="164">
        <f>D43*Results!$E$9</f>
        <v>0</v>
      </c>
      <c r="L43" s="164">
        <f>E43*Results!$F$9</f>
        <v>0</v>
      </c>
      <c r="M43" s="164">
        <f>F43*Results!$G$9</f>
        <v>0</v>
      </c>
      <c r="N43" s="164">
        <f>G43*Results!$H$9</f>
        <v>0</v>
      </c>
      <c r="O43" s="9"/>
      <c r="P43" s="176" t="str">
        <f t="shared" si="2"/>
        <v>Sim</v>
      </c>
      <c r="Q43" s="9"/>
      <c r="R43" s="9"/>
    </row>
    <row r="44" spans="1:18">
      <c r="A44" s="410"/>
      <c r="B44" s="175" t="str">
        <f>IF(intervencao3=0,"Do not fill this line",intervencao3)</f>
        <v>Do not fill this line</v>
      </c>
      <c r="C44" s="385"/>
      <c r="D44" s="385"/>
      <c r="E44" s="385"/>
      <c r="F44" s="385"/>
      <c r="G44" s="385"/>
      <c r="H44" s="173"/>
      <c r="I44" s="9"/>
      <c r="J44" s="164">
        <f>C44*Results!$D$9</f>
        <v>0</v>
      </c>
      <c r="K44" s="164">
        <f>D44*Results!$E$9</f>
        <v>0</v>
      </c>
      <c r="L44" s="164">
        <f>E44*Results!$F$9</f>
        <v>0</v>
      </c>
      <c r="M44" s="164">
        <f>F44*Results!$G$9</f>
        <v>0</v>
      </c>
      <c r="N44" s="164">
        <f>G44*Results!$H$9</f>
        <v>0</v>
      </c>
      <c r="O44" s="9"/>
      <c r="P44" s="176" t="str">
        <f t="shared" si="2"/>
        <v>Não</v>
      </c>
      <c r="Q44" s="9"/>
      <c r="R44" s="9"/>
    </row>
    <row r="45" spans="1:18">
      <c r="A45" s="410"/>
      <c r="B45" s="175" t="str">
        <f>IF(intervencao4=0,"Do not fill this line",intervencao4)</f>
        <v>Do not fill this line</v>
      </c>
      <c r="C45" s="385"/>
      <c r="D45" s="385"/>
      <c r="E45" s="385"/>
      <c r="F45" s="385"/>
      <c r="G45" s="385"/>
      <c r="H45" s="173"/>
      <c r="I45" s="9"/>
      <c r="J45" s="164">
        <f>C45*Results!$D$9</f>
        <v>0</v>
      </c>
      <c r="K45" s="164">
        <f>D45*Results!$E$9</f>
        <v>0</v>
      </c>
      <c r="L45" s="164">
        <f>E45*Results!$F$9</f>
        <v>0</v>
      </c>
      <c r="M45" s="164">
        <f>F45*Results!$G$9</f>
        <v>0</v>
      </c>
      <c r="N45" s="164">
        <f>G45*Results!$H$9</f>
        <v>0</v>
      </c>
      <c r="O45" s="9"/>
      <c r="P45" s="176" t="str">
        <f t="shared" si="2"/>
        <v>Não</v>
      </c>
      <c r="Q45" s="9"/>
      <c r="R45" s="9"/>
    </row>
    <row r="46" spans="1:18" s="180" customFormat="1" ht="15" customHeight="1">
      <c r="A46" s="411" t="s">
        <v>92</v>
      </c>
      <c r="B46" s="11" t="str">
        <f>IF(comparador1=0,"Do not fill this line",comparador1)</f>
        <v>BSC</v>
      </c>
      <c r="C46" s="385">
        <v>0.95</v>
      </c>
      <c r="D46" s="385">
        <v>0.9</v>
      </c>
      <c r="E46" s="385">
        <v>0.85</v>
      </c>
      <c r="F46" s="385">
        <v>0.8</v>
      </c>
      <c r="G46" s="385">
        <v>0.75</v>
      </c>
      <c r="H46" s="173"/>
      <c r="I46" s="7"/>
      <c r="J46" s="164">
        <f>C46*Results!$D$9</f>
        <v>650.74285267499999</v>
      </c>
      <c r="K46" s="164">
        <f>D46*Results!$E$9</f>
        <v>621.33465656250007</v>
      </c>
      <c r="L46" s="164">
        <f>E46*Results!$F$9</f>
        <v>591.25711988124999</v>
      </c>
      <c r="M46" s="164">
        <f>F46*Results!$G$9</f>
        <v>560.67555730000004</v>
      </c>
      <c r="N46" s="164">
        <f>G46*Results!$H$9</f>
        <v>529.64501493750004</v>
      </c>
      <c r="O46" s="7"/>
      <c r="P46" s="176" t="str">
        <f t="shared" si="2"/>
        <v>Sim</v>
      </c>
      <c r="Q46" s="7"/>
      <c r="R46" s="7"/>
    </row>
    <row r="47" spans="1:18" s="180" customFormat="1">
      <c r="A47" s="411"/>
      <c r="B47" s="11" t="str">
        <f>IF(comparador2=0,"Do not fill this line",comparador2)</f>
        <v>Do not fill this line</v>
      </c>
      <c r="C47" s="385"/>
      <c r="D47" s="385"/>
      <c r="E47" s="385"/>
      <c r="F47" s="385"/>
      <c r="G47" s="385"/>
      <c r="H47" s="177"/>
      <c r="I47" s="7"/>
      <c r="J47" s="164">
        <f>C47*Results!$D$9</f>
        <v>0</v>
      </c>
      <c r="K47" s="164">
        <f>D47*Results!$E$9</f>
        <v>0</v>
      </c>
      <c r="L47" s="164">
        <f>E47*Results!$F$9</f>
        <v>0</v>
      </c>
      <c r="M47" s="164">
        <f>F47*Results!$G$9</f>
        <v>0</v>
      </c>
      <c r="N47" s="164">
        <f>G47*Results!$H$9</f>
        <v>0</v>
      </c>
      <c r="O47" s="7"/>
      <c r="P47" s="176" t="str">
        <f t="shared" si="2"/>
        <v>Não</v>
      </c>
      <c r="Q47" s="7"/>
      <c r="R47" s="7"/>
    </row>
    <row r="48" spans="1:18">
      <c r="A48" s="411"/>
      <c r="B48" s="11" t="str">
        <f>IF(comparador3=0,"Do not fill this line",comparador3)</f>
        <v>Do not fill this line</v>
      </c>
      <c r="C48" s="385"/>
      <c r="D48" s="385"/>
      <c r="E48" s="385"/>
      <c r="F48" s="385"/>
      <c r="G48" s="385"/>
      <c r="H48" s="173"/>
      <c r="I48" s="9"/>
      <c r="J48" s="164">
        <f>C48*Results!$D$9</f>
        <v>0</v>
      </c>
      <c r="K48" s="164">
        <f>D48*Results!$E$9</f>
        <v>0</v>
      </c>
      <c r="L48" s="164">
        <f>E48*Results!$F$9</f>
        <v>0</v>
      </c>
      <c r="M48" s="164">
        <f>F48*Results!$G$9</f>
        <v>0</v>
      </c>
      <c r="N48" s="164">
        <f>G48*Results!$H$9</f>
        <v>0</v>
      </c>
      <c r="O48" s="9"/>
      <c r="P48" s="176" t="str">
        <f t="shared" si="2"/>
        <v>Não</v>
      </c>
      <c r="Q48" s="9"/>
      <c r="R48" s="9"/>
    </row>
    <row r="49" spans="1:18">
      <c r="A49" s="411"/>
      <c r="B49" s="11" t="str">
        <f>IF(comparador4=0,"Do not fill this line",comparador4)</f>
        <v>Do not fill this line</v>
      </c>
      <c r="C49" s="385"/>
      <c r="D49" s="385"/>
      <c r="E49" s="385"/>
      <c r="F49" s="385"/>
      <c r="G49" s="385"/>
      <c r="H49" s="173"/>
      <c r="I49" s="9"/>
      <c r="J49" s="164">
        <f>C49*Results!$D$9</f>
        <v>0</v>
      </c>
      <c r="K49" s="164">
        <f>D49*Results!$E$9</f>
        <v>0</v>
      </c>
      <c r="L49" s="164">
        <f>E49*Results!$F$9</f>
        <v>0</v>
      </c>
      <c r="M49" s="164">
        <f>F49*Results!$G$9</f>
        <v>0</v>
      </c>
      <c r="N49" s="164">
        <f>G49*Results!$H$9</f>
        <v>0</v>
      </c>
      <c r="O49" s="9"/>
      <c r="P49" s="176" t="str">
        <f t="shared" si="2"/>
        <v>Não</v>
      </c>
      <c r="Q49" s="9"/>
      <c r="R49" s="9"/>
    </row>
    <row r="50" spans="1:18">
      <c r="A50" s="411"/>
      <c r="B50" s="11" t="str">
        <f>IF(comparador5=0,"Do not fill this line",comparador5)</f>
        <v>Do not fill this line</v>
      </c>
      <c r="C50" s="385"/>
      <c r="D50" s="385"/>
      <c r="E50" s="385"/>
      <c r="F50" s="385"/>
      <c r="G50" s="385"/>
      <c r="H50" s="173"/>
      <c r="I50" s="9"/>
      <c r="J50" s="164">
        <f>C50*Results!$D$9</f>
        <v>0</v>
      </c>
      <c r="K50" s="164">
        <f>D50*Results!$E$9</f>
        <v>0</v>
      </c>
      <c r="L50" s="164">
        <f>E50*Results!$F$9</f>
        <v>0</v>
      </c>
      <c r="M50" s="164">
        <f>F50*Results!$G$9</f>
        <v>0</v>
      </c>
      <c r="N50" s="164">
        <f>G50*Results!$H$9</f>
        <v>0</v>
      </c>
      <c r="O50" s="9"/>
      <c r="P50" s="176" t="str">
        <f t="shared" si="2"/>
        <v>Não</v>
      </c>
      <c r="Q50" s="9"/>
      <c r="R50" s="9"/>
    </row>
    <row r="51" spans="1:18">
      <c r="A51" s="411"/>
      <c r="B51" s="11" t="str">
        <f>IF(comparador6=0,"Do not fill this line",comparador6)</f>
        <v>Do not fill this line</v>
      </c>
      <c r="C51" s="385"/>
      <c r="D51" s="385"/>
      <c r="E51" s="385"/>
      <c r="F51" s="385"/>
      <c r="G51" s="385"/>
      <c r="H51" s="173"/>
      <c r="I51" s="9"/>
      <c r="J51" s="164">
        <f>C51*Results!$D$9</f>
        <v>0</v>
      </c>
      <c r="K51" s="164">
        <f>D51*Results!$E$9</f>
        <v>0</v>
      </c>
      <c r="L51" s="164">
        <f>E51*Results!$F$9</f>
        <v>0</v>
      </c>
      <c r="M51" s="164">
        <f>F51*Results!$G$9</f>
        <v>0</v>
      </c>
      <c r="N51" s="164">
        <f>G51*Results!$H$9</f>
        <v>0</v>
      </c>
      <c r="O51" s="9"/>
      <c r="P51" s="176" t="str">
        <f t="shared" si="2"/>
        <v>Não</v>
      </c>
      <c r="Q51" s="9"/>
      <c r="R51" s="9"/>
    </row>
    <row r="52" spans="1:18">
      <c r="A52" s="411"/>
      <c r="B52" s="11" t="str">
        <f>IF(comparador7=0,"Do not fill this line",comparador7)</f>
        <v>Do not fill this line</v>
      </c>
      <c r="C52" s="385"/>
      <c r="D52" s="385"/>
      <c r="E52" s="385"/>
      <c r="F52" s="385"/>
      <c r="G52" s="385"/>
      <c r="H52" s="173"/>
      <c r="I52" s="9"/>
      <c r="J52" s="164">
        <f>C52*Results!$D$9</f>
        <v>0</v>
      </c>
      <c r="K52" s="164">
        <f>D52*Results!$E$9</f>
        <v>0</v>
      </c>
      <c r="L52" s="164">
        <f>E52*Results!$F$9</f>
        <v>0</v>
      </c>
      <c r="M52" s="164">
        <f>F52*Results!$G$9</f>
        <v>0</v>
      </c>
      <c r="N52" s="164">
        <f>G52*Results!$H$9</f>
        <v>0</v>
      </c>
      <c r="O52" s="9"/>
      <c r="P52" s="176" t="str">
        <f t="shared" si="2"/>
        <v>Não</v>
      </c>
      <c r="Q52" s="9"/>
      <c r="R52" s="9"/>
    </row>
    <row r="53" spans="1:18">
      <c r="A53" s="411"/>
      <c r="B53" s="11" t="str">
        <f>IF(comparador8=0,"Do not fill this line",comparador8)</f>
        <v>Do not fill this line</v>
      </c>
      <c r="C53" s="385"/>
      <c r="D53" s="385"/>
      <c r="E53" s="385"/>
      <c r="F53" s="385"/>
      <c r="G53" s="385"/>
      <c r="H53" s="173"/>
      <c r="I53" s="9"/>
      <c r="J53" s="164">
        <f>C53*Results!$D$9</f>
        <v>0</v>
      </c>
      <c r="K53" s="164">
        <f>D53*Results!$E$9</f>
        <v>0</v>
      </c>
      <c r="L53" s="164">
        <f>E53*Results!$F$9</f>
        <v>0</v>
      </c>
      <c r="M53" s="164">
        <f>F53*Results!$G$9</f>
        <v>0</v>
      </c>
      <c r="N53" s="164">
        <f>G53*Results!$H$9</f>
        <v>0</v>
      </c>
      <c r="O53" s="9"/>
      <c r="P53" s="176" t="str">
        <f t="shared" si="2"/>
        <v>Não</v>
      </c>
      <c r="Q53" s="9"/>
      <c r="R53" s="9"/>
    </row>
    <row r="54" spans="1:18">
      <c r="A54" s="411"/>
      <c r="B54" s="11" t="str">
        <f>IF(comparador9=0,"Do not fill this line",comparador9)</f>
        <v>Do not fill this line</v>
      </c>
      <c r="C54" s="385"/>
      <c r="D54" s="385"/>
      <c r="E54" s="385"/>
      <c r="F54" s="385"/>
      <c r="G54" s="385"/>
      <c r="H54" s="173"/>
      <c r="I54" s="9"/>
      <c r="J54" s="164">
        <f>C54*Results!$D$9</f>
        <v>0</v>
      </c>
      <c r="K54" s="164">
        <f>D54*Results!$E$9</f>
        <v>0</v>
      </c>
      <c r="L54" s="164">
        <f>E54*Results!$F$9</f>
        <v>0</v>
      </c>
      <c r="M54" s="164">
        <f>F54*Results!$G$9</f>
        <v>0</v>
      </c>
      <c r="N54" s="164">
        <f>G54*Results!$H$9</f>
        <v>0</v>
      </c>
      <c r="O54" s="9"/>
      <c r="P54" s="176" t="str">
        <f t="shared" si="2"/>
        <v>Não</v>
      </c>
      <c r="Q54" s="9"/>
      <c r="R54" s="9"/>
    </row>
    <row r="55" spans="1:18">
      <c r="A55" s="411"/>
      <c r="B55" s="11" t="str">
        <f>IF(comparador10=0,"Do not fill this line",comparador10)</f>
        <v>Do not fill this line</v>
      </c>
      <c r="C55" s="50"/>
      <c r="D55" s="50"/>
      <c r="E55" s="50"/>
      <c r="F55" s="50"/>
      <c r="G55" s="50"/>
      <c r="H55" s="173"/>
      <c r="I55" s="9"/>
      <c r="J55" s="164">
        <f>C55*Results!$D$9</f>
        <v>0</v>
      </c>
      <c r="K55" s="164">
        <f>D55*Results!$E$9</f>
        <v>0</v>
      </c>
      <c r="L55" s="164">
        <f>E55*Results!$F$9</f>
        <v>0</v>
      </c>
      <c r="M55" s="164">
        <f>F55*Results!$G$9</f>
        <v>0</v>
      </c>
      <c r="N55" s="164">
        <f>G55*Results!$H$9</f>
        <v>0</v>
      </c>
      <c r="O55" s="9"/>
      <c r="P55" s="176" t="str">
        <f t="shared" si="2"/>
        <v>Não</v>
      </c>
      <c r="Q55" s="9"/>
      <c r="R55" s="9"/>
    </row>
    <row r="56" spans="1:18">
      <c r="A56" s="9"/>
      <c r="B56" s="9"/>
      <c r="C56" s="178">
        <f>SUM(C42:C55)</f>
        <v>1</v>
      </c>
      <c r="D56" s="178">
        <f t="shared" ref="D56:G56" si="3">SUM(D42:D55)</f>
        <v>1</v>
      </c>
      <c r="E56" s="178">
        <f t="shared" si="3"/>
        <v>1</v>
      </c>
      <c r="F56" s="178">
        <f t="shared" si="3"/>
        <v>1</v>
      </c>
      <c r="G56" s="178">
        <f t="shared" si="3"/>
        <v>1</v>
      </c>
      <c r="H56" s="173"/>
      <c r="I56" s="9"/>
      <c r="J56" s="9"/>
      <c r="K56" s="9"/>
      <c r="L56" s="9"/>
      <c r="M56" s="9"/>
      <c r="N56" s="9"/>
      <c r="O56" s="9"/>
      <c r="P56" s="176" t="str">
        <f t="shared" si="2"/>
        <v>Sim</v>
      </c>
      <c r="Q56" s="9"/>
      <c r="R56" s="9"/>
    </row>
    <row r="57" spans="1:18" ht="15.6">
      <c r="A57" s="9"/>
      <c r="B57" s="9"/>
      <c r="C57" s="179" t="str">
        <f>IF(C56=1,"ok","check")</f>
        <v>ok</v>
      </c>
      <c r="D57" s="179" t="str">
        <f>IF(D56=1,"ok","check")</f>
        <v>ok</v>
      </c>
      <c r="E57" s="179" t="str">
        <f>IF(E56=1,"ok","check")</f>
        <v>ok</v>
      </c>
      <c r="F57" s="179" t="str">
        <f>IF(F56=1,"ok","check")</f>
        <v>ok</v>
      </c>
      <c r="G57" s="179" t="str">
        <f>IF(G56=1,"ok","check")</f>
        <v>ok</v>
      </c>
      <c r="H57" s="173" t="s">
        <v>94</v>
      </c>
      <c r="I57" s="9"/>
      <c r="J57" s="165" t="s">
        <v>3</v>
      </c>
      <c r="K57" s="9"/>
      <c r="L57" s="9"/>
      <c r="M57" s="9"/>
      <c r="N57" s="9"/>
      <c r="O57" s="9"/>
      <c r="P57" s="176" t="str">
        <f t="shared" si="2"/>
        <v>Sim</v>
      </c>
      <c r="Q57" s="9"/>
      <c r="R57" s="9"/>
    </row>
    <row r="58" spans="1:18" ht="15.6">
      <c r="A58" s="9"/>
      <c r="B58" s="9"/>
      <c r="C58" s="179"/>
      <c r="D58" s="179"/>
      <c r="E58" s="179"/>
      <c r="F58" s="179"/>
      <c r="G58" s="179"/>
      <c r="H58" s="173"/>
      <c r="I58" s="9"/>
      <c r="J58" s="165"/>
      <c r="K58" s="9"/>
      <c r="L58" s="9"/>
      <c r="M58" s="9"/>
      <c r="N58" s="9"/>
      <c r="O58" s="9"/>
      <c r="P58" s="176"/>
      <c r="Q58" s="9"/>
      <c r="R58" s="9"/>
    </row>
    <row r="59" spans="1:18" s="166" customFormat="1" ht="18">
      <c r="B59" s="167" t="s">
        <v>89</v>
      </c>
      <c r="C59" s="168" t="str">
        <f>cen_prop2</f>
        <v>Drug 2 only</v>
      </c>
      <c r="D59" s="168"/>
      <c r="E59" s="168"/>
      <c r="F59" s="168"/>
      <c r="G59" s="168"/>
      <c r="H59" s="170"/>
      <c r="J59" s="171" t="str">
        <f>cen_prop2</f>
        <v>Drug 2 only</v>
      </c>
      <c r="K59" s="9"/>
      <c r="L59" s="9"/>
      <c r="M59" s="9"/>
      <c r="N59" s="9"/>
      <c r="O59" s="9"/>
      <c r="P59" s="176" t="str">
        <f t="shared" ref="P59:P76" si="4">IF(B59="Do not fill this line","Não","Sim")</f>
        <v>Sim</v>
      </c>
      <c r="Q59" s="9"/>
      <c r="R59" s="9"/>
    </row>
    <row r="60" spans="1:18">
      <c r="A60" s="9"/>
      <c r="B60" s="9"/>
      <c r="C60" s="9"/>
      <c r="D60" s="9"/>
      <c r="E60" s="9"/>
      <c r="F60" s="9"/>
      <c r="G60" s="9"/>
      <c r="H60" s="173"/>
      <c r="I60" s="9"/>
      <c r="J60" s="9"/>
      <c r="K60" s="9"/>
      <c r="L60" s="9"/>
      <c r="M60" s="9"/>
      <c r="N60" s="9"/>
      <c r="O60" s="9"/>
      <c r="P60" s="176" t="str">
        <f t="shared" si="4"/>
        <v>Sim</v>
      </c>
      <c r="Q60" s="9"/>
      <c r="R60" s="9"/>
    </row>
    <row r="61" spans="1:18">
      <c r="A61" s="9"/>
      <c r="B61" s="174" t="s">
        <v>81</v>
      </c>
      <c r="C61" s="174">
        <f>ano_1</f>
        <v>2026</v>
      </c>
      <c r="D61" s="174">
        <f>ano_1+1</f>
        <v>2027</v>
      </c>
      <c r="E61" s="174">
        <f>ano_1+2</f>
        <v>2028</v>
      </c>
      <c r="F61" s="174">
        <f>ano_1+3</f>
        <v>2029</v>
      </c>
      <c r="G61" s="174">
        <f>ano_1+4</f>
        <v>2030</v>
      </c>
      <c r="H61" s="173" t="s">
        <v>93</v>
      </c>
      <c r="I61" s="9"/>
      <c r="J61" s="174">
        <f>ano_1</f>
        <v>2026</v>
      </c>
      <c r="K61" s="174">
        <f>ano_1+1</f>
        <v>2027</v>
      </c>
      <c r="L61" s="174">
        <f>ano_1+2</f>
        <v>2028</v>
      </c>
      <c r="M61" s="174">
        <f>ano_1+3</f>
        <v>2029</v>
      </c>
      <c r="N61" s="174">
        <f>ano_1+4</f>
        <v>2030</v>
      </c>
      <c r="O61" s="9"/>
      <c r="P61" s="176" t="str">
        <f t="shared" si="4"/>
        <v>Sim</v>
      </c>
      <c r="Q61" s="9"/>
      <c r="R61" s="9"/>
    </row>
    <row r="62" spans="1:18" ht="15" customHeight="1">
      <c r="A62" s="410" t="s">
        <v>91</v>
      </c>
      <c r="B62" s="175" t="str">
        <f>IF(intervencao1=0,"Do not fill this line",intervencao1)</f>
        <v>Drug 1</v>
      </c>
      <c r="C62" s="385">
        <v>0</v>
      </c>
      <c r="D62" s="385">
        <v>0</v>
      </c>
      <c r="E62" s="385">
        <v>0</v>
      </c>
      <c r="F62" s="385">
        <v>0</v>
      </c>
      <c r="G62" s="385">
        <v>0</v>
      </c>
      <c r="H62" s="173"/>
      <c r="I62" s="9"/>
      <c r="J62" s="164">
        <f>C62*Results!$D$9</f>
        <v>0</v>
      </c>
      <c r="K62" s="164">
        <f>D62*Results!$E$9</f>
        <v>0</v>
      </c>
      <c r="L62" s="164">
        <f>E62*Results!$F$9</f>
        <v>0</v>
      </c>
      <c r="M62" s="164">
        <f>F62*Results!$G$9</f>
        <v>0</v>
      </c>
      <c r="N62" s="164">
        <f>G62*Results!$H$9</f>
        <v>0</v>
      </c>
      <c r="O62" s="9"/>
      <c r="P62" s="176" t="str">
        <f t="shared" si="4"/>
        <v>Sim</v>
      </c>
      <c r="Q62" s="9"/>
      <c r="R62" s="9"/>
    </row>
    <row r="63" spans="1:18">
      <c r="A63" s="410"/>
      <c r="B63" s="175" t="str">
        <f>IF(intervencao2=0,"Do not fill this line",intervencao2)</f>
        <v>Drug 2</v>
      </c>
      <c r="C63" s="385">
        <v>0.02</v>
      </c>
      <c r="D63" s="385">
        <v>0.08</v>
      </c>
      <c r="E63" s="385">
        <v>0.18</v>
      </c>
      <c r="F63" s="385">
        <v>0.23</v>
      </c>
      <c r="G63" s="385">
        <v>0.25</v>
      </c>
      <c r="H63" s="173"/>
      <c r="I63" s="9"/>
      <c r="J63" s="164">
        <f>C63*Results!$D$9</f>
        <v>13.699849530000002</v>
      </c>
      <c r="K63" s="164">
        <f>D63*Results!$E$9</f>
        <v>55.229747250000003</v>
      </c>
      <c r="L63" s="164">
        <f>E63*Results!$F$9</f>
        <v>125.20739009250001</v>
      </c>
      <c r="M63" s="164">
        <f>F63*Results!$G$9</f>
        <v>161.19422272375002</v>
      </c>
      <c r="N63" s="164">
        <f>G63*Results!$H$9</f>
        <v>176.54833831250002</v>
      </c>
      <c r="O63" s="9"/>
      <c r="P63" s="176" t="str">
        <f t="shared" si="4"/>
        <v>Sim</v>
      </c>
      <c r="Q63" s="9"/>
      <c r="R63" s="9"/>
    </row>
    <row r="64" spans="1:18">
      <c r="A64" s="410"/>
      <c r="B64" s="175" t="str">
        <f>IF(intervencao3=0,"Do not fill this line",intervencao3)</f>
        <v>Do not fill this line</v>
      </c>
      <c r="C64" s="385"/>
      <c r="D64" s="385"/>
      <c r="E64" s="385"/>
      <c r="F64" s="385"/>
      <c r="G64" s="385"/>
      <c r="H64" s="173"/>
      <c r="I64" s="9"/>
      <c r="J64" s="164">
        <f>C64*Results!$D$9</f>
        <v>0</v>
      </c>
      <c r="K64" s="164">
        <f>D64*Results!$E$9</f>
        <v>0</v>
      </c>
      <c r="L64" s="164">
        <f>E64*Results!$F$9</f>
        <v>0</v>
      </c>
      <c r="M64" s="164">
        <f>F64*Results!$G$9</f>
        <v>0</v>
      </c>
      <c r="N64" s="164">
        <f>G64*Results!$H$9</f>
        <v>0</v>
      </c>
      <c r="O64" s="9"/>
      <c r="P64" s="176" t="str">
        <f t="shared" si="4"/>
        <v>Não</v>
      </c>
      <c r="Q64" s="9"/>
      <c r="R64" s="9"/>
    </row>
    <row r="65" spans="1:18">
      <c r="A65" s="410"/>
      <c r="B65" s="175" t="str">
        <f>IF(intervencao4=0,"Do not fill this line",intervencao4)</f>
        <v>Do not fill this line</v>
      </c>
      <c r="C65" s="385"/>
      <c r="D65" s="385"/>
      <c r="E65" s="385"/>
      <c r="F65" s="385"/>
      <c r="G65" s="385"/>
      <c r="H65" s="173"/>
      <c r="I65" s="9"/>
      <c r="J65" s="164">
        <f>C65*Results!$D$9</f>
        <v>0</v>
      </c>
      <c r="K65" s="164">
        <f>D65*Results!$E$9</f>
        <v>0</v>
      </c>
      <c r="L65" s="164">
        <f>E65*Results!$F$9</f>
        <v>0</v>
      </c>
      <c r="M65" s="164">
        <f>F65*Results!$G$9</f>
        <v>0</v>
      </c>
      <c r="N65" s="164">
        <f>G65*Results!$H$9</f>
        <v>0</v>
      </c>
      <c r="O65" s="9"/>
      <c r="P65" s="176" t="str">
        <f t="shared" si="4"/>
        <v>Não</v>
      </c>
      <c r="Q65" s="9"/>
      <c r="R65" s="9"/>
    </row>
    <row r="66" spans="1:18" s="180" customFormat="1" ht="15" customHeight="1">
      <c r="A66" s="411" t="s">
        <v>92</v>
      </c>
      <c r="B66" s="11" t="str">
        <f>IF(comparador1=0,"Do not fill this line",comparador1)</f>
        <v>BSC</v>
      </c>
      <c r="C66" s="385">
        <v>0.98</v>
      </c>
      <c r="D66" s="385">
        <v>0.92</v>
      </c>
      <c r="E66" s="385">
        <v>0.82</v>
      </c>
      <c r="F66" s="385">
        <v>0.77</v>
      </c>
      <c r="G66" s="385">
        <v>0.75</v>
      </c>
      <c r="H66" s="173"/>
      <c r="I66" s="7"/>
      <c r="J66" s="164">
        <f>C66*Results!$D$9</f>
        <v>671.29262697000001</v>
      </c>
      <c r="K66" s="164">
        <f>D66*Results!$E$9</f>
        <v>635.14209337500006</v>
      </c>
      <c r="L66" s="164">
        <f>E66*Results!$F$9</f>
        <v>570.38922153249996</v>
      </c>
      <c r="M66" s="164">
        <f>F66*Results!$G$9</f>
        <v>539.65022390125</v>
      </c>
      <c r="N66" s="164">
        <f>G66*Results!$H$9</f>
        <v>529.64501493750004</v>
      </c>
      <c r="O66" s="7"/>
      <c r="P66" s="176" t="str">
        <f t="shared" si="4"/>
        <v>Sim</v>
      </c>
      <c r="Q66" s="7"/>
      <c r="R66" s="7"/>
    </row>
    <row r="67" spans="1:18" s="180" customFormat="1">
      <c r="A67" s="411"/>
      <c r="B67" s="11" t="str">
        <f>IF(comparador2=0,"Do not fill this line",comparador2)</f>
        <v>Do not fill this line</v>
      </c>
      <c r="C67" s="385"/>
      <c r="D67" s="385"/>
      <c r="E67" s="385"/>
      <c r="F67" s="385"/>
      <c r="G67" s="385"/>
      <c r="H67" s="177"/>
      <c r="I67" s="7"/>
      <c r="J67" s="164">
        <f>C67*Results!$D$9</f>
        <v>0</v>
      </c>
      <c r="K67" s="164">
        <f>D67*Results!$E$9</f>
        <v>0</v>
      </c>
      <c r="L67" s="164">
        <f>E67*Results!$F$9</f>
        <v>0</v>
      </c>
      <c r="M67" s="164">
        <f>F67*Results!$G$9</f>
        <v>0</v>
      </c>
      <c r="N67" s="164">
        <f>G67*Results!$H$9</f>
        <v>0</v>
      </c>
      <c r="O67" s="7"/>
      <c r="P67" s="176" t="str">
        <f t="shared" si="4"/>
        <v>Não</v>
      </c>
      <c r="Q67" s="7"/>
      <c r="R67" s="7"/>
    </row>
    <row r="68" spans="1:18">
      <c r="A68" s="411"/>
      <c r="B68" s="11" t="str">
        <f>IF(comparador3=0,"Do not fill this line",comparador3)</f>
        <v>Do not fill this line</v>
      </c>
      <c r="C68" s="385"/>
      <c r="D68" s="385"/>
      <c r="E68" s="385"/>
      <c r="F68" s="385"/>
      <c r="G68" s="385"/>
      <c r="H68" s="173"/>
      <c r="I68" s="9"/>
      <c r="J68" s="164">
        <f>C68*Results!$D$9</f>
        <v>0</v>
      </c>
      <c r="K68" s="164">
        <f>D68*Results!$E$9</f>
        <v>0</v>
      </c>
      <c r="L68" s="164">
        <f>E68*Results!$F$9</f>
        <v>0</v>
      </c>
      <c r="M68" s="164">
        <f>F68*Results!$G$9</f>
        <v>0</v>
      </c>
      <c r="N68" s="164">
        <f>G68*Results!$H$9</f>
        <v>0</v>
      </c>
      <c r="O68" s="9"/>
      <c r="P68" s="176" t="str">
        <f t="shared" si="4"/>
        <v>Não</v>
      </c>
      <c r="Q68" s="9"/>
      <c r="R68" s="9"/>
    </row>
    <row r="69" spans="1:18">
      <c r="A69" s="411"/>
      <c r="B69" s="11" t="str">
        <f>IF(comparador4=0,"Do not fill this line",comparador4)</f>
        <v>Do not fill this line</v>
      </c>
      <c r="C69" s="385"/>
      <c r="D69" s="385"/>
      <c r="E69" s="385"/>
      <c r="F69" s="385"/>
      <c r="G69" s="385"/>
      <c r="H69" s="173"/>
      <c r="I69" s="9"/>
      <c r="J69" s="164">
        <f>C69*Results!$D$9</f>
        <v>0</v>
      </c>
      <c r="K69" s="164">
        <f>D69*Results!$E$9</f>
        <v>0</v>
      </c>
      <c r="L69" s="164">
        <f>E69*Results!$F$9</f>
        <v>0</v>
      </c>
      <c r="M69" s="164">
        <f>F69*Results!$G$9</f>
        <v>0</v>
      </c>
      <c r="N69" s="164">
        <f>G69*Results!$H$9</f>
        <v>0</v>
      </c>
      <c r="O69" s="9"/>
      <c r="P69" s="176" t="str">
        <f t="shared" si="4"/>
        <v>Não</v>
      </c>
      <c r="Q69" s="9"/>
      <c r="R69" s="9"/>
    </row>
    <row r="70" spans="1:18">
      <c r="A70" s="411"/>
      <c r="B70" s="11" t="str">
        <f>IF(comparador5=0,"Do not fill this line",comparador5)</f>
        <v>Do not fill this line</v>
      </c>
      <c r="C70" s="385"/>
      <c r="D70" s="385"/>
      <c r="E70" s="385"/>
      <c r="F70" s="385"/>
      <c r="G70" s="385"/>
      <c r="H70" s="173"/>
      <c r="I70" s="9"/>
      <c r="J70" s="164">
        <f>C70*Results!$D$9</f>
        <v>0</v>
      </c>
      <c r="K70" s="164">
        <f>D70*Results!$E$9</f>
        <v>0</v>
      </c>
      <c r="L70" s="164">
        <f>E70*Results!$F$9</f>
        <v>0</v>
      </c>
      <c r="M70" s="164">
        <f>F70*Results!$G$9</f>
        <v>0</v>
      </c>
      <c r="N70" s="164">
        <f>G70*Results!$H$9</f>
        <v>0</v>
      </c>
      <c r="O70" s="9"/>
      <c r="P70" s="176" t="str">
        <f t="shared" si="4"/>
        <v>Não</v>
      </c>
      <c r="Q70" s="9"/>
      <c r="R70" s="9"/>
    </row>
    <row r="71" spans="1:18">
      <c r="A71" s="411"/>
      <c r="B71" s="11" t="str">
        <f>IF(comparador6=0,"Do not fill this line",comparador6)</f>
        <v>Do not fill this line</v>
      </c>
      <c r="C71" s="385"/>
      <c r="D71" s="385"/>
      <c r="E71" s="385"/>
      <c r="F71" s="385"/>
      <c r="G71" s="385"/>
      <c r="H71" s="173"/>
      <c r="I71" s="9"/>
      <c r="J71" s="164">
        <f>C71*Results!$D$9</f>
        <v>0</v>
      </c>
      <c r="K71" s="164">
        <f>D71*Results!$E$9</f>
        <v>0</v>
      </c>
      <c r="L71" s="164">
        <f>E71*Results!$F$9</f>
        <v>0</v>
      </c>
      <c r="M71" s="164">
        <f>F71*Results!$G$9</f>
        <v>0</v>
      </c>
      <c r="N71" s="164">
        <f>G71*Results!$H$9</f>
        <v>0</v>
      </c>
      <c r="O71" s="9"/>
      <c r="P71" s="176" t="str">
        <f t="shared" si="4"/>
        <v>Não</v>
      </c>
      <c r="Q71" s="9"/>
      <c r="R71" s="9"/>
    </row>
    <row r="72" spans="1:18">
      <c r="A72" s="411"/>
      <c r="B72" s="11" t="str">
        <f>IF(comparador7=0,"Do not fill this line",comparador7)</f>
        <v>Do not fill this line</v>
      </c>
      <c r="C72" s="385"/>
      <c r="D72" s="385"/>
      <c r="E72" s="385"/>
      <c r="F72" s="385"/>
      <c r="G72" s="385"/>
      <c r="H72" s="173"/>
      <c r="I72" s="9"/>
      <c r="J72" s="164">
        <f>C72*Results!$D$9</f>
        <v>0</v>
      </c>
      <c r="K72" s="164">
        <f>D72*Results!$E$9</f>
        <v>0</v>
      </c>
      <c r="L72" s="164">
        <f>E72*Results!$F$9</f>
        <v>0</v>
      </c>
      <c r="M72" s="164">
        <f>F72*Results!$G$9</f>
        <v>0</v>
      </c>
      <c r="N72" s="164">
        <f>G72*Results!$H$9</f>
        <v>0</v>
      </c>
      <c r="O72" s="9"/>
      <c r="P72" s="176" t="str">
        <f t="shared" si="4"/>
        <v>Não</v>
      </c>
      <c r="Q72" s="9"/>
      <c r="R72" s="9"/>
    </row>
    <row r="73" spans="1:18">
      <c r="A73" s="411"/>
      <c r="B73" s="11" t="str">
        <f>IF(comparador8=0,"Do not fill this line",comparador8)</f>
        <v>Do not fill this line</v>
      </c>
      <c r="C73" s="385"/>
      <c r="D73" s="385"/>
      <c r="E73" s="385"/>
      <c r="F73" s="385"/>
      <c r="G73" s="385"/>
      <c r="H73" s="173"/>
      <c r="I73" s="9"/>
      <c r="J73" s="164">
        <f>C73*Results!$D$9</f>
        <v>0</v>
      </c>
      <c r="K73" s="164">
        <f>D73*Results!$E$9</f>
        <v>0</v>
      </c>
      <c r="L73" s="164">
        <f>E73*Results!$F$9</f>
        <v>0</v>
      </c>
      <c r="M73" s="164">
        <f>F73*Results!$G$9</f>
        <v>0</v>
      </c>
      <c r="N73" s="164">
        <f>G73*Results!$H$9</f>
        <v>0</v>
      </c>
      <c r="O73" s="9"/>
      <c r="P73" s="176" t="str">
        <f t="shared" si="4"/>
        <v>Não</v>
      </c>
      <c r="Q73" s="9"/>
      <c r="R73" s="9"/>
    </row>
    <row r="74" spans="1:18">
      <c r="A74" s="411"/>
      <c r="B74" s="11" t="str">
        <f>IF(comparador9=0,"Do not fill this line",comparador9)</f>
        <v>Do not fill this line</v>
      </c>
      <c r="C74" s="385"/>
      <c r="D74" s="385"/>
      <c r="E74" s="385"/>
      <c r="F74" s="385"/>
      <c r="G74" s="385"/>
      <c r="H74" s="173"/>
      <c r="I74" s="9"/>
      <c r="J74" s="164">
        <f>C74*Results!$D$9</f>
        <v>0</v>
      </c>
      <c r="K74" s="164">
        <f>D74*Results!$E$9</f>
        <v>0</v>
      </c>
      <c r="L74" s="164">
        <f>E74*Results!$F$9</f>
        <v>0</v>
      </c>
      <c r="M74" s="164">
        <f>F74*Results!$G$9</f>
        <v>0</v>
      </c>
      <c r="N74" s="164">
        <f>G74*Results!$H$9</f>
        <v>0</v>
      </c>
      <c r="O74" s="9"/>
      <c r="P74" s="176" t="str">
        <f t="shared" si="4"/>
        <v>Não</v>
      </c>
      <c r="Q74" s="9"/>
      <c r="R74" s="9"/>
    </row>
    <row r="75" spans="1:18">
      <c r="A75" s="411"/>
      <c r="B75" s="11" t="str">
        <f>IF(comparador10=0,"Do not fill this line",comparador10)</f>
        <v>Do not fill this line</v>
      </c>
      <c r="C75" s="50"/>
      <c r="D75" s="50"/>
      <c r="E75" s="50"/>
      <c r="F75" s="50"/>
      <c r="G75" s="50"/>
      <c r="H75" s="173"/>
      <c r="I75" s="9"/>
      <c r="J75" s="164">
        <f>C75*Results!$D$9</f>
        <v>0</v>
      </c>
      <c r="K75" s="164">
        <f>D75*Results!$E$9</f>
        <v>0</v>
      </c>
      <c r="L75" s="164">
        <f>E75*Results!$F$9</f>
        <v>0</v>
      </c>
      <c r="M75" s="164">
        <f>F75*Results!$G$9</f>
        <v>0</v>
      </c>
      <c r="N75" s="164">
        <f>G75*Results!$H$9</f>
        <v>0</v>
      </c>
      <c r="O75" s="9"/>
      <c r="P75" s="176" t="str">
        <f t="shared" si="4"/>
        <v>Não</v>
      </c>
      <c r="Q75" s="9"/>
      <c r="R75" s="9"/>
    </row>
    <row r="76" spans="1:18">
      <c r="A76" s="9"/>
      <c r="B76" s="9"/>
      <c r="C76" s="178">
        <f>SUM(C62:C75)</f>
        <v>1</v>
      </c>
      <c r="D76" s="178">
        <f t="shared" ref="D76:G76" si="5">SUM(D62:D75)</f>
        <v>1</v>
      </c>
      <c r="E76" s="178">
        <f t="shared" si="5"/>
        <v>1</v>
      </c>
      <c r="F76" s="178">
        <f t="shared" si="5"/>
        <v>1</v>
      </c>
      <c r="G76" s="178">
        <f t="shared" si="5"/>
        <v>1</v>
      </c>
      <c r="H76" s="173"/>
      <c r="I76" s="9"/>
      <c r="J76" s="9"/>
      <c r="K76" s="9"/>
      <c r="L76" s="9"/>
      <c r="M76" s="9"/>
      <c r="N76" s="9"/>
      <c r="O76" s="9"/>
      <c r="P76" s="176" t="str">
        <f t="shared" si="4"/>
        <v>Sim</v>
      </c>
      <c r="Q76" s="9"/>
      <c r="R76" s="9"/>
    </row>
    <row r="77" spans="1:18">
      <c r="A77" s="9"/>
      <c r="B77" s="9"/>
      <c r="C77" s="179" t="str">
        <f>IF(C76=1,"ok","check")</f>
        <v>ok</v>
      </c>
      <c r="D77" s="179" t="str">
        <f>IF(D76=1,"ok","check")</f>
        <v>ok</v>
      </c>
      <c r="E77" s="179" t="str">
        <f>IF(E76=1,"ok","check")</f>
        <v>ok</v>
      </c>
      <c r="F77" s="179" t="str">
        <f>IF(F76=1,"ok","check")</f>
        <v>ok</v>
      </c>
      <c r="G77" s="179" t="str">
        <f>IF(G76=1,"ok","check")</f>
        <v>ok</v>
      </c>
      <c r="H77" s="173" t="s">
        <v>94</v>
      </c>
      <c r="I77" s="9"/>
      <c r="J77" s="9"/>
      <c r="K77" s="9"/>
      <c r="L77" s="9"/>
      <c r="M77" s="9"/>
      <c r="N77" s="9"/>
      <c r="O77" s="9"/>
      <c r="P77" s="176"/>
      <c r="Q77" s="9"/>
      <c r="R77" s="9"/>
    </row>
    <row r="78" spans="1:18" ht="15.6">
      <c r="A78" s="9"/>
      <c r="B78" s="9"/>
      <c r="C78" s="9"/>
      <c r="D78" s="9"/>
      <c r="E78" s="9"/>
      <c r="F78" s="9"/>
      <c r="G78" s="9"/>
      <c r="H78" s="173"/>
      <c r="I78" s="9"/>
      <c r="J78" s="165" t="s">
        <v>3</v>
      </c>
      <c r="K78" s="9"/>
      <c r="L78" s="9"/>
      <c r="M78" s="9"/>
      <c r="N78" s="9"/>
      <c r="O78" s="9"/>
      <c r="P78" s="176" t="str">
        <f t="shared" ref="P78:P96" si="6">IF(B78="Do not fill this line","Não","Sim")</f>
        <v>Sim</v>
      </c>
      <c r="Q78" s="9"/>
      <c r="R78" s="9"/>
    </row>
    <row r="79" spans="1:18" s="166" customFormat="1" ht="18">
      <c r="B79" s="167" t="s">
        <v>90</v>
      </c>
      <c r="C79" s="168" t="str">
        <f>cen_prop3</f>
        <v>Both drugs</v>
      </c>
      <c r="D79" s="168"/>
      <c r="E79" s="168"/>
      <c r="F79" s="168"/>
      <c r="G79" s="168"/>
      <c r="H79" s="170"/>
      <c r="J79" s="171" t="str">
        <f>cen_prop3</f>
        <v>Both drugs</v>
      </c>
      <c r="K79" s="9"/>
      <c r="L79" s="9"/>
      <c r="M79" s="9"/>
      <c r="N79" s="9"/>
      <c r="O79" s="9"/>
      <c r="P79" s="176" t="str">
        <f t="shared" si="6"/>
        <v>Sim</v>
      </c>
      <c r="Q79" s="9"/>
      <c r="R79" s="9"/>
    </row>
    <row r="80" spans="1:18" ht="15.6">
      <c r="A80" s="9"/>
      <c r="B80" s="181"/>
      <c r="C80" s="181"/>
      <c r="D80" s="9"/>
      <c r="E80" s="9"/>
      <c r="F80" s="9"/>
      <c r="G80" s="9"/>
      <c r="H80" s="173"/>
      <c r="I80" s="9"/>
      <c r="J80" s="9"/>
      <c r="K80" s="9"/>
      <c r="L80" s="9"/>
      <c r="M80" s="9"/>
      <c r="N80" s="9"/>
      <c r="O80" s="9"/>
      <c r="P80" s="176" t="str">
        <f t="shared" si="6"/>
        <v>Sim</v>
      </c>
      <c r="Q80" s="9"/>
      <c r="R80" s="9"/>
    </row>
    <row r="81" spans="1:16">
      <c r="A81" s="9"/>
      <c r="B81" s="174" t="s">
        <v>81</v>
      </c>
      <c r="C81" s="174">
        <f>ano_1</f>
        <v>2026</v>
      </c>
      <c r="D81" s="174">
        <f>ano_1+1</f>
        <v>2027</v>
      </c>
      <c r="E81" s="174">
        <f>ano_1+2</f>
        <v>2028</v>
      </c>
      <c r="F81" s="174">
        <f>ano_1+3</f>
        <v>2029</v>
      </c>
      <c r="G81" s="174">
        <f>ano_1+4</f>
        <v>2030</v>
      </c>
      <c r="H81" s="173" t="s">
        <v>93</v>
      </c>
      <c r="I81" s="9"/>
      <c r="J81" s="174">
        <f>ano_1</f>
        <v>2026</v>
      </c>
      <c r="K81" s="174">
        <f>ano_1+1</f>
        <v>2027</v>
      </c>
      <c r="L81" s="174">
        <f>ano_1+2</f>
        <v>2028</v>
      </c>
      <c r="M81" s="174">
        <f>ano_1+3</f>
        <v>2029</v>
      </c>
      <c r="N81" s="174">
        <f>ano_1+4</f>
        <v>2030</v>
      </c>
      <c r="O81" s="9"/>
      <c r="P81" s="176" t="str">
        <f t="shared" si="6"/>
        <v>Sim</v>
      </c>
    </row>
    <row r="82" spans="1:16">
      <c r="A82" s="410" t="s">
        <v>91</v>
      </c>
      <c r="B82" s="175" t="str">
        <f>IF(intervencao1=0,"Do not fill this line",intervencao1)</f>
        <v>Drug 1</v>
      </c>
      <c r="C82" s="385">
        <v>0.03</v>
      </c>
      <c r="D82" s="385">
        <v>0.1</v>
      </c>
      <c r="E82" s="385">
        <v>0.2</v>
      </c>
      <c r="F82" s="385">
        <v>0.3</v>
      </c>
      <c r="G82" s="385">
        <v>0.3</v>
      </c>
      <c r="H82" s="173"/>
      <c r="I82" s="9"/>
      <c r="J82" s="164">
        <f>C82*Results!$D$9</f>
        <v>20.549774295000002</v>
      </c>
      <c r="K82" s="164">
        <f>D82*Results!$E$9</f>
        <v>69.037184062500003</v>
      </c>
      <c r="L82" s="164">
        <f>E82*Results!$F$9</f>
        <v>139.11932232500001</v>
      </c>
      <c r="M82" s="164">
        <f>F82*Results!$G$9</f>
        <v>210.25333398750001</v>
      </c>
      <c r="N82" s="164">
        <f>G82*Results!$H$9</f>
        <v>211.85800597500003</v>
      </c>
      <c r="O82" s="9"/>
      <c r="P82" s="176" t="str">
        <f t="shared" si="6"/>
        <v>Sim</v>
      </c>
    </row>
    <row r="83" spans="1:16">
      <c r="A83" s="410"/>
      <c r="B83" s="175" t="str">
        <f>IF(intervencao2=0,"Do not fill this line",intervencao2)</f>
        <v>Drug 2</v>
      </c>
      <c r="C83" s="385">
        <v>0.02</v>
      </c>
      <c r="D83" s="385">
        <v>0.08</v>
      </c>
      <c r="E83" s="385">
        <v>0.18</v>
      </c>
      <c r="F83" s="385">
        <v>0.23</v>
      </c>
      <c r="G83" s="385">
        <v>0.25</v>
      </c>
      <c r="H83" s="173"/>
      <c r="I83" s="9"/>
      <c r="J83" s="164">
        <f>C83*Results!$D$9</f>
        <v>13.699849530000002</v>
      </c>
      <c r="K83" s="164">
        <f>D83*Results!$E$9</f>
        <v>55.229747250000003</v>
      </c>
      <c r="L83" s="164">
        <f>E83*Results!$F$9</f>
        <v>125.20739009250001</v>
      </c>
      <c r="M83" s="164">
        <f>F83*Results!$G$9</f>
        <v>161.19422272375002</v>
      </c>
      <c r="N83" s="164">
        <f>G83*Results!$H$9</f>
        <v>176.54833831250002</v>
      </c>
      <c r="O83" s="9"/>
      <c r="P83" s="176" t="str">
        <f t="shared" si="6"/>
        <v>Sim</v>
      </c>
    </row>
    <row r="84" spans="1:16">
      <c r="A84" s="410"/>
      <c r="B84" s="175" t="str">
        <f>IF(intervencao3=0,"Do not fill this line",intervencao3)</f>
        <v>Do not fill this line</v>
      </c>
      <c r="C84" s="50"/>
      <c r="D84" s="50"/>
      <c r="E84" s="50"/>
      <c r="F84" s="50"/>
      <c r="G84" s="50"/>
      <c r="H84" s="173"/>
      <c r="I84" s="9"/>
      <c r="J84" s="164">
        <f>C84*Results!$D$9</f>
        <v>0</v>
      </c>
      <c r="K84" s="164">
        <f>D84*Results!$E$9</f>
        <v>0</v>
      </c>
      <c r="L84" s="164">
        <f>E84*Results!$F$9</f>
        <v>0</v>
      </c>
      <c r="M84" s="164">
        <f>F84*Results!$G$9</f>
        <v>0</v>
      </c>
      <c r="N84" s="164">
        <f>G84*Results!$H$9</f>
        <v>0</v>
      </c>
      <c r="O84" s="9"/>
      <c r="P84" s="176" t="str">
        <f t="shared" si="6"/>
        <v>Não</v>
      </c>
    </row>
    <row r="85" spans="1:16">
      <c r="A85" s="410"/>
      <c r="B85" s="175" t="str">
        <f>IF(intervencao4=0,"Do not fill this line",intervencao4)</f>
        <v>Do not fill this line</v>
      </c>
      <c r="C85" s="50"/>
      <c r="D85" s="50"/>
      <c r="E85" s="50"/>
      <c r="F85" s="50"/>
      <c r="G85" s="50"/>
      <c r="H85" s="173"/>
      <c r="I85" s="9"/>
      <c r="J85" s="164">
        <f>C85*Results!$D$9</f>
        <v>0</v>
      </c>
      <c r="K85" s="164">
        <f>D85*Results!$E$9</f>
        <v>0</v>
      </c>
      <c r="L85" s="164">
        <f>E85*Results!$F$9</f>
        <v>0</v>
      </c>
      <c r="M85" s="164">
        <f>F85*Results!$G$9</f>
        <v>0</v>
      </c>
      <c r="N85" s="164">
        <f>G85*Results!$H$9</f>
        <v>0</v>
      </c>
      <c r="O85" s="9"/>
      <c r="P85" s="176" t="str">
        <f t="shared" si="6"/>
        <v>Não</v>
      </c>
    </row>
    <row r="86" spans="1:16" s="180" customFormat="1">
      <c r="A86" s="411" t="s">
        <v>92</v>
      </c>
      <c r="B86" s="11" t="str">
        <f>IF(comparador1=0,"Do not fill this line",comparador1)</f>
        <v>BSC</v>
      </c>
      <c r="C86" s="385">
        <f>1-C83-C82</f>
        <v>0.95</v>
      </c>
      <c r="D86" s="385">
        <v>0.82</v>
      </c>
      <c r="E86" s="385">
        <v>0.62</v>
      </c>
      <c r="F86" s="385">
        <v>0.47</v>
      </c>
      <c r="G86" s="385">
        <v>0.45</v>
      </c>
      <c r="H86" s="173"/>
      <c r="I86" s="7"/>
      <c r="J86" s="164">
        <f>C86*Results!$D$9</f>
        <v>650.74285267499999</v>
      </c>
      <c r="K86" s="164">
        <f>D86*Results!$E$9</f>
        <v>566.10490931250001</v>
      </c>
      <c r="L86" s="164">
        <f>E86*Results!$F$9</f>
        <v>431.26989920750003</v>
      </c>
      <c r="M86" s="164">
        <f>F86*Results!$G$9</f>
        <v>329.39688991374999</v>
      </c>
      <c r="N86" s="164">
        <f>G86*Results!$H$9</f>
        <v>317.78700896250007</v>
      </c>
      <c r="O86" s="7"/>
      <c r="P86" s="176" t="str">
        <f t="shared" si="6"/>
        <v>Sim</v>
      </c>
    </row>
    <row r="87" spans="1:16" s="180" customFormat="1">
      <c r="A87" s="411"/>
      <c r="B87" s="11" t="str">
        <f>IF(comparador2=0,"Do not fill this line",comparador2)</f>
        <v>Do not fill this line</v>
      </c>
      <c r="C87" s="50"/>
      <c r="D87" s="50"/>
      <c r="E87" s="50"/>
      <c r="F87" s="50"/>
      <c r="G87" s="50"/>
      <c r="H87" s="177"/>
      <c r="I87" s="7"/>
      <c r="J87" s="164">
        <f>C87*Results!$D$9</f>
        <v>0</v>
      </c>
      <c r="K87" s="164">
        <f>D87*Results!$E$9</f>
        <v>0</v>
      </c>
      <c r="L87" s="164">
        <f>E87*Results!$F$9</f>
        <v>0</v>
      </c>
      <c r="M87" s="164">
        <f>F87*Results!$G$9</f>
        <v>0</v>
      </c>
      <c r="N87" s="164">
        <f>G87*Results!$H$9</f>
        <v>0</v>
      </c>
      <c r="O87" s="7"/>
      <c r="P87" s="176" t="str">
        <f t="shared" si="6"/>
        <v>Não</v>
      </c>
    </row>
    <row r="88" spans="1:16">
      <c r="A88" s="411"/>
      <c r="B88" s="11" t="str">
        <f>IF(comparador3=0,"Do not fill this line",comparador3)</f>
        <v>Do not fill this line</v>
      </c>
      <c r="C88" s="50"/>
      <c r="D88" s="50"/>
      <c r="E88" s="50"/>
      <c r="F88" s="50"/>
      <c r="G88" s="50"/>
      <c r="H88" s="173"/>
      <c r="I88" s="9"/>
      <c r="J88" s="164">
        <f>C88*Results!$D$9</f>
        <v>0</v>
      </c>
      <c r="K88" s="164">
        <f>D88*Results!$E$9</f>
        <v>0</v>
      </c>
      <c r="L88" s="164">
        <f>E88*Results!$F$9</f>
        <v>0</v>
      </c>
      <c r="M88" s="164">
        <f>F88*Results!$G$9</f>
        <v>0</v>
      </c>
      <c r="N88" s="164">
        <f>G88*Results!$H$9</f>
        <v>0</v>
      </c>
      <c r="O88" s="9"/>
      <c r="P88" s="176" t="str">
        <f t="shared" si="6"/>
        <v>Não</v>
      </c>
    </row>
    <row r="89" spans="1:16">
      <c r="A89" s="411"/>
      <c r="B89" s="11" t="str">
        <f>IF(comparador4=0,"Do not fill this line",comparador4)</f>
        <v>Do not fill this line</v>
      </c>
      <c r="C89" s="50"/>
      <c r="D89" s="50"/>
      <c r="E89" s="50"/>
      <c r="F89" s="50"/>
      <c r="G89" s="50"/>
      <c r="H89" s="173"/>
      <c r="I89" s="9"/>
      <c r="J89" s="164">
        <f>C89*Results!$D$9</f>
        <v>0</v>
      </c>
      <c r="K89" s="164">
        <f>D89*Results!$E$9</f>
        <v>0</v>
      </c>
      <c r="L89" s="164">
        <f>E89*Results!$F$9</f>
        <v>0</v>
      </c>
      <c r="M89" s="164">
        <f>F89*Results!$G$9</f>
        <v>0</v>
      </c>
      <c r="N89" s="164">
        <f>G89*Results!$H$9</f>
        <v>0</v>
      </c>
      <c r="O89" s="9"/>
      <c r="P89" s="176" t="str">
        <f t="shared" si="6"/>
        <v>Não</v>
      </c>
    </row>
    <row r="90" spans="1:16">
      <c r="A90" s="411"/>
      <c r="B90" s="11" t="str">
        <f>IF(comparador5=0,"Do not fill this line",comparador5)</f>
        <v>Do not fill this line</v>
      </c>
      <c r="C90" s="50"/>
      <c r="D90" s="50"/>
      <c r="E90" s="50"/>
      <c r="F90" s="50"/>
      <c r="G90" s="50"/>
      <c r="H90" s="173"/>
      <c r="I90" s="9"/>
      <c r="J90" s="164">
        <f>C90*Results!$D$9</f>
        <v>0</v>
      </c>
      <c r="K90" s="164">
        <f>D90*Results!$E$9</f>
        <v>0</v>
      </c>
      <c r="L90" s="164">
        <f>E90*Results!$F$9</f>
        <v>0</v>
      </c>
      <c r="M90" s="164">
        <f>F90*Results!$G$9</f>
        <v>0</v>
      </c>
      <c r="N90" s="164">
        <f>G90*Results!$H$9</f>
        <v>0</v>
      </c>
      <c r="O90" s="9"/>
      <c r="P90" s="176" t="str">
        <f t="shared" si="6"/>
        <v>Não</v>
      </c>
    </row>
    <row r="91" spans="1:16">
      <c r="A91" s="411"/>
      <c r="B91" s="11" t="str">
        <f>IF(comparador6=0,"Do not fill this line",comparador6)</f>
        <v>Do not fill this line</v>
      </c>
      <c r="C91" s="50"/>
      <c r="D91" s="50"/>
      <c r="E91" s="50"/>
      <c r="F91" s="50"/>
      <c r="G91" s="50"/>
      <c r="H91" s="173"/>
      <c r="I91" s="9"/>
      <c r="J91" s="164">
        <f>C91*Results!$D$9</f>
        <v>0</v>
      </c>
      <c r="K91" s="164">
        <f>D91*Results!$E$9</f>
        <v>0</v>
      </c>
      <c r="L91" s="164">
        <f>E91*Results!$F$9</f>
        <v>0</v>
      </c>
      <c r="M91" s="164">
        <f>F91*Results!$G$9</f>
        <v>0</v>
      </c>
      <c r="N91" s="164">
        <f>G91*Results!$H$9</f>
        <v>0</v>
      </c>
      <c r="O91" s="9"/>
      <c r="P91" s="176" t="str">
        <f t="shared" si="6"/>
        <v>Não</v>
      </c>
    </row>
    <row r="92" spans="1:16">
      <c r="A92" s="411"/>
      <c r="B92" s="11" t="str">
        <f>IF(comparador7=0,"Do not fill this line",comparador7)</f>
        <v>Do not fill this line</v>
      </c>
      <c r="C92" s="50"/>
      <c r="D92" s="50"/>
      <c r="E92" s="50"/>
      <c r="F92" s="50"/>
      <c r="G92" s="50"/>
      <c r="H92" s="173"/>
      <c r="I92" s="9"/>
      <c r="J92" s="164">
        <f>C92*Results!$D$9</f>
        <v>0</v>
      </c>
      <c r="K92" s="164">
        <f>D92*Results!$E$9</f>
        <v>0</v>
      </c>
      <c r="L92" s="164">
        <f>E92*Results!$F$9</f>
        <v>0</v>
      </c>
      <c r="M92" s="164">
        <f>F92*Results!$G$9</f>
        <v>0</v>
      </c>
      <c r="N92" s="164">
        <f>G92*Results!$H$9</f>
        <v>0</v>
      </c>
      <c r="O92" s="9"/>
      <c r="P92" s="176" t="str">
        <f t="shared" si="6"/>
        <v>Não</v>
      </c>
    </row>
    <row r="93" spans="1:16">
      <c r="A93" s="411"/>
      <c r="B93" s="11" t="str">
        <f>IF(comparador8=0,"Do not fill this line",comparador8)</f>
        <v>Do not fill this line</v>
      </c>
      <c r="C93" s="50"/>
      <c r="D93" s="50"/>
      <c r="E93" s="50"/>
      <c r="F93" s="50"/>
      <c r="G93" s="50"/>
      <c r="H93" s="173"/>
      <c r="I93" s="9"/>
      <c r="J93" s="164">
        <f>C93*Results!$D$9</f>
        <v>0</v>
      </c>
      <c r="K93" s="164">
        <f>D93*Results!$E$9</f>
        <v>0</v>
      </c>
      <c r="L93" s="164">
        <f>E93*Results!$F$9</f>
        <v>0</v>
      </c>
      <c r="M93" s="164">
        <f>F93*Results!$G$9</f>
        <v>0</v>
      </c>
      <c r="N93" s="164">
        <f>G93*Results!$H$9</f>
        <v>0</v>
      </c>
      <c r="O93" s="9"/>
      <c r="P93" s="176" t="str">
        <f t="shared" si="6"/>
        <v>Não</v>
      </c>
    </row>
    <row r="94" spans="1:16">
      <c r="A94" s="411"/>
      <c r="B94" s="11" t="str">
        <f>IF(comparador9=0,"Do not fill this line",comparador9)</f>
        <v>Do not fill this line</v>
      </c>
      <c r="C94" s="50"/>
      <c r="D94" s="50"/>
      <c r="E94" s="50"/>
      <c r="F94" s="50"/>
      <c r="G94" s="50"/>
      <c r="H94" s="173"/>
      <c r="I94" s="9"/>
      <c r="J94" s="164">
        <f>C94*Results!$D$9</f>
        <v>0</v>
      </c>
      <c r="K94" s="164">
        <f>D94*Results!$E$9</f>
        <v>0</v>
      </c>
      <c r="L94" s="164">
        <f>E94*Results!$F$9</f>
        <v>0</v>
      </c>
      <c r="M94" s="164">
        <f>F94*Results!$G$9</f>
        <v>0</v>
      </c>
      <c r="N94" s="164">
        <f>G94*Results!$H$9</f>
        <v>0</v>
      </c>
      <c r="O94" s="9"/>
      <c r="P94" s="176" t="str">
        <f t="shared" si="6"/>
        <v>Não</v>
      </c>
    </row>
    <row r="95" spans="1:16">
      <c r="A95" s="411"/>
      <c r="B95" s="11" t="str">
        <f>IF(comparador10=0,"Do not fill this line",comparador10)</f>
        <v>Do not fill this line</v>
      </c>
      <c r="C95" s="50"/>
      <c r="D95" s="50"/>
      <c r="E95" s="50"/>
      <c r="F95" s="50"/>
      <c r="G95" s="50"/>
      <c r="H95" s="173"/>
      <c r="I95" s="9"/>
      <c r="J95" s="164">
        <f>C95*Results!$D$9</f>
        <v>0</v>
      </c>
      <c r="K95" s="164">
        <f>D95*Results!$E$9</f>
        <v>0</v>
      </c>
      <c r="L95" s="164">
        <f>E95*Results!$F$9</f>
        <v>0</v>
      </c>
      <c r="M95" s="164">
        <f>F95*Results!$G$9</f>
        <v>0</v>
      </c>
      <c r="N95" s="164">
        <f>G95*Results!$H$9</f>
        <v>0</v>
      </c>
      <c r="O95" s="9"/>
      <c r="P95" s="176" t="str">
        <f t="shared" si="6"/>
        <v>Não</v>
      </c>
    </row>
    <row r="96" spans="1:16">
      <c r="A96" s="9"/>
      <c r="B96" s="9"/>
      <c r="C96" s="178">
        <f>SUM(C82:C95)</f>
        <v>1</v>
      </c>
      <c r="D96" s="178">
        <f t="shared" ref="D96:G96" si="7">SUM(D82:D95)</f>
        <v>1</v>
      </c>
      <c r="E96" s="178">
        <f t="shared" si="7"/>
        <v>1</v>
      </c>
      <c r="F96" s="178">
        <f t="shared" si="7"/>
        <v>1</v>
      </c>
      <c r="G96" s="178">
        <f t="shared" si="7"/>
        <v>1</v>
      </c>
      <c r="H96" s="173"/>
      <c r="I96" s="9"/>
      <c r="J96" s="9"/>
      <c r="K96" s="9"/>
      <c r="L96" s="9"/>
      <c r="M96" s="9"/>
      <c r="N96" s="9"/>
      <c r="O96" s="9"/>
      <c r="P96" s="176" t="str">
        <f t="shared" si="6"/>
        <v>Sim</v>
      </c>
    </row>
    <row r="97" spans="2:26">
      <c r="C97" s="179" t="str">
        <f>IF(C96=1,"ok","check")</f>
        <v>ok</v>
      </c>
      <c r="D97" s="179" t="str">
        <f>IF(D96=1,"ok","check")</f>
        <v>ok</v>
      </c>
      <c r="E97" s="179" t="str">
        <f>IF(E96=1,"ok","check")</f>
        <v>ok</v>
      </c>
      <c r="F97" s="179" t="str">
        <f>IF(F96=1,"ok","check")</f>
        <v>ok</v>
      </c>
      <c r="G97" s="179" t="str">
        <f>IF(G96=1,"ok","check")</f>
        <v>ok</v>
      </c>
      <c r="H97" s="173" t="s">
        <v>94</v>
      </c>
      <c r="I97" s="9"/>
      <c r="J97" s="9"/>
      <c r="K97" s="9"/>
      <c r="L97" s="9"/>
      <c r="M97" s="9"/>
      <c r="N97" s="9"/>
      <c r="O97" s="9"/>
      <c r="P97" s="176"/>
    </row>
    <row r="98" spans="2:26">
      <c r="C98" s="9"/>
      <c r="D98" s="9"/>
      <c r="E98" s="9"/>
      <c r="F98" s="9"/>
      <c r="G98" s="9"/>
      <c r="H98" s="173"/>
      <c r="I98" s="9"/>
      <c r="J98" s="9"/>
      <c r="K98" s="9"/>
      <c r="L98" s="9"/>
      <c r="M98" s="9"/>
      <c r="N98" s="9"/>
      <c r="O98" s="9"/>
      <c r="P98" s="176"/>
    </row>
    <row r="99" spans="2:26">
      <c r="C99" s="9"/>
      <c r="D99" s="9"/>
      <c r="E99" s="9"/>
      <c r="F99" s="9"/>
      <c r="G99" s="9"/>
      <c r="H99" s="173"/>
      <c r="I99" s="9"/>
      <c r="J99" s="9"/>
      <c r="K99" s="9"/>
      <c r="L99" s="9"/>
      <c r="M99" s="9"/>
      <c r="N99" s="9"/>
      <c r="O99" s="9"/>
      <c r="P99" s="176"/>
    </row>
    <row r="100" spans="2:26">
      <c r="C100" s="9"/>
      <c r="D100" s="9"/>
      <c r="E100" s="9"/>
      <c r="F100" s="9"/>
      <c r="G100" s="9"/>
      <c r="H100" s="173"/>
      <c r="I100" s="9"/>
      <c r="J100" s="9"/>
      <c r="K100" s="9"/>
      <c r="L100" s="9"/>
      <c r="M100" s="9"/>
      <c r="N100" s="9"/>
      <c r="O100" s="9"/>
      <c r="P100" s="176"/>
    </row>
    <row r="101" spans="2:26">
      <c r="C101" s="9"/>
      <c r="D101" s="9"/>
      <c r="E101" s="9"/>
      <c r="F101" s="9"/>
      <c r="G101" s="9"/>
      <c r="H101" s="173"/>
      <c r="I101" s="9"/>
      <c r="J101" s="9"/>
      <c r="K101" s="9"/>
      <c r="L101" s="9"/>
      <c r="M101" s="9"/>
      <c r="N101" s="9"/>
      <c r="O101" s="9"/>
      <c r="P101" s="176"/>
    </row>
    <row r="102" spans="2:26">
      <c r="C102" s="9"/>
      <c r="D102" s="9"/>
      <c r="E102" s="9"/>
      <c r="F102" s="9"/>
      <c r="G102" s="9"/>
      <c r="H102" s="173"/>
      <c r="I102" s="9"/>
      <c r="J102" s="9"/>
      <c r="K102" s="9"/>
      <c r="L102" s="9"/>
      <c r="M102" s="9"/>
      <c r="N102" s="9"/>
      <c r="O102" s="9"/>
      <c r="P102" s="176"/>
    </row>
    <row r="103" spans="2:26">
      <c r="C103" s="9"/>
      <c r="D103" s="9"/>
      <c r="E103" s="9"/>
      <c r="F103" s="9"/>
      <c r="G103" s="9"/>
      <c r="H103" s="173"/>
      <c r="I103" s="9"/>
      <c r="J103" s="9"/>
      <c r="K103" s="9"/>
      <c r="L103" s="9"/>
      <c r="M103" s="9"/>
      <c r="N103" s="9"/>
      <c r="O103" s="9"/>
      <c r="P103" s="176"/>
    </row>
    <row r="104" spans="2:26">
      <c r="C104" s="9"/>
      <c r="D104" s="9"/>
      <c r="E104" s="9"/>
      <c r="F104" s="9"/>
      <c r="G104" s="9"/>
      <c r="H104" s="173"/>
      <c r="I104" s="9"/>
      <c r="J104" s="9"/>
      <c r="K104" s="9"/>
      <c r="L104" s="9"/>
      <c r="M104" s="9"/>
      <c r="N104" s="9"/>
      <c r="O104" s="9"/>
      <c r="P104" s="176"/>
    </row>
    <row r="105" spans="2:26">
      <c r="C105" s="9"/>
      <c r="D105" s="9"/>
      <c r="E105" s="9"/>
      <c r="F105" s="9"/>
      <c r="G105" s="9"/>
      <c r="H105" s="173"/>
      <c r="I105" s="9"/>
      <c r="J105" s="9"/>
      <c r="K105" s="9"/>
      <c r="L105" s="9"/>
      <c r="M105" s="9"/>
      <c r="N105" s="9"/>
      <c r="O105" s="9"/>
      <c r="P105" s="176"/>
    </row>
    <row r="106" spans="2:26" s="142" customFormat="1">
      <c r="C106" s="7"/>
      <c r="D106" s="7"/>
      <c r="E106" s="7"/>
      <c r="F106" s="7"/>
      <c r="G106" s="7"/>
      <c r="H106" s="7"/>
      <c r="I106" s="7"/>
      <c r="J106" s="7"/>
      <c r="K106" s="7"/>
      <c r="L106" s="7"/>
    </row>
    <row r="107" spans="2:26" s="142" customFormat="1">
      <c r="B107" s="65"/>
      <c r="C107" s="65"/>
      <c r="D107" s="65"/>
      <c r="E107" s="65"/>
      <c r="F107" s="65"/>
      <c r="G107" s="65"/>
      <c r="H107" s="65"/>
      <c r="I107" s="65"/>
      <c r="J107" s="65"/>
      <c r="K107" s="65"/>
      <c r="L107" s="65"/>
      <c r="M107" s="65"/>
      <c r="N107" s="65"/>
      <c r="O107" s="65"/>
      <c r="P107" s="65"/>
      <c r="Q107" s="65"/>
      <c r="R107" s="65"/>
      <c r="S107" s="65"/>
      <c r="T107" s="65"/>
      <c r="U107" s="65"/>
      <c r="V107" s="65"/>
      <c r="W107" s="65"/>
      <c r="X107" s="65"/>
      <c r="Y107" s="65"/>
      <c r="Z107" s="65"/>
    </row>
    <row r="108" spans="2:26" s="142" customFormat="1" ht="15" customHeight="1">
      <c r="B108" s="404" t="s">
        <v>224</v>
      </c>
      <c r="C108" s="404"/>
      <c r="D108" s="404"/>
      <c r="E108" s="404"/>
      <c r="F108" s="404"/>
      <c r="G108" s="404"/>
      <c r="H108" s="404"/>
      <c r="I108" s="404"/>
      <c r="J108" s="404"/>
      <c r="K108" s="404"/>
      <c r="L108" s="404"/>
      <c r="M108" s="404"/>
      <c r="N108" s="404"/>
    </row>
    <row r="109" spans="2:26" s="142" customFormat="1">
      <c r="B109" s="404"/>
      <c r="C109" s="404"/>
      <c r="D109" s="404"/>
      <c r="E109" s="404"/>
      <c r="F109" s="404"/>
      <c r="G109" s="404"/>
      <c r="H109" s="404"/>
      <c r="I109" s="404"/>
      <c r="J109" s="404"/>
      <c r="K109" s="404"/>
      <c r="L109" s="404"/>
      <c r="M109" s="404"/>
      <c r="N109" s="404"/>
    </row>
    <row r="110" spans="2:26" s="1" customFormat="1" ht="85.95" customHeight="1">
      <c r="B110" s="403" t="e" vm="1">
        <v>#VALUE!</v>
      </c>
      <c r="C110" s="403"/>
      <c r="D110" s="403"/>
      <c r="E110" s="403"/>
      <c r="F110" s="403"/>
      <c r="G110" s="403"/>
      <c r="H110" s="403"/>
      <c r="I110" s="403"/>
      <c r="J110" s="403"/>
      <c r="K110" s="403"/>
      <c r="L110" s="403"/>
      <c r="M110" s="403"/>
    </row>
    <row r="111" spans="2:26">
      <c r="C111" s="9"/>
      <c r="D111" s="9"/>
      <c r="E111" s="9"/>
      <c r="F111" s="9"/>
      <c r="G111" s="9"/>
      <c r="H111" s="173"/>
      <c r="I111" s="9"/>
      <c r="J111" s="9"/>
      <c r="K111" s="9"/>
      <c r="L111" s="9"/>
      <c r="M111" s="9"/>
      <c r="N111" s="9"/>
      <c r="O111" s="9"/>
      <c r="P111" s="176"/>
    </row>
    <row r="112" spans="2:26">
      <c r="C112" s="9"/>
      <c r="D112" s="9"/>
      <c r="E112" s="9"/>
      <c r="F112" s="9"/>
      <c r="G112" s="9"/>
      <c r="H112" s="173"/>
      <c r="I112" s="9"/>
      <c r="J112" s="9"/>
      <c r="K112" s="9"/>
      <c r="L112" s="9"/>
      <c r="M112" s="9"/>
      <c r="N112" s="9"/>
      <c r="O112" s="9"/>
      <c r="P112" s="176"/>
    </row>
    <row r="113" spans="8:16">
      <c r="H113" s="173"/>
      <c r="I113" s="9"/>
      <c r="J113" s="9"/>
      <c r="K113" s="9"/>
      <c r="L113" s="9"/>
      <c r="M113" s="9"/>
      <c r="N113" s="9"/>
      <c r="O113" s="9"/>
      <c r="P113" s="176"/>
    </row>
    <row r="114" spans="8:16">
      <c r="H114" s="173"/>
      <c r="I114" s="9"/>
      <c r="J114" s="9"/>
      <c r="K114" s="9"/>
      <c r="L114" s="9"/>
      <c r="M114" s="9"/>
      <c r="N114" s="9"/>
      <c r="O114" s="9"/>
      <c r="P114" s="176"/>
    </row>
    <row r="115" spans="8:16">
      <c r="H115" s="173"/>
      <c r="I115" s="9"/>
      <c r="J115" s="9"/>
      <c r="K115" s="9"/>
      <c r="L115" s="9"/>
      <c r="M115" s="9"/>
      <c r="N115" s="9"/>
      <c r="O115" s="9"/>
      <c r="P115" s="176"/>
    </row>
    <row r="116" spans="8:16">
      <c r="H116" s="173"/>
      <c r="I116" s="9"/>
      <c r="J116" s="9"/>
      <c r="K116" s="9"/>
      <c r="L116" s="9"/>
      <c r="M116" s="9"/>
      <c r="N116" s="9"/>
      <c r="O116" s="9"/>
      <c r="P116" s="176"/>
    </row>
    <row r="117" spans="8:16">
      <c r="H117" s="173"/>
      <c r="I117" s="9"/>
      <c r="J117" s="9"/>
      <c r="K117" s="9"/>
      <c r="L117" s="9"/>
      <c r="M117" s="9"/>
      <c r="N117" s="9"/>
      <c r="O117" s="9"/>
      <c r="P117" s="176"/>
    </row>
    <row r="118" spans="8:16">
      <c r="H118" s="173"/>
      <c r="I118" s="9"/>
      <c r="J118" s="9"/>
      <c r="K118" s="9"/>
      <c r="L118" s="9"/>
      <c r="M118" s="9"/>
      <c r="N118" s="9"/>
      <c r="O118" s="9"/>
      <c r="P118" s="176"/>
    </row>
    <row r="119" spans="8:16">
      <c r="H119" s="173"/>
      <c r="I119" s="9"/>
      <c r="J119" s="9"/>
      <c r="K119" s="9"/>
      <c r="L119" s="9"/>
      <c r="M119" s="9"/>
      <c r="N119" s="9"/>
      <c r="O119" s="9"/>
      <c r="P119" s="176"/>
    </row>
    <row r="120" spans="8:16">
      <c r="H120" s="173"/>
      <c r="I120" s="9"/>
      <c r="J120" s="9"/>
      <c r="K120" s="9"/>
      <c r="L120" s="9"/>
      <c r="M120" s="9"/>
      <c r="N120" s="9"/>
      <c r="O120" s="9"/>
      <c r="P120" s="176"/>
    </row>
    <row r="121" spans="8:16">
      <c r="H121" s="173"/>
      <c r="I121" s="9"/>
      <c r="J121" s="9"/>
      <c r="K121" s="9"/>
      <c r="L121" s="9"/>
      <c r="M121" s="9"/>
      <c r="N121" s="9"/>
      <c r="O121" s="9"/>
      <c r="P121" s="176"/>
    </row>
    <row r="122" spans="8:16">
      <c r="H122" s="173"/>
      <c r="I122" s="9"/>
      <c r="J122" s="9"/>
      <c r="K122" s="9"/>
      <c r="L122" s="9"/>
      <c r="M122" s="9"/>
      <c r="N122" s="9"/>
      <c r="O122" s="9"/>
      <c r="P122" s="176"/>
    </row>
    <row r="123" spans="8:16">
      <c r="H123" s="173"/>
      <c r="I123" s="9"/>
      <c r="J123" s="9"/>
      <c r="K123" s="9"/>
      <c r="L123" s="9"/>
      <c r="M123" s="9"/>
      <c r="N123" s="9"/>
      <c r="O123" s="9"/>
      <c r="P123" s="176"/>
    </row>
    <row r="124" spans="8:16">
      <c r="H124" s="173"/>
      <c r="I124" s="9"/>
      <c r="J124" s="9"/>
      <c r="K124" s="9"/>
      <c r="L124" s="9"/>
      <c r="M124" s="9"/>
      <c r="N124" s="9"/>
      <c r="O124" s="9"/>
      <c r="P124" s="176"/>
    </row>
    <row r="125" spans="8:16">
      <c r="H125" s="173"/>
      <c r="I125" s="9"/>
      <c r="J125" s="9"/>
      <c r="K125" s="9"/>
      <c r="L125" s="9"/>
      <c r="M125" s="9"/>
      <c r="N125" s="9"/>
      <c r="O125" s="9"/>
      <c r="P125" s="176"/>
    </row>
    <row r="126" spans="8:16">
      <c r="H126" s="173"/>
      <c r="I126" s="9"/>
      <c r="J126" s="9"/>
      <c r="K126" s="9"/>
      <c r="L126" s="9"/>
      <c r="M126" s="9"/>
      <c r="N126" s="9"/>
      <c r="O126" s="9"/>
      <c r="P126" s="176"/>
    </row>
    <row r="127" spans="8:16">
      <c r="H127" s="173"/>
      <c r="I127" s="9"/>
      <c r="J127" s="9"/>
      <c r="K127" s="9"/>
      <c r="L127" s="9"/>
      <c r="M127" s="9"/>
      <c r="N127" s="9"/>
      <c r="O127" s="9"/>
      <c r="P127" s="176"/>
    </row>
    <row r="128" spans="8:16">
      <c r="H128" s="173"/>
      <c r="I128" s="9"/>
      <c r="J128" s="9"/>
      <c r="K128" s="9"/>
      <c r="L128" s="9"/>
      <c r="M128" s="9"/>
      <c r="N128" s="9"/>
      <c r="O128" s="9"/>
      <c r="P128" s="176"/>
    </row>
    <row r="129" spans="8:16">
      <c r="H129" s="173"/>
      <c r="I129" s="9"/>
      <c r="J129" s="9"/>
      <c r="K129" s="9"/>
      <c r="L129" s="9"/>
      <c r="M129" s="9"/>
      <c r="N129" s="9"/>
      <c r="O129" s="9"/>
      <c r="P129" s="176"/>
    </row>
    <row r="130" spans="8:16">
      <c r="H130" s="173"/>
      <c r="I130" s="9"/>
      <c r="J130" s="9"/>
      <c r="K130" s="9"/>
      <c r="L130" s="9"/>
      <c r="M130" s="9"/>
      <c r="N130" s="9"/>
      <c r="O130" s="9"/>
      <c r="P130" s="176"/>
    </row>
    <row r="131" spans="8:16">
      <c r="H131" s="173"/>
      <c r="I131" s="9"/>
      <c r="J131" s="9"/>
      <c r="K131" s="9"/>
      <c r="L131" s="9"/>
      <c r="M131" s="9"/>
      <c r="N131" s="9"/>
      <c r="O131" s="9"/>
      <c r="P131" s="176"/>
    </row>
    <row r="132" spans="8:16">
      <c r="H132" s="173"/>
      <c r="I132" s="9"/>
      <c r="J132" s="9"/>
      <c r="K132" s="9"/>
      <c r="L132" s="9"/>
      <c r="M132" s="9"/>
      <c r="N132" s="9"/>
      <c r="O132" s="9"/>
      <c r="P132" s="176"/>
    </row>
    <row r="133" spans="8:16">
      <c r="H133" s="173"/>
      <c r="I133" s="9"/>
      <c r="J133" s="9"/>
      <c r="K133" s="9"/>
      <c r="L133" s="9"/>
      <c r="M133" s="9"/>
      <c r="N133" s="9"/>
      <c r="O133" s="9"/>
      <c r="P133" s="176"/>
    </row>
    <row r="134" spans="8:16">
      <c r="H134" s="173"/>
      <c r="I134" s="9"/>
      <c r="J134" s="9"/>
      <c r="K134" s="9"/>
      <c r="L134" s="9"/>
      <c r="M134" s="9"/>
      <c r="N134" s="9"/>
      <c r="O134" s="9"/>
      <c r="P134" s="176"/>
    </row>
    <row r="135" spans="8:16">
      <c r="H135" s="173"/>
      <c r="I135" s="9"/>
      <c r="J135" s="9"/>
      <c r="K135" s="9"/>
      <c r="L135" s="9"/>
      <c r="M135" s="9"/>
      <c r="N135" s="9"/>
      <c r="O135" s="9"/>
      <c r="P135" s="176"/>
    </row>
    <row r="136" spans="8:16">
      <c r="H136" s="173"/>
      <c r="I136" s="9"/>
      <c r="J136" s="9"/>
      <c r="K136" s="9"/>
      <c r="L136" s="9"/>
      <c r="M136" s="9"/>
      <c r="N136" s="9"/>
      <c r="O136" s="9"/>
      <c r="P136" s="176"/>
    </row>
    <row r="137" spans="8:16">
      <c r="H137" s="173"/>
      <c r="I137" s="9"/>
      <c r="J137" s="9"/>
      <c r="K137" s="9"/>
      <c r="L137" s="9"/>
      <c r="M137" s="9"/>
      <c r="N137" s="9"/>
      <c r="O137" s="9"/>
      <c r="P137" s="176"/>
    </row>
    <row r="138" spans="8:16">
      <c r="H138" s="173"/>
      <c r="I138" s="9"/>
      <c r="J138" s="9"/>
      <c r="K138" s="9"/>
      <c r="L138" s="9"/>
      <c r="M138" s="9"/>
      <c r="N138" s="9"/>
      <c r="O138" s="9"/>
      <c r="P138" s="176"/>
    </row>
    <row r="139" spans="8:16">
      <c r="H139" s="173"/>
      <c r="I139" s="9"/>
      <c r="J139" s="9"/>
      <c r="K139" s="9"/>
      <c r="L139" s="9"/>
      <c r="M139" s="9"/>
      <c r="N139" s="9"/>
      <c r="O139" s="9"/>
      <c r="P139" s="176"/>
    </row>
    <row r="140" spans="8:16">
      <c r="H140" s="173"/>
      <c r="I140" s="9"/>
      <c r="J140" s="9"/>
      <c r="K140" s="9"/>
      <c r="L140" s="9"/>
      <c r="M140" s="9"/>
      <c r="N140" s="9"/>
      <c r="O140" s="9"/>
      <c r="P140" s="176"/>
    </row>
    <row r="141" spans="8:16">
      <c r="H141" s="173"/>
      <c r="I141" s="9"/>
      <c r="J141" s="9"/>
      <c r="K141" s="9"/>
      <c r="L141" s="9"/>
      <c r="M141" s="9"/>
      <c r="N141" s="9"/>
      <c r="O141" s="9"/>
      <c r="P141" s="176"/>
    </row>
    <row r="142" spans="8:16">
      <c r="H142" s="173"/>
      <c r="I142" s="9"/>
      <c r="J142" s="9"/>
      <c r="K142" s="9"/>
      <c r="L142" s="9"/>
      <c r="M142" s="9"/>
      <c r="N142" s="9"/>
      <c r="O142" s="9"/>
      <c r="P142" s="176"/>
    </row>
    <row r="143" spans="8:16">
      <c r="H143" s="173"/>
      <c r="I143" s="9"/>
      <c r="J143" s="9"/>
      <c r="K143" s="9"/>
      <c r="L143" s="9"/>
      <c r="M143" s="9"/>
      <c r="N143" s="9"/>
      <c r="O143" s="9"/>
      <c r="P143" s="176"/>
    </row>
    <row r="144" spans="8:16">
      <c r="H144" s="173"/>
      <c r="I144" s="9"/>
      <c r="J144" s="9"/>
      <c r="K144" s="9"/>
      <c r="L144" s="9"/>
      <c r="M144" s="9"/>
      <c r="N144" s="9"/>
      <c r="O144" s="9"/>
      <c r="P144" s="176"/>
    </row>
    <row r="145" spans="8:16">
      <c r="H145" s="173"/>
      <c r="I145" s="9"/>
      <c r="J145" s="9"/>
      <c r="K145" s="9"/>
      <c r="L145" s="9"/>
      <c r="M145" s="9"/>
      <c r="N145" s="9"/>
      <c r="O145" s="9"/>
      <c r="P145" s="176"/>
    </row>
    <row r="146" spans="8:16">
      <c r="H146" s="173"/>
      <c r="I146" s="9"/>
      <c r="J146" s="9"/>
      <c r="K146" s="9"/>
      <c r="L146" s="9"/>
      <c r="M146" s="9"/>
      <c r="N146" s="9"/>
      <c r="O146" s="9"/>
      <c r="P146" s="176"/>
    </row>
    <row r="147" spans="8:16">
      <c r="H147" s="173"/>
      <c r="I147" s="9"/>
      <c r="J147" s="9"/>
      <c r="K147" s="9"/>
      <c r="L147" s="9"/>
      <c r="M147" s="9"/>
      <c r="N147" s="9"/>
      <c r="O147" s="9"/>
      <c r="P147" s="176"/>
    </row>
    <row r="148" spans="8:16">
      <c r="H148" s="173"/>
      <c r="I148" s="9"/>
      <c r="J148" s="9"/>
      <c r="K148" s="9"/>
      <c r="L148" s="9"/>
      <c r="M148" s="9"/>
      <c r="N148" s="9"/>
      <c r="O148" s="9"/>
      <c r="P148" s="176"/>
    </row>
    <row r="149" spans="8:16">
      <c r="H149" s="173"/>
      <c r="I149" s="9"/>
      <c r="J149" s="9"/>
      <c r="K149" s="9"/>
      <c r="L149" s="9"/>
      <c r="M149" s="9"/>
      <c r="N149" s="9"/>
      <c r="O149" s="9"/>
      <c r="P149" s="176"/>
    </row>
    <row r="150" spans="8:16">
      <c r="H150" s="173"/>
      <c r="I150" s="9"/>
      <c r="J150" s="9"/>
      <c r="K150" s="9"/>
      <c r="L150" s="9"/>
      <c r="M150" s="9"/>
      <c r="N150" s="9"/>
      <c r="O150" s="9"/>
      <c r="P150" s="176"/>
    </row>
    <row r="151" spans="8:16">
      <c r="H151" s="173"/>
      <c r="I151" s="9"/>
      <c r="J151" s="9"/>
      <c r="K151" s="9"/>
      <c r="L151" s="9"/>
      <c r="M151" s="9"/>
      <c r="N151" s="9"/>
      <c r="O151" s="9"/>
      <c r="P151" s="176"/>
    </row>
    <row r="152" spans="8:16">
      <c r="H152" s="173"/>
      <c r="I152" s="9"/>
      <c r="J152" s="9"/>
      <c r="K152" s="9"/>
      <c r="L152" s="9"/>
      <c r="M152" s="9"/>
      <c r="N152" s="9"/>
      <c r="O152" s="9"/>
      <c r="P152" s="176"/>
    </row>
    <row r="153" spans="8:16">
      <c r="H153" s="173"/>
      <c r="I153" s="9"/>
      <c r="J153" s="9"/>
      <c r="K153" s="9"/>
      <c r="L153" s="9"/>
      <c r="M153" s="9"/>
      <c r="N153" s="9"/>
      <c r="O153" s="9"/>
      <c r="P153" s="176"/>
    </row>
    <row r="154" spans="8:16">
      <c r="H154" s="173"/>
      <c r="I154" s="9"/>
      <c r="J154" s="9"/>
      <c r="K154" s="9"/>
      <c r="L154" s="9"/>
      <c r="M154" s="9"/>
      <c r="N154" s="9"/>
      <c r="O154" s="9"/>
      <c r="P154" s="176"/>
    </row>
    <row r="155" spans="8:16">
      <c r="H155" s="173"/>
      <c r="I155" s="9"/>
      <c r="J155" s="9"/>
      <c r="K155" s="9"/>
      <c r="L155" s="9"/>
      <c r="M155" s="9"/>
      <c r="N155" s="9"/>
      <c r="O155" s="9"/>
      <c r="P155" s="176"/>
    </row>
    <row r="156" spans="8:16">
      <c r="H156" s="173"/>
      <c r="I156" s="9"/>
      <c r="J156" s="9"/>
      <c r="K156" s="9"/>
      <c r="L156" s="9"/>
      <c r="M156" s="9"/>
      <c r="N156" s="9"/>
      <c r="O156" s="9"/>
      <c r="P156" s="176"/>
    </row>
    <row r="157" spans="8:16">
      <c r="H157" s="173"/>
      <c r="I157" s="9"/>
      <c r="J157" s="9"/>
      <c r="K157" s="9"/>
      <c r="L157" s="9"/>
      <c r="M157" s="9"/>
      <c r="N157" s="9"/>
      <c r="O157" s="9"/>
      <c r="P157" s="176"/>
    </row>
    <row r="158" spans="8:16">
      <c r="H158" s="173"/>
      <c r="I158" s="9"/>
      <c r="J158" s="9"/>
      <c r="K158" s="9"/>
      <c r="L158" s="9"/>
      <c r="M158" s="9"/>
      <c r="N158" s="9"/>
      <c r="O158" s="9"/>
      <c r="P158" s="176"/>
    </row>
    <row r="159" spans="8:16">
      <c r="H159" s="173"/>
      <c r="I159" s="9"/>
      <c r="J159" s="9"/>
      <c r="K159" s="9"/>
      <c r="L159" s="9"/>
      <c r="M159" s="9"/>
      <c r="N159" s="9"/>
      <c r="O159" s="9"/>
      <c r="P159" s="176"/>
    </row>
    <row r="160" spans="8:16">
      <c r="H160" s="173"/>
      <c r="I160" s="9"/>
      <c r="J160" s="9"/>
      <c r="K160" s="9"/>
      <c r="L160" s="9"/>
      <c r="M160" s="9"/>
      <c r="N160" s="9"/>
      <c r="O160" s="9"/>
      <c r="P160" s="176"/>
    </row>
    <row r="161" spans="8:16">
      <c r="H161" s="173"/>
      <c r="I161" s="9"/>
      <c r="J161" s="9"/>
      <c r="K161" s="9"/>
      <c r="L161" s="9"/>
      <c r="M161" s="9"/>
      <c r="N161" s="9"/>
      <c r="O161" s="9"/>
      <c r="P161" s="176"/>
    </row>
    <row r="162" spans="8:16">
      <c r="H162" s="173"/>
      <c r="I162" s="9"/>
      <c r="J162" s="9"/>
      <c r="K162" s="9"/>
      <c r="L162" s="9"/>
      <c r="M162" s="9"/>
      <c r="N162" s="9"/>
      <c r="O162" s="9"/>
      <c r="P162" s="176"/>
    </row>
    <row r="163" spans="8:16">
      <c r="H163" s="173"/>
      <c r="I163" s="9"/>
      <c r="J163" s="9"/>
      <c r="K163" s="9"/>
      <c r="L163" s="9"/>
      <c r="M163" s="9"/>
      <c r="N163" s="9"/>
      <c r="O163" s="9"/>
      <c r="P163" s="176"/>
    </row>
    <row r="164" spans="8:16">
      <c r="H164" s="173"/>
      <c r="I164" s="9"/>
      <c r="J164" s="9"/>
      <c r="K164" s="9"/>
      <c r="L164" s="9"/>
      <c r="M164" s="9"/>
      <c r="N164" s="9"/>
      <c r="O164" s="9"/>
      <c r="P164" s="176"/>
    </row>
    <row r="165" spans="8:16">
      <c r="H165" s="173"/>
      <c r="I165" s="9"/>
      <c r="J165" s="9"/>
      <c r="K165" s="9"/>
      <c r="L165" s="9"/>
      <c r="M165" s="9"/>
      <c r="N165" s="9"/>
      <c r="O165" s="9"/>
      <c r="P165" s="176"/>
    </row>
    <row r="166" spans="8:16">
      <c r="H166" s="173"/>
      <c r="I166" s="9"/>
      <c r="J166" s="9"/>
      <c r="K166" s="9"/>
      <c r="L166" s="9"/>
      <c r="M166" s="9"/>
      <c r="N166" s="9"/>
      <c r="O166" s="9"/>
      <c r="P166" s="176"/>
    </row>
    <row r="167" spans="8:16">
      <c r="H167" s="173"/>
      <c r="I167" s="9"/>
      <c r="J167" s="9"/>
      <c r="K167" s="9"/>
      <c r="L167" s="9"/>
      <c r="M167" s="9"/>
      <c r="N167" s="9"/>
      <c r="O167" s="9"/>
      <c r="P167" s="176"/>
    </row>
    <row r="168" spans="8:16">
      <c r="H168" s="173"/>
      <c r="I168" s="9"/>
      <c r="J168" s="9"/>
      <c r="K168" s="9"/>
      <c r="L168" s="9"/>
      <c r="M168" s="9"/>
      <c r="N168" s="9"/>
      <c r="O168" s="9"/>
      <c r="P168" s="176"/>
    </row>
    <row r="169" spans="8:16">
      <c r="H169" s="173"/>
      <c r="I169" s="9"/>
      <c r="J169" s="9"/>
      <c r="K169" s="9"/>
      <c r="L169" s="9"/>
      <c r="M169" s="9"/>
      <c r="N169" s="9"/>
      <c r="O169" s="9"/>
      <c r="P169" s="176"/>
    </row>
    <row r="170" spans="8:16">
      <c r="H170" s="173"/>
      <c r="I170" s="9"/>
      <c r="J170" s="9"/>
      <c r="K170" s="9"/>
      <c r="L170" s="9"/>
      <c r="M170" s="9"/>
      <c r="N170" s="9"/>
      <c r="O170" s="9"/>
      <c r="P170" s="176"/>
    </row>
    <row r="171" spans="8:16">
      <c r="H171" s="173"/>
      <c r="I171" s="9"/>
      <c r="J171" s="9"/>
      <c r="K171" s="9"/>
      <c r="L171" s="9"/>
      <c r="M171" s="9"/>
      <c r="N171" s="9"/>
      <c r="O171" s="9"/>
      <c r="P171" s="176"/>
    </row>
    <row r="172" spans="8:16">
      <c r="H172" s="173"/>
      <c r="I172" s="9"/>
      <c r="J172" s="9"/>
      <c r="K172" s="9"/>
      <c r="L172" s="9"/>
      <c r="M172" s="9"/>
      <c r="N172" s="9"/>
      <c r="O172" s="9"/>
      <c r="P172" s="176"/>
    </row>
    <row r="173" spans="8:16">
      <c r="H173" s="173"/>
      <c r="I173" s="9"/>
      <c r="J173" s="9"/>
      <c r="K173" s="9"/>
      <c r="L173" s="9"/>
      <c r="M173" s="9"/>
      <c r="N173" s="9"/>
      <c r="O173" s="9"/>
      <c r="P173" s="176"/>
    </row>
    <row r="174" spans="8:16">
      <c r="H174" s="173"/>
      <c r="I174" s="9"/>
      <c r="J174" s="9"/>
      <c r="K174" s="9"/>
      <c r="L174" s="9"/>
      <c r="M174" s="9"/>
      <c r="N174" s="9"/>
      <c r="O174" s="9"/>
      <c r="P174" s="176"/>
    </row>
    <row r="175" spans="8:16">
      <c r="H175" s="173"/>
      <c r="I175" s="9"/>
      <c r="J175" s="9"/>
      <c r="K175" s="9"/>
      <c r="L175" s="9"/>
      <c r="M175" s="9"/>
      <c r="N175" s="9"/>
      <c r="O175" s="9"/>
      <c r="P175" s="176"/>
    </row>
    <row r="176" spans="8:16">
      <c r="H176" s="173"/>
      <c r="I176" s="9"/>
      <c r="J176" s="9"/>
      <c r="K176" s="9"/>
      <c r="L176" s="9"/>
      <c r="M176" s="9"/>
      <c r="N176" s="9"/>
      <c r="O176" s="9"/>
      <c r="P176" s="176"/>
    </row>
    <row r="177" spans="8:16">
      <c r="H177" s="173"/>
      <c r="I177" s="9"/>
      <c r="J177" s="9"/>
      <c r="K177" s="9"/>
      <c r="L177" s="9"/>
      <c r="M177" s="9"/>
      <c r="N177" s="9"/>
      <c r="O177" s="9"/>
      <c r="P177" s="176"/>
    </row>
    <row r="178" spans="8:16">
      <c r="H178" s="173"/>
      <c r="I178" s="9"/>
      <c r="J178" s="9"/>
      <c r="K178" s="9"/>
      <c r="L178" s="9"/>
      <c r="M178" s="9"/>
      <c r="N178" s="9"/>
      <c r="O178" s="9"/>
      <c r="P178" s="176"/>
    </row>
    <row r="179" spans="8:16">
      <c r="H179" s="173"/>
      <c r="I179" s="9"/>
      <c r="J179" s="9"/>
      <c r="K179" s="9"/>
      <c r="L179" s="9"/>
      <c r="M179" s="9"/>
      <c r="N179" s="9"/>
      <c r="O179" s="9"/>
      <c r="P179" s="176"/>
    </row>
    <row r="180" spans="8:16">
      <c r="H180" s="173"/>
      <c r="I180" s="9"/>
      <c r="J180" s="9"/>
      <c r="K180" s="9"/>
      <c r="L180" s="9"/>
      <c r="M180" s="9"/>
      <c r="N180" s="9"/>
      <c r="O180" s="9"/>
      <c r="P180" s="176"/>
    </row>
    <row r="181" spans="8:16">
      <c r="H181" s="173"/>
      <c r="I181" s="9"/>
      <c r="J181" s="9"/>
      <c r="K181" s="9"/>
      <c r="L181" s="9"/>
      <c r="M181" s="9"/>
      <c r="N181" s="9"/>
      <c r="O181" s="9"/>
      <c r="P181" s="176"/>
    </row>
    <row r="182" spans="8:16">
      <c r="H182" s="173"/>
      <c r="I182" s="9"/>
      <c r="J182" s="9"/>
      <c r="K182" s="9"/>
      <c r="L182" s="9"/>
      <c r="M182" s="9"/>
      <c r="N182" s="9"/>
      <c r="O182" s="9"/>
      <c r="P182" s="176"/>
    </row>
    <row r="183" spans="8:16">
      <c r="H183" s="173"/>
      <c r="I183" s="9"/>
      <c r="J183" s="9"/>
      <c r="K183" s="9"/>
      <c r="L183" s="9"/>
      <c r="M183" s="9"/>
      <c r="N183" s="9"/>
      <c r="O183" s="9"/>
      <c r="P183" s="176"/>
    </row>
    <row r="184" spans="8:16">
      <c r="H184" s="173"/>
      <c r="I184" s="9"/>
      <c r="J184" s="9"/>
      <c r="K184" s="9"/>
      <c r="L184" s="9"/>
      <c r="M184" s="9"/>
      <c r="N184" s="9"/>
      <c r="O184" s="9"/>
      <c r="P184" s="176"/>
    </row>
    <row r="185" spans="8:16">
      <c r="H185" s="173"/>
      <c r="I185" s="9"/>
      <c r="J185" s="9"/>
      <c r="K185" s="9"/>
      <c r="L185" s="9"/>
      <c r="M185" s="9"/>
      <c r="N185" s="9"/>
      <c r="O185" s="9"/>
      <c r="P185" s="176"/>
    </row>
    <row r="186" spans="8:16">
      <c r="H186" s="173"/>
      <c r="I186" s="9"/>
      <c r="J186" s="9"/>
      <c r="K186" s="9"/>
      <c r="L186" s="9"/>
      <c r="M186" s="9"/>
      <c r="N186" s="9"/>
      <c r="O186" s="9"/>
      <c r="P186" s="176"/>
    </row>
    <row r="187" spans="8:16">
      <c r="H187" s="173"/>
      <c r="I187" s="9"/>
      <c r="J187" s="9"/>
      <c r="K187" s="9"/>
      <c r="L187" s="9"/>
      <c r="M187" s="9"/>
      <c r="N187" s="9"/>
      <c r="O187" s="9"/>
      <c r="P187" s="176"/>
    </row>
    <row r="188" spans="8:16">
      <c r="H188" s="173"/>
      <c r="I188" s="9"/>
      <c r="J188" s="9"/>
      <c r="K188" s="9"/>
      <c r="L188" s="9"/>
      <c r="M188" s="9"/>
      <c r="N188" s="9"/>
      <c r="O188" s="9"/>
      <c r="P188" s="176"/>
    </row>
    <row r="189" spans="8:16">
      <c r="H189" s="173"/>
      <c r="I189" s="9"/>
      <c r="J189" s="9"/>
      <c r="K189" s="9"/>
      <c r="L189" s="9"/>
      <c r="M189" s="9"/>
      <c r="N189" s="9"/>
      <c r="O189" s="9"/>
      <c r="P189" s="176"/>
    </row>
    <row r="190" spans="8:16">
      <c r="H190" s="173"/>
      <c r="I190" s="9"/>
      <c r="J190" s="9"/>
      <c r="K190" s="9"/>
      <c r="L190" s="9"/>
      <c r="M190" s="9"/>
      <c r="N190" s="9"/>
      <c r="O190" s="9"/>
      <c r="P190" s="176"/>
    </row>
    <row r="191" spans="8:16">
      <c r="H191" s="173"/>
      <c r="I191" s="9"/>
      <c r="J191" s="9"/>
      <c r="K191" s="9"/>
      <c r="L191" s="9"/>
      <c r="M191" s="9"/>
      <c r="N191" s="9"/>
      <c r="O191" s="9"/>
      <c r="P191" s="176"/>
    </row>
    <row r="192" spans="8:16">
      <c r="H192" s="173"/>
      <c r="I192" s="9"/>
      <c r="J192" s="9"/>
      <c r="K192" s="9"/>
      <c r="L192" s="9"/>
      <c r="M192" s="9"/>
      <c r="N192" s="9"/>
      <c r="O192" s="9"/>
      <c r="P192" s="176"/>
    </row>
    <row r="193" spans="8:16">
      <c r="H193" s="173"/>
      <c r="I193" s="9"/>
      <c r="J193" s="9"/>
      <c r="K193" s="9"/>
      <c r="L193" s="9"/>
      <c r="M193" s="9"/>
      <c r="N193" s="9"/>
      <c r="O193" s="9"/>
      <c r="P193" s="176"/>
    </row>
    <row r="194" spans="8:16">
      <c r="H194" s="173"/>
      <c r="I194" s="9"/>
      <c r="J194" s="9"/>
      <c r="K194" s="9"/>
      <c r="L194" s="9"/>
      <c r="M194" s="9"/>
      <c r="N194" s="9"/>
      <c r="O194" s="9"/>
      <c r="P194" s="176"/>
    </row>
    <row r="195" spans="8:16">
      <c r="H195" s="173"/>
      <c r="I195" s="9"/>
      <c r="J195" s="9"/>
      <c r="K195" s="9"/>
      <c r="L195" s="9"/>
      <c r="M195" s="9"/>
      <c r="N195" s="9"/>
      <c r="O195" s="9"/>
      <c r="P195" s="176"/>
    </row>
    <row r="196" spans="8:16">
      <c r="H196" s="173"/>
      <c r="I196" s="9"/>
      <c r="J196" s="9"/>
      <c r="K196" s="9"/>
      <c r="L196" s="9"/>
      <c r="M196" s="9"/>
      <c r="N196" s="9"/>
      <c r="O196" s="9"/>
      <c r="P196" s="176"/>
    </row>
    <row r="197" spans="8:16">
      <c r="H197" s="173"/>
      <c r="I197" s="9"/>
      <c r="J197" s="9"/>
      <c r="K197" s="9"/>
      <c r="L197" s="9"/>
      <c r="M197" s="9"/>
      <c r="N197" s="9"/>
      <c r="O197" s="9"/>
      <c r="P197" s="176"/>
    </row>
    <row r="198" spans="8:16">
      <c r="H198" s="173"/>
      <c r="I198" s="9"/>
      <c r="J198" s="9"/>
      <c r="K198" s="9"/>
      <c r="L198" s="9"/>
      <c r="M198" s="9"/>
      <c r="N198" s="9"/>
      <c r="O198" s="9"/>
      <c r="P198" s="176"/>
    </row>
    <row r="199" spans="8:16">
      <c r="H199" s="173"/>
      <c r="I199" s="9"/>
      <c r="J199" s="9"/>
      <c r="K199" s="9"/>
      <c r="L199" s="9"/>
      <c r="M199" s="9"/>
      <c r="N199" s="9"/>
      <c r="O199" s="9"/>
      <c r="P199" s="176"/>
    </row>
    <row r="200" spans="8:16">
      <c r="H200" s="173"/>
      <c r="I200" s="9"/>
      <c r="J200" s="9"/>
      <c r="K200" s="9"/>
      <c r="L200" s="9"/>
      <c r="M200" s="9"/>
      <c r="N200" s="9"/>
      <c r="O200" s="9"/>
      <c r="P200" s="176"/>
    </row>
    <row r="201" spans="8:16">
      <c r="H201" s="173"/>
      <c r="I201" s="9"/>
      <c r="J201" s="9"/>
      <c r="K201" s="9"/>
      <c r="L201" s="9"/>
      <c r="M201" s="9"/>
      <c r="N201" s="9"/>
      <c r="O201" s="9"/>
      <c r="P201" s="176"/>
    </row>
    <row r="202" spans="8:16">
      <c r="H202" s="173"/>
      <c r="I202" s="9"/>
      <c r="J202" s="9"/>
      <c r="K202" s="9"/>
      <c r="L202" s="9"/>
      <c r="M202" s="9"/>
      <c r="N202" s="9"/>
      <c r="O202" s="9"/>
      <c r="P202" s="176"/>
    </row>
    <row r="203" spans="8:16">
      <c r="H203" s="173"/>
      <c r="I203" s="9"/>
      <c r="J203" s="9"/>
      <c r="K203" s="9"/>
      <c r="L203" s="9"/>
      <c r="M203" s="9"/>
      <c r="N203" s="9"/>
      <c r="O203" s="9"/>
      <c r="P203" s="176"/>
    </row>
    <row r="204" spans="8:16">
      <c r="H204" s="173"/>
      <c r="I204" s="9"/>
      <c r="J204" s="9"/>
      <c r="K204" s="9"/>
      <c r="L204" s="9"/>
      <c r="M204" s="9"/>
      <c r="N204" s="9"/>
      <c r="O204" s="9"/>
      <c r="P204" s="176"/>
    </row>
    <row r="205" spans="8:16">
      <c r="H205" s="173"/>
      <c r="I205" s="9"/>
      <c r="J205" s="9"/>
      <c r="K205" s="9"/>
      <c r="L205" s="9"/>
      <c r="M205" s="9"/>
      <c r="N205" s="9"/>
      <c r="O205" s="9"/>
      <c r="P205" s="176"/>
    </row>
    <row r="206" spans="8:16">
      <c r="H206" s="173"/>
      <c r="I206" s="9"/>
      <c r="J206" s="9"/>
      <c r="K206" s="9"/>
      <c r="L206" s="9"/>
      <c r="M206" s="9"/>
      <c r="N206" s="9"/>
      <c r="O206" s="9"/>
      <c r="P206" s="176"/>
    </row>
    <row r="207" spans="8:16">
      <c r="H207" s="173"/>
      <c r="I207" s="9"/>
      <c r="J207" s="9"/>
      <c r="K207" s="9"/>
      <c r="L207" s="9"/>
      <c r="M207" s="9"/>
      <c r="N207" s="9"/>
      <c r="O207" s="9"/>
      <c r="P207" s="176"/>
    </row>
    <row r="208" spans="8:16">
      <c r="H208" s="173"/>
      <c r="I208" s="9"/>
      <c r="J208" s="9"/>
      <c r="K208" s="9"/>
      <c r="L208" s="9"/>
      <c r="M208" s="9"/>
      <c r="N208" s="9"/>
      <c r="O208" s="9"/>
      <c r="P208" s="176"/>
    </row>
    <row r="209" spans="8:16">
      <c r="H209" s="173"/>
      <c r="I209" s="9"/>
      <c r="J209" s="9"/>
      <c r="K209" s="9"/>
      <c r="L209" s="9"/>
      <c r="M209" s="9"/>
      <c r="N209" s="9"/>
      <c r="O209" s="9"/>
      <c r="P209" s="176"/>
    </row>
    <row r="210" spans="8:16">
      <c r="H210" s="173"/>
      <c r="I210" s="9"/>
      <c r="J210" s="9"/>
      <c r="K210" s="9"/>
      <c r="L210" s="9"/>
      <c r="M210" s="9"/>
      <c r="N210" s="9"/>
      <c r="O210" s="9"/>
      <c r="P210" s="176"/>
    </row>
    <row r="211" spans="8:16">
      <c r="H211" s="173"/>
      <c r="I211" s="9"/>
      <c r="J211" s="9"/>
      <c r="K211" s="9"/>
      <c r="L211" s="9"/>
      <c r="M211" s="9"/>
      <c r="N211" s="9"/>
      <c r="O211" s="9"/>
      <c r="P211" s="176"/>
    </row>
    <row r="212" spans="8:16">
      <c r="H212" s="173"/>
      <c r="I212" s="9"/>
      <c r="J212" s="9"/>
      <c r="K212" s="9"/>
      <c r="L212" s="9"/>
      <c r="M212" s="9"/>
      <c r="N212" s="9"/>
      <c r="O212" s="9"/>
      <c r="P212" s="176"/>
    </row>
    <row r="213" spans="8:16">
      <c r="H213" s="173"/>
      <c r="I213" s="9"/>
      <c r="J213" s="9"/>
      <c r="K213" s="9"/>
      <c r="L213" s="9"/>
      <c r="M213" s="9"/>
      <c r="N213" s="9"/>
      <c r="O213" s="9"/>
      <c r="P213" s="176"/>
    </row>
    <row r="214" spans="8:16">
      <c r="H214" s="173"/>
      <c r="I214" s="9"/>
      <c r="J214" s="9"/>
      <c r="K214" s="9"/>
      <c r="L214" s="9"/>
      <c r="M214" s="9"/>
      <c r="N214" s="9"/>
      <c r="O214" s="9"/>
      <c r="P214" s="176"/>
    </row>
    <row r="215" spans="8:16">
      <c r="H215" s="173"/>
      <c r="I215" s="9"/>
      <c r="J215" s="9"/>
      <c r="K215" s="9"/>
      <c r="L215" s="9"/>
      <c r="M215" s="9"/>
      <c r="N215" s="9"/>
      <c r="O215" s="9"/>
      <c r="P215" s="176"/>
    </row>
    <row r="216" spans="8:16">
      <c r="H216" s="173"/>
      <c r="I216" s="9"/>
      <c r="J216" s="9"/>
      <c r="K216" s="9"/>
      <c r="L216" s="9"/>
      <c r="M216" s="9"/>
      <c r="N216" s="9"/>
      <c r="O216" s="9"/>
      <c r="P216" s="176"/>
    </row>
    <row r="217" spans="8:16">
      <c r="H217" s="173"/>
      <c r="I217" s="9"/>
      <c r="J217" s="9"/>
      <c r="K217" s="9"/>
      <c r="L217" s="9"/>
      <c r="M217" s="9"/>
      <c r="N217" s="9"/>
      <c r="O217" s="9"/>
      <c r="P217" s="176"/>
    </row>
    <row r="218" spans="8:16">
      <c r="H218" s="173"/>
      <c r="I218" s="9"/>
      <c r="J218" s="9"/>
      <c r="K218" s="9"/>
      <c r="L218" s="9"/>
      <c r="M218" s="9"/>
      <c r="N218" s="9"/>
      <c r="O218" s="9"/>
      <c r="P218" s="176"/>
    </row>
    <row r="219" spans="8:16">
      <c r="H219" s="173"/>
      <c r="I219" s="9"/>
      <c r="J219" s="9"/>
      <c r="K219" s="9"/>
      <c r="L219" s="9"/>
      <c r="M219" s="9"/>
      <c r="N219" s="9"/>
      <c r="O219" s="9"/>
      <c r="P219" s="176"/>
    </row>
    <row r="220" spans="8:16">
      <c r="H220" s="173"/>
      <c r="I220" s="9"/>
      <c r="J220" s="9"/>
      <c r="K220" s="9"/>
      <c r="L220" s="9"/>
      <c r="M220" s="9"/>
      <c r="N220" s="9"/>
      <c r="O220" s="9"/>
      <c r="P220" s="176"/>
    </row>
    <row r="221" spans="8:16">
      <c r="H221" s="173"/>
      <c r="I221" s="9"/>
      <c r="J221" s="9"/>
      <c r="K221" s="9"/>
      <c r="L221" s="9"/>
      <c r="M221" s="9"/>
      <c r="N221" s="9"/>
      <c r="O221" s="9"/>
      <c r="P221" s="176"/>
    </row>
    <row r="222" spans="8:16">
      <c r="H222" s="173"/>
      <c r="I222" s="9"/>
      <c r="J222" s="9"/>
      <c r="K222" s="9"/>
      <c r="L222" s="9"/>
      <c r="M222" s="9"/>
      <c r="N222" s="9"/>
      <c r="O222" s="9"/>
      <c r="P222" s="176"/>
    </row>
    <row r="223" spans="8:16">
      <c r="H223" s="173"/>
      <c r="I223" s="9"/>
      <c r="J223" s="9"/>
      <c r="K223" s="9"/>
      <c r="L223" s="9"/>
      <c r="M223" s="9"/>
      <c r="N223" s="9"/>
      <c r="O223" s="9"/>
      <c r="P223" s="176"/>
    </row>
    <row r="224" spans="8:16">
      <c r="H224" s="173"/>
      <c r="I224" s="9"/>
      <c r="J224" s="9"/>
      <c r="K224" s="9"/>
      <c r="L224" s="9"/>
      <c r="M224" s="9"/>
      <c r="N224" s="9"/>
      <c r="O224" s="9"/>
      <c r="P224" s="176"/>
    </row>
    <row r="225" spans="8:16">
      <c r="H225" s="173"/>
      <c r="I225" s="9"/>
      <c r="J225" s="9"/>
      <c r="K225" s="9"/>
      <c r="L225" s="9"/>
      <c r="M225" s="9"/>
      <c r="N225" s="9"/>
      <c r="O225" s="9"/>
      <c r="P225" s="176"/>
    </row>
    <row r="226" spans="8:16">
      <c r="H226" s="173"/>
      <c r="I226" s="9"/>
      <c r="J226" s="9"/>
      <c r="K226" s="9"/>
      <c r="L226" s="9"/>
      <c r="M226" s="9"/>
      <c r="N226" s="9"/>
      <c r="O226" s="9"/>
      <c r="P226" s="176"/>
    </row>
    <row r="227" spans="8:16">
      <c r="H227" s="173"/>
      <c r="I227" s="9"/>
      <c r="J227" s="9"/>
      <c r="K227" s="9"/>
      <c r="L227" s="9"/>
      <c r="M227" s="9"/>
      <c r="N227" s="9"/>
      <c r="O227" s="9"/>
      <c r="P227" s="176"/>
    </row>
    <row r="228" spans="8:16">
      <c r="H228" s="173"/>
      <c r="I228" s="9"/>
      <c r="J228" s="9"/>
      <c r="K228" s="9"/>
      <c r="L228" s="9"/>
      <c r="M228" s="9"/>
      <c r="N228" s="9"/>
      <c r="O228" s="9"/>
      <c r="P228" s="176"/>
    </row>
    <row r="229" spans="8:16">
      <c r="H229" s="173"/>
      <c r="I229" s="9"/>
      <c r="J229" s="9"/>
      <c r="K229" s="9"/>
      <c r="L229" s="9"/>
      <c r="M229" s="9"/>
      <c r="N229" s="9"/>
      <c r="O229" s="9"/>
      <c r="P229" s="176"/>
    </row>
    <row r="230" spans="8:16">
      <c r="H230" s="173"/>
      <c r="I230" s="9"/>
      <c r="J230" s="9"/>
      <c r="K230" s="9"/>
      <c r="L230" s="9"/>
      <c r="M230" s="9"/>
      <c r="N230" s="9"/>
      <c r="O230" s="9"/>
      <c r="P230" s="176"/>
    </row>
    <row r="231" spans="8:16">
      <c r="H231" s="173"/>
      <c r="I231" s="9"/>
      <c r="J231" s="9"/>
      <c r="K231" s="9"/>
      <c r="L231" s="9"/>
      <c r="M231" s="9"/>
      <c r="N231" s="9"/>
      <c r="O231" s="9"/>
      <c r="P231" s="176"/>
    </row>
    <row r="232" spans="8:16">
      <c r="H232" s="173"/>
      <c r="I232" s="9"/>
      <c r="J232" s="9"/>
      <c r="K232" s="9"/>
      <c r="L232" s="9"/>
      <c r="M232" s="9"/>
      <c r="N232" s="9"/>
      <c r="O232" s="9"/>
      <c r="P232" s="176"/>
    </row>
    <row r="233" spans="8:16">
      <c r="H233" s="173"/>
      <c r="I233" s="9"/>
      <c r="J233" s="9"/>
      <c r="K233" s="9"/>
      <c r="L233" s="9"/>
      <c r="M233" s="9"/>
      <c r="N233" s="9"/>
      <c r="O233" s="9"/>
      <c r="P233" s="176"/>
    </row>
    <row r="234" spans="8:16">
      <c r="H234" s="177"/>
      <c r="I234" s="9"/>
      <c r="J234" s="9"/>
      <c r="K234" s="9"/>
      <c r="L234" s="9"/>
      <c r="M234" s="9"/>
      <c r="N234" s="9"/>
      <c r="O234" s="9"/>
      <c r="P234" s="176"/>
    </row>
    <row r="235" spans="8:16">
      <c r="H235" s="177"/>
      <c r="I235" s="9"/>
      <c r="J235" s="9"/>
      <c r="K235" s="9"/>
      <c r="L235" s="9"/>
      <c r="M235" s="9"/>
      <c r="N235" s="9"/>
      <c r="O235" s="9"/>
      <c r="P235" s="176"/>
    </row>
    <row r="236" spans="8:16">
      <c r="H236" s="177"/>
      <c r="I236" s="9"/>
      <c r="J236" s="9"/>
      <c r="K236" s="9"/>
      <c r="L236" s="9"/>
      <c r="M236" s="9"/>
      <c r="N236" s="9"/>
      <c r="O236" s="9"/>
      <c r="P236" s="176"/>
    </row>
    <row r="237" spans="8:16">
      <c r="H237" s="177"/>
      <c r="I237" s="9"/>
      <c r="J237" s="9"/>
      <c r="K237" s="9"/>
      <c r="L237" s="9"/>
      <c r="M237" s="9"/>
      <c r="N237" s="9"/>
      <c r="O237" s="9"/>
      <c r="P237" s="176"/>
    </row>
    <row r="238" spans="8:16">
      <c r="H238" s="177"/>
      <c r="I238" s="9"/>
      <c r="J238" s="9"/>
      <c r="K238" s="9"/>
      <c r="L238" s="9"/>
      <c r="M238" s="9"/>
      <c r="N238" s="9"/>
      <c r="O238" s="9"/>
      <c r="P238" s="176"/>
    </row>
    <row r="239" spans="8:16">
      <c r="H239" s="177"/>
      <c r="I239" s="9"/>
      <c r="J239" s="9"/>
      <c r="K239" s="9"/>
      <c r="L239" s="9"/>
      <c r="M239" s="9"/>
      <c r="N239" s="9"/>
      <c r="O239" s="9"/>
      <c r="P239" s="176"/>
    </row>
    <row r="240" spans="8:16">
      <c r="H240" s="177"/>
      <c r="I240" s="9"/>
      <c r="J240" s="9"/>
      <c r="K240" s="9"/>
      <c r="L240" s="9"/>
      <c r="M240" s="9"/>
      <c r="N240" s="9"/>
      <c r="O240" s="9"/>
      <c r="P240" s="176"/>
    </row>
    <row r="241" spans="16:16">
      <c r="P241" s="176"/>
    </row>
    <row r="242" spans="16:16">
      <c r="P242" s="176"/>
    </row>
    <row r="243" spans="16:16">
      <c r="P243" s="176"/>
    </row>
    <row r="244" spans="16:16">
      <c r="P244" s="176"/>
    </row>
    <row r="245" spans="16:16">
      <c r="P245" s="176"/>
    </row>
    <row r="246" spans="16:16">
      <c r="P246" s="176"/>
    </row>
    <row r="247" spans="16:16">
      <c r="P247" s="176"/>
    </row>
    <row r="248" spans="16:16">
      <c r="P248" s="176"/>
    </row>
    <row r="249" spans="16:16">
      <c r="P249" s="176"/>
    </row>
    <row r="250" spans="16:16">
      <c r="P250" s="176"/>
    </row>
    <row r="251" spans="16:16">
      <c r="P251" s="176"/>
    </row>
    <row r="252" spans="16:16">
      <c r="P252" s="176"/>
    </row>
    <row r="253" spans="16:16">
      <c r="P253" s="176"/>
    </row>
    <row r="254" spans="16:16">
      <c r="P254" s="176"/>
    </row>
    <row r="255" spans="16:16">
      <c r="P255" s="176"/>
    </row>
    <row r="256" spans="16:16">
      <c r="P256" s="176"/>
    </row>
    <row r="257" spans="16:16">
      <c r="P257" s="176"/>
    </row>
    <row r="258" spans="16:16">
      <c r="P258" s="176"/>
    </row>
    <row r="259" spans="16:16">
      <c r="P259" s="176"/>
    </row>
    <row r="260" spans="16:16">
      <c r="P260" s="176"/>
    </row>
    <row r="261" spans="16:16">
      <c r="P261" s="176"/>
    </row>
    <row r="262" spans="16:16">
      <c r="P262" s="176"/>
    </row>
    <row r="263" spans="16:16">
      <c r="P263" s="176"/>
    </row>
    <row r="264" spans="16:16">
      <c r="P264" s="176"/>
    </row>
    <row r="265" spans="16:16">
      <c r="P265" s="176"/>
    </row>
    <row r="266" spans="16:16">
      <c r="P266" s="176"/>
    </row>
    <row r="267" spans="16:16">
      <c r="P267" s="176"/>
    </row>
    <row r="268" spans="16:16">
      <c r="P268" s="176"/>
    </row>
    <row r="269" spans="16:16">
      <c r="P269" s="176"/>
    </row>
  </sheetData>
  <sheetProtection algorithmName="SHA-512" hashValue="KLPPo9KxiXyPR8udzzpDuENqH+o2qy0/ti8vXLqc3E6Wa8HQ0pgrM0dQhdLetyRWtXoUg6TxriW2Xe/GXIImaA==" saltValue="KmYuESoA2qM3N/OcVKSgQg==" spinCount="100000" sheet="1" scenarios="1" formatCells="0" formatColumns="0" formatRows="0"/>
  <mergeCells count="11">
    <mergeCell ref="B110:M110"/>
    <mergeCell ref="H22:H25"/>
    <mergeCell ref="B108:N109"/>
    <mergeCell ref="A62:A65"/>
    <mergeCell ref="A66:A75"/>
    <mergeCell ref="A82:A85"/>
    <mergeCell ref="A86:A95"/>
    <mergeCell ref="A22:A25"/>
    <mergeCell ref="A26:A35"/>
    <mergeCell ref="A42:A45"/>
    <mergeCell ref="A46:A55"/>
  </mergeCells>
  <conditionalFormatting sqref="C35:G35">
    <cfRule type="expression" dxfId="122" priority="85" stopIfTrue="1">
      <formula>$B35="Do not fill this line"</formula>
    </cfRule>
  </conditionalFormatting>
  <conditionalFormatting sqref="C48:G48">
    <cfRule type="expression" dxfId="121" priority="76" stopIfTrue="1">
      <formula>$B48="Do not fill this line"</formula>
    </cfRule>
  </conditionalFormatting>
  <conditionalFormatting sqref="C49:G49">
    <cfRule type="expression" dxfId="120" priority="75" stopIfTrue="1">
      <formula>$B49="Do not fill this line"</formula>
    </cfRule>
  </conditionalFormatting>
  <conditionalFormatting sqref="C50:G50">
    <cfRule type="expression" dxfId="119" priority="74" stopIfTrue="1">
      <formula>$B50="Do not fill this line"</formula>
    </cfRule>
  </conditionalFormatting>
  <conditionalFormatting sqref="C51:G51">
    <cfRule type="expression" dxfId="118" priority="73" stopIfTrue="1">
      <formula>$B51="Do not fill this line"</formula>
    </cfRule>
  </conditionalFormatting>
  <conditionalFormatting sqref="C52:G52">
    <cfRule type="expression" dxfId="117" priority="72" stopIfTrue="1">
      <formula>$B52="Do not fill this line"</formula>
    </cfRule>
  </conditionalFormatting>
  <conditionalFormatting sqref="C53:G53">
    <cfRule type="expression" dxfId="116" priority="71" stopIfTrue="1">
      <formula>$B53="Do not fill this line"</formula>
    </cfRule>
  </conditionalFormatting>
  <conditionalFormatting sqref="C54:G54">
    <cfRule type="expression" dxfId="115" priority="70" stopIfTrue="1">
      <formula>$B54="Do not fill this line"</formula>
    </cfRule>
  </conditionalFormatting>
  <conditionalFormatting sqref="C55:G55">
    <cfRule type="expression" dxfId="114" priority="69" stopIfTrue="1">
      <formula>$B55="Do not fill this line"</formula>
    </cfRule>
  </conditionalFormatting>
  <conditionalFormatting sqref="C64:G64">
    <cfRule type="expression" dxfId="113" priority="66" stopIfTrue="1">
      <formula>$B64="Do not fill this line"</formula>
    </cfRule>
  </conditionalFormatting>
  <conditionalFormatting sqref="C65:G65">
    <cfRule type="expression" dxfId="112" priority="65" stopIfTrue="1">
      <formula>$B65="Do not fill this line"</formula>
    </cfRule>
  </conditionalFormatting>
  <conditionalFormatting sqref="C68:G68">
    <cfRule type="expression" dxfId="111" priority="62" stopIfTrue="1">
      <formula>$B68="Do not fill this line"</formula>
    </cfRule>
  </conditionalFormatting>
  <conditionalFormatting sqref="C69:G69">
    <cfRule type="expression" dxfId="110" priority="61" stopIfTrue="1">
      <formula>$B69="Do not fill this line"</formula>
    </cfRule>
  </conditionalFormatting>
  <conditionalFormatting sqref="C70:G70">
    <cfRule type="expression" dxfId="109" priority="60" stopIfTrue="1">
      <formula>$B70="Do not fill this line"</formula>
    </cfRule>
  </conditionalFormatting>
  <conditionalFormatting sqref="C71:G71">
    <cfRule type="expression" dxfId="108" priority="59" stopIfTrue="1">
      <formula>$B71="Do not fill this line"</formula>
    </cfRule>
  </conditionalFormatting>
  <conditionalFormatting sqref="C72:G72">
    <cfRule type="expression" dxfId="107" priority="58" stopIfTrue="1">
      <formula>$B72="Do not fill this line"</formula>
    </cfRule>
  </conditionalFormatting>
  <conditionalFormatting sqref="C73:G73">
    <cfRule type="expression" dxfId="106" priority="57" stopIfTrue="1">
      <formula>$B73="Do not fill this line"</formula>
    </cfRule>
  </conditionalFormatting>
  <conditionalFormatting sqref="C74:G74">
    <cfRule type="expression" dxfId="105" priority="56" stopIfTrue="1">
      <formula>$B74="Do not fill this line"</formula>
    </cfRule>
  </conditionalFormatting>
  <conditionalFormatting sqref="C75:G75">
    <cfRule type="expression" dxfId="104" priority="55" stopIfTrue="1">
      <formula>$B75="Do not fill this line"</formula>
    </cfRule>
  </conditionalFormatting>
  <conditionalFormatting sqref="C84:G84">
    <cfRule type="expression" dxfId="103" priority="52" stopIfTrue="1">
      <formula>$B84="Do not fill this line"</formula>
    </cfRule>
  </conditionalFormatting>
  <conditionalFormatting sqref="C85:G85">
    <cfRule type="expression" dxfId="102" priority="51" stopIfTrue="1">
      <formula>$B85="Do not fill this line"</formula>
    </cfRule>
  </conditionalFormatting>
  <conditionalFormatting sqref="C88:G88">
    <cfRule type="expression" dxfId="101" priority="48" stopIfTrue="1">
      <formula>$B88="Do not fill this line"</formula>
    </cfRule>
  </conditionalFormatting>
  <conditionalFormatting sqref="C89:G89">
    <cfRule type="expression" dxfId="100" priority="47" stopIfTrue="1">
      <formula>$B89="Do not fill this line"</formula>
    </cfRule>
  </conditionalFormatting>
  <conditionalFormatting sqref="C90:G90">
    <cfRule type="expression" dxfId="99" priority="46" stopIfTrue="1">
      <formula>$B90="Do not fill this line"</formula>
    </cfRule>
  </conditionalFormatting>
  <conditionalFormatting sqref="C91:G91">
    <cfRule type="expression" dxfId="98" priority="45" stopIfTrue="1">
      <formula>$B91="Do not fill this line"</formula>
    </cfRule>
  </conditionalFormatting>
  <conditionalFormatting sqref="C92:G92">
    <cfRule type="expression" dxfId="97" priority="44" stopIfTrue="1">
      <formula>$B92="Do not fill this line"</formula>
    </cfRule>
  </conditionalFormatting>
  <conditionalFormatting sqref="C93:G93">
    <cfRule type="expression" dxfId="96" priority="43" stopIfTrue="1">
      <formula>$B93="Do not fill this line"</formula>
    </cfRule>
  </conditionalFormatting>
  <conditionalFormatting sqref="C94:G94">
    <cfRule type="expression" dxfId="95" priority="42" stopIfTrue="1">
      <formula>$B94="Do not fill this line"</formula>
    </cfRule>
  </conditionalFormatting>
  <conditionalFormatting sqref="C95:G95">
    <cfRule type="expression" dxfId="94" priority="41" stopIfTrue="1">
      <formula>$B95="Do not fill this line"</formula>
    </cfRule>
  </conditionalFormatting>
  <conditionalFormatting sqref="C36:G36">
    <cfRule type="cellIs" dxfId="93" priority="36" operator="notEqual">
      <formula>1</formula>
    </cfRule>
  </conditionalFormatting>
  <conditionalFormatting sqref="C56:G56">
    <cfRule type="cellIs" dxfId="92" priority="35" operator="notEqual">
      <formula>1</formula>
    </cfRule>
  </conditionalFormatting>
  <conditionalFormatting sqref="C76:G76">
    <cfRule type="cellIs" dxfId="91" priority="34" operator="notEqual">
      <formula>1</formula>
    </cfRule>
  </conditionalFormatting>
  <conditionalFormatting sqref="C96:G96">
    <cfRule type="cellIs" dxfId="90" priority="33" operator="notEqual">
      <formula>1</formula>
    </cfRule>
  </conditionalFormatting>
  <conditionalFormatting sqref="C87:G87">
    <cfRule type="expression" dxfId="89" priority="31" stopIfTrue="1">
      <formula>$B87="Do not fill this line"</formula>
    </cfRule>
  </conditionalFormatting>
  <conditionalFormatting sqref="C47:G47">
    <cfRule type="expression" dxfId="88" priority="27" stopIfTrue="1">
      <formula>$B47="Do not fill this line"</formula>
    </cfRule>
  </conditionalFormatting>
  <conditionalFormatting sqref="C67:G67">
    <cfRule type="expression" dxfId="87" priority="26" stopIfTrue="1">
      <formula>$B67="Do not fill this line"</formula>
    </cfRule>
  </conditionalFormatting>
  <conditionalFormatting sqref="C63:G63">
    <cfRule type="expression" dxfId="86" priority="24" stopIfTrue="1">
      <formula>$B63="Do not fill this line"</formula>
    </cfRule>
  </conditionalFormatting>
  <conditionalFormatting sqref="C82:G82">
    <cfRule type="expression" dxfId="85" priority="21" stopIfTrue="1">
      <formula>$B82="Do not fill this line"</formula>
    </cfRule>
  </conditionalFormatting>
  <conditionalFormatting sqref="C27:G27">
    <cfRule type="expression" dxfId="84" priority="18" stopIfTrue="1">
      <formula>$B27="Do not fill this line"</formula>
    </cfRule>
  </conditionalFormatting>
  <conditionalFormatting sqref="C28:G28">
    <cfRule type="expression" dxfId="83" priority="17" stopIfTrue="1">
      <formula>$B28="Do not fill this line"</formula>
    </cfRule>
  </conditionalFormatting>
  <conditionalFormatting sqref="C29:G29">
    <cfRule type="expression" dxfId="82" priority="16" stopIfTrue="1">
      <formula>$B29="Do not fill this line"</formula>
    </cfRule>
  </conditionalFormatting>
  <conditionalFormatting sqref="C30:G30">
    <cfRule type="expression" dxfId="81" priority="15" stopIfTrue="1">
      <formula>$B30="Do not fill this line"</formula>
    </cfRule>
  </conditionalFormatting>
  <conditionalFormatting sqref="C31:G31">
    <cfRule type="expression" dxfId="80" priority="14" stopIfTrue="1">
      <formula>$B31="Do not fill this line"</formula>
    </cfRule>
  </conditionalFormatting>
  <conditionalFormatting sqref="C32:G32">
    <cfRule type="expression" dxfId="79" priority="13" stopIfTrue="1">
      <formula>$B32="Do not fill this line"</formula>
    </cfRule>
  </conditionalFormatting>
  <conditionalFormatting sqref="C33:G33">
    <cfRule type="expression" dxfId="78" priority="12" stopIfTrue="1">
      <formula>$B33="Do not fill this line"</formula>
    </cfRule>
  </conditionalFormatting>
  <conditionalFormatting sqref="C34:G34">
    <cfRule type="expression" dxfId="77" priority="11" stopIfTrue="1">
      <formula>$B34="Do not fill this line"</formula>
    </cfRule>
  </conditionalFormatting>
  <conditionalFormatting sqref="C26:G26">
    <cfRule type="expression" dxfId="76" priority="10" stopIfTrue="1">
      <formula>$B26="Do not fill this line"</formula>
    </cfRule>
  </conditionalFormatting>
  <conditionalFormatting sqref="C42:G42">
    <cfRule type="expression" dxfId="75" priority="9" stopIfTrue="1">
      <formula>$B42="Do not fill this line"</formula>
    </cfRule>
  </conditionalFormatting>
  <conditionalFormatting sqref="C43:G43">
    <cfRule type="expression" dxfId="74" priority="8" stopIfTrue="1">
      <formula>$B43="Do not fill this line"</formula>
    </cfRule>
  </conditionalFormatting>
  <conditionalFormatting sqref="C44:G44">
    <cfRule type="expression" dxfId="73" priority="7" stopIfTrue="1">
      <formula>$B44="Do not fill this line"</formula>
    </cfRule>
  </conditionalFormatting>
  <conditionalFormatting sqref="C45:G45">
    <cfRule type="expression" dxfId="72" priority="6" stopIfTrue="1">
      <formula>$B45="Do not fill this line"</formula>
    </cfRule>
  </conditionalFormatting>
  <conditionalFormatting sqref="C46:G46">
    <cfRule type="expression" dxfId="71" priority="5" stopIfTrue="1">
      <formula>$B46="Do not fill this line"</formula>
    </cfRule>
  </conditionalFormatting>
  <conditionalFormatting sqref="C62:G62">
    <cfRule type="expression" dxfId="70" priority="4" stopIfTrue="1">
      <formula>$B62="Do not fill this line"</formula>
    </cfRule>
  </conditionalFormatting>
  <conditionalFormatting sqref="C66:G66">
    <cfRule type="expression" dxfId="69" priority="3" stopIfTrue="1">
      <formula>$B66="Do not fill this line"</formula>
    </cfRule>
  </conditionalFormatting>
  <conditionalFormatting sqref="C83:G83">
    <cfRule type="expression" dxfId="68" priority="2" stopIfTrue="1">
      <formula>$B83="Do not fill this line"</formula>
    </cfRule>
  </conditionalFormatting>
  <conditionalFormatting sqref="C86:G86">
    <cfRule type="expression" dxfId="67" priority="1" stopIfTrue="1">
      <formula>$B86="Do not fill this line"</formula>
    </cfRule>
  </conditionalFormatting>
  <dataValidations count="1">
    <dataValidation type="decimal" allowBlank="1" showInputMessage="1" showErrorMessage="1" sqref="C62:G75 C82:G95 C42:G55 C22:G35" xr:uid="{092F4021-664E-FA47-B01D-7FFAAB9D8F7D}">
      <formula1>0</formula1>
      <formula2>1</formula2>
    </dataValidation>
  </dataValidation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C96E3-526F-4527-B814-7C262AEF4C15}">
  <sheetPr codeName="Planilha19">
    <tabColor rgb="FFDDCFAD"/>
  </sheetPr>
  <dimension ref="A1:AE105"/>
  <sheetViews>
    <sheetView showGridLines="0" showRowColHeaders="0" topLeftCell="A32" zoomScaleNormal="100" workbookViewId="0">
      <selection activeCell="D40" sqref="D40"/>
    </sheetView>
  </sheetViews>
  <sheetFormatPr defaultColWidth="8.77734375" defaultRowHeight="14.4"/>
  <cols>
    <col min="1" max="1" width="3.44140625" customWidth="1"/>
    <col min="2" max="2" width="6.77734375" customWidth="1"/>
    <col min="3" max="3" width="35.77734375" customWidth="1"/>
    <col min="4" max="12" width="13.6640625" customWidth="1"/>
    <col min="13" max="14" width="6.109375" customWidth="1"/>
    <col min="15" max="15" width="13.33203125" customWidth="1"/>
    <col min="16" max="16" width="13.33203125" hidden="1" customWidth="1"/>
    <col min="17" max="19" width="13.33203125" customWidth="1"/>
  </cols>
  <sheetData>
    <row r="1" spans="1:24" s="130" customFormat="1" ht="33.6">
      <c r="A1" s="127"/>
      <c r="B1" s="128" t="str">
        <f>Introduction!$B$1</f>
        <v>Budget impact analysis of treatments for Advanced cancer</v>
      </c>
      <c r="C1" s="128"/>
      <c r="D1" s="129"/>
      <c r="E1" s="127"/>
      <c r="F1" s="127"/>
      <c r="G1" s="127"/>
      <c r="H1" s="127"/>
      <c r="I1" s="127"/>
      <c r="J1" s="127"/>
      <c r="K1" s="127"/>
      <c r="L1" s="127"/>
      <c r="M1" s="127"/>
      <c r="N1" s="127"/>
      <c r="O1" s="127"/>
      <c r="P1" s="127"/>
      <c r="Q1" s="127"/>
      <c r="R1" s="127"/>
      <c r="S1" s="127"/>
      <c r="T1" s="127"/>
      <c r="U1" s="127"/>
      <c r="V1" s="127"/>
      <c r="W1" s="127"/>
      <c r="X1" s="127"/>
    </row>
    <row r="2" spans="1:24" s="130" customFormat="1" ht="18">
      <c r="A2" s="127"/>
      <c r="B2" s="131"/>
      <c r="C2" s="131"/>
      <c r="D2" s="132"/>
      <c r="E2" s="133"/>
      <c r="F2" s="133"/>
      <c r="G2" s="133"/>
      <c r="H2" s="133"/>
      <c r="I2" s="133"/>
      <c r="J2" s="133"/>
      <c r="K2" s="133"/>
      <c r="L2" s="133"/>
      <c r="M2" s="127"/>
      <c r="N2" s="127"/>
      <c r="O2" s="127"/>
      <c r="P2" s="127"/>
      <c r="Q2" s="127"/>
      <c r="R2" s="127"/>
      <c r="S2" s="127"/>
      <c r="T2" s="127"/>
      <c r="U2" s="127"/>
      <c r="V2" s="127"/>
      <c r="W2" s="127"/>
      <c r="X2" s="127"/>
    </row>
    <row r="3" spans="1:24" s="134" customFormat="1" ht="2.25" customHeight="1">
      <c r="D3" s="135"/>
    </row>
    <row r="5" spans="1:24" s="137" customFormat="1" ht="18">
      <c r="A5" s="136"/>
      <c r="C5" s="140" t="s">
        <v>104</v>
      </c>
      <c r="D5" s="138"/>
      <c r="F5" s="43"/>
    </row>
    <row r="6" spans="1:24" s="137" customFormat="1" ht="15" customHeight="1">
      <c r="A6" s="136"/>
      <c r="C6" s="136" t="s">
        <v>105</v>
      </c>
      <c r="D6" s="136"/>
      <c r="E6" s="136"/>
      <c r="F6" s="43"/>
      <c r="N6" s="202"/>
      <c r="O6" s="202"/>
      <c r="P6" s="202"/>
      <c r="Q6" s="202"/>
      <c r="R6" s="202"/>
      <c r="S6" s="202"/>
    </row>
    <row r="7" spans="1:24" s="137" customFormat="1" ht="15" customHeight="1">
      <c r="A7" s="136"/>
      <c r="C7" s="136"/>
      <c r="D7" s="138"/>
      <c r="F7" s="187"/>
      <c r="N7" s="202"/>
      <c r="O7" s="202"/>
      <c r="P7" s="202"/>
      <c r="Q7" s="202"/>
      <c r="R7" s="202"/>
      <c r="S7" s="202"/>
    </row>
    <row r="8" spans="1:24" s="137" customFormat="1">
      <c r="A8" s="136"/>
      <c r="D8" s="138"/>
      <c r="F8" s="43"/>
      <c r="M8" s="139"/>
      <c r="N8" s="202"/>
      <c r="O8" s="202"/>
      <c r="P8" s="202"/>
      <c r="Q8" s="202"/>
      <c r="R8" s="202"/>
      <c r="S8" s="202"/>
    </row>
    <row r="9" spans="1:24" s="137" customFormat="1">
      <c r="A9" s="136"/>
      <c r="C9" s="42" t="s">
        <v>98</v>
      </c>
      <c r="E9" s="421" t="s">
        <v>353</v>
      </c>
      <c r="F9" s="422"/>
      <c r="G9" s="422"/>
      <c r="H9" s="422"/>
      <c r="I9" s="423"/>
      <c r="M9" s="139" t="s">
        <v>184</v>
      </c>
      <c r="N9" s="202"/>
      <c r="O9" s="202"/>
      <c r="P9" s="202"/>
      <c r="Q9" s="202"/>
      <c r="R9" s="202"/>
      <c r="S9" s="202"/>
    </row>
    <row r="10" spans="1:24" s="137" customFormat="1" ht="15" customHeight="1">
      <c r="A10" s="136"/>
      <c r="C10" s="48"/>
      <c r="E10" s="424" t="str">
        <f>IF(demanda="Observed demand",M9,IF(demanda="Epidemiological method",M10,IF(demanda="Mista",M11,M12)))</f>
        <v>In epidemiological methods, population data are used to estimate the total number of eligible patients (e.g. prevalence). Complete section 5.3 below.</v>
      </c>
      <c r="F10" s="424"/>
      <c r="G10" s="424"/>
      <c r="H10" s="424"/>
      <c r="I10" s="424"/>
      <c r="M10" s="139" t="s">
        <v>185</v>
      </c>
      <c r="N10" s="202"/>
      <c r="O10" s="202"/>
      <c r="P10" s="202"/>
      <c r="Q10" s="202"/>
      <c r="R10" s="202"/>
      <c r="S10" s="202"/>
    </row>
    <row r="11" spans="1:24" s="137" customFormat="1">
      <c r="A11" s="136"/>
      <c r="C11" s="48"/>
      <c r="D11" s="188"/>
      <c r="E11" s="425"/>
      <c r="F11" s="425"/>
      <c r="G11" s="425"/>
      <c r="H11" s="425"/>
      <c r="I11" s="425"/>
      <c r="M11" s="139"/>
      <c r="N11" s="202"/>
      <c r="O11" s="202"/>
      <c r="P11" s="202"/>
      <c r="Q11" s="202"/>
      <c r="R11" s="202"/>
      <c r="S11" s="202"/>
    </row>
    <row r="12" spans="1:24" s="137" customFormat="1">
      <c r="A12" s="136"/>
      <c r="C12" s="48"/>
      <c r="D12" s="188"/>
      <c r="E12" s="425"/>
      <c r="F12" s="425"/>
      <c r="G12" s="425"/>
      <c r="H12" s="425"/>
      <c r="I12" s="425"/>
      <c r="M12" s="139" t="s">
        <v>100</v>
      </c>
      <c r="N12" s="202"/>
      <c r="O12" s="202"/>
      <c r="P12" s="202"/>
      <c r="Q12" s="202"/>
      <c r="R12" s="202"/>
      <c r="S12" s="202"/>
    </row>
    <row r="13" spans="1:24" s="137" customFormat="1">
      <c r="A13" s="136"/>
      <c r="C13" s="42"/>
      <c r="D13" s="188"/>
      <c r="E13" s="425"/>
      <c r="F13" s="425"/>
      <c r="G13" s="425"/>
      <c r="H13" s="425"/>
      <c r="I13" s="425"/>
      <c r="N13" s="202"/>
      <c r="O13" s="202"/>
      <c r="P13" s="202"/>
      <c r="Q13" s="202"/>
      <c r="R13" s="202"/>
      <c r="S13" s="202"/>
    </row>
    <row r="14" spans="1:24" s="137" customFormat="1" ht="25.05" customHeight="1">
      <c r="A14" s="136"/>
      <c r="C14" s="428" t="s">
        <v>99</v>
      </c>
      <c r="D14" s="138"/>
      <c r="E14" s="425"/>
      <c r="F14" s="425"/>
      <c r="G14" s="425"/>
      <c r="H14" s="425"/>
      <c r="I14" s="425"/>
      <c r="N14" s="202"/>
      <c r="O14" s="202"/>
      <c r="P14" s="203" t="str">
        <f>IF(E15="Yes, it represents incidence","incidencia","prevalencia")</f>
        <v>incidencia</v>
      </c>
      <c r="Q14" s="202"/>
      <c r="R14" s="202"/>
      <c r="S14" s="202"/>
    </row>
    <row r="15" spans="1:24" s="180" customFormat="1" ht="15" customHeight="1">
      <c r="A15" s="7"/>
      <c r="B15" s="7"/>
      <c r="C15" s="428"/>
      <c r="D15" s="7"/>
      <c r="E15" s="421" t="s">
        <v>337</v>
      </c>
      <c r="F15" s="422"/>
      <c r="G15" s="422"/>
      <c r="H15" s="422"/>
      <c r="I15" s="423"/>
      <c r="J15" s="7"/>
      <c r="K15" s="7"/>
      <c r="L15" s="7"/>
      <c r="M15" s="7"/>
      <c r="N15" s="204"/>
      <c r="O15" s="204"/>
      <c r="P15" s="204"/>
      <c r="Q15" s="204"/>
      <c r="R15" s="204"/>
      <c r="S15" s="204"/>
      <c r="T15" s="7"/>
      <c r="U15" s="7"/>
      <c r="V15" s="7"/>
      <c r="W15" s="7"/>
      <c r="X15" s="7"/>
    </row>
    <row r="16" spans="1:24" s="180" customFormat="1">
      <c r="A16" s="7"/>
      <c r="B16" s="7"/>
      <c r="D16" s="7"/>
      <c r="E16" s="7"/>
      <c r="F16" s="7"/>
      <c r="G16" s="7"/>
      <c r="H16" s="7"/>
      <c r="I16" s="7"/>
      <c r="J16" s="7"/>
      <c r="K16" s="7"/>
      <c r="L16" s="7"/>
      <c r="M16" s="7"/>
      <c r="N16" s="204"/>
      <c r="O16" s="204"/>
      <c r="P16" s="204"/>
      <c r="Q16" s="204"/>
      <c r="R16" s="204"/>
      <c r="S16" s="204"/>
      <c r="T16" s="7"/>
      <c r="U16" s="7"/>
      <c r="V16" s="7"/>
      <c r="W16" s="7"/>
      <c r="X16" s="7"/>
    </row>
    <row r="17" spans="3:25">
      <c r="C17" s="418" t="s">
        <v>318</v>
      </c>
      <c r="N17" s="205"/>
      <c r="O17" s="205"/>
      <c r="P17" s="205"/>
      <c r="Q17" s="205"/>
      <c r="R17" s="205"/>
      <c r="S17" s="205"/>
    </row>
    <row r="18" spans="3:25">
      <c r="C18" s="418"/>
      <c r="D18" s="7"/>
      <c r="E18" s="381" t="s">
        <v>299</v>
      </c>
      <c r="F18" s="290" t="s">
        <v>319</v>
      </c>
      <c r="G18" s="7"/>
      <c r="H18" s="7"/>
      <c r="I18" s="7"/>
      <c r="J18" s="7"/>
      <c r="K18" s="7"/>
      <c r="L18" s="7"/>
      <c r="M18" s="7"/>
      <c r="N18" s="204"/>
      <c r="O18" s="204"/>
      <c r="P18" s="204"/>
      <c r="Q18" s="204"/>
      <c r="R18" s="204"/>
      <c r="S18" s="204"/>
      <c r="T18" s="7"/>
      <c r="U18" s="7"/>
      <c r="V18" s="7"/>
      <c r="W18" s="7"/>
      <c r="X18" s="7"/>
      <c r="Y18" s="7"/>
    </row>
    <row r="19" spans="3:25">
      <c r="C19" s="63"/>
      <c r="D19" s="7"/>
      <c r="E19" s="7"/>
      <c r="F19" s="7"/>
      <c r="G19" s="7"/>
      <c r="H19" s="7"/>
      <c r="I19" s="7"/>
      <c r="J19" s="7"/>
      <c r="K19" s="7"/>
      <c r="L19" s="7"/>
      <c r="M19" s="7"/>
      <c r="N19" s="204"/>
      <c r="O19" s="204"/>
      <c r="P19" s="204"/>
      <c r="Q19" s="204"/>
      <c r="R19" s="204"/>
      <c r="S19" s="204"/>
      <c r="T19" s="7"/>
      <c r="U19" s="7"/>
      <c r="V19" s="7"/>
      <c r="W19" s="7"/>
      <c r="X19" s="7"/>
      <c r="Y19" s="7"/>
    </row>
    <row r="20" spans="3:25">
      <c r="C20" s="63"/>
      <c r="D20" s="7"/>
      <c r="E20" s="7"/>
      <c r="F20" s="7"/>
      <c r="G20" s="7"/>
      <c r="H20" s="7"/>
      <c r="I20" s="7"/>
      <c r="J20" s="7"/>
      <c r="K20" s="7"/>
      <c r="L20" s="7"/>
      <c r="M20" s="7"/>
      <c r="N20" s="204"/>
      <c r="O20" s="204"/>
      <c r="P20" s="204"/>
      <c r="Q20" s="204"/>
      <c r="R20" s="204"/>
      <c r="S20" s="204"/>
      <c r="T20" s="7"/>
      <c r="U20" s="7"/>
      <c r="V20" s="7"/>
      <c r="W20" s="7"/>
      <c r="X20" s="7"/>
      <c r="Y20" s="7"/>
    </row>
    <row r="21" spans="3:25">
      <c r="C21" s="64"/>
      <c r="D21" s="65"/>
      <c r="E21" s="65"/>
      <c r="F21" s="65"/>
      <c r="G21" s="65"/>
      <c r="H21" s="65"/>
      <c r="I21" s="65"/>
      <c r="J21" s="65"/>
      <c r="K21" s="65"/>
      <c r="L21" s="65"/>
      <c r="M21" s="65"/>
      <c r="N21" s="65"/>
      <c r="O21" s="65"/>
      <c r="P21" s="65"/>
      <c r="Q21" s="65"/>
      <c r="R21" s="65"/>
      <c r="S21" s="65"/>
      <c r="T21" s="65"/>
      <c r="U21" s="65"/>
      <c r="V21" s="65"/>
      <c r="W21" s="65"/>
      <c r="X21" s="65"/>
      <c r="Y21" s="65"/>
    </row>
    <row r="23" spans="3:25" ht="18">
      <c r="C23" s="140" t="s">
        <v>106</v>
      </c>
    </row>
    <row r="24" spans="3:25">
      <c r="C24" s="136" t="s">
        <v>107</v>
      </c>
    </row>
    <row r="25" spans="3:25" ht="18">
      <c r="C25" s="140"/>
    </row>
    <row r="26" spans="3:25" ht="30" customHeight="1">
      <c r="C26" s="418" t="str">
        <f>populacao&amp;" - total number of eligible patients per year"</f>
        <v>Advanced cancer - total number of eligible patients per year</v>
      </c>
      <c r="D26" s="189">
        <f>ano_1</f>
        <v>2026</v>
      </c>
      <c r="E26" s="189">
        <f>ano_1+1</f>
        <v>2027</v>
      </c>
      <c r="F26" s="189">
        <f>ano_1+2</f>
        <v>2028</v>
      </c>
      <c r="G26" s="189">
        <f>ano_1+3</f>
        <v>2029</v>
      </c>
      <c r="H26" s="189">
        <f>ano_1+4</f>
        <v>2030</v>
      </c>
    </row>
    <row r="27" spans="3:25" ht="15" customHeight="1">
      <c r="C27" s="418"/>
      <c r="D27" s="53"/>
      <c r="E27" s="53"/>
      <c r="F27" s="53"/>
      <c r="G27" s="53"/>
      <c r="H27" s="53"/>
    </row>
    <row r="28" spans="3:25" ht="18.75" customHeight="1"/>
    <row r="29" spans="3:25" ht="18.75" customHeight="1"/>
    <row r="30" spans="3:25">
      <c r="C30" s="63"/>
      <c r="D30" s="7"/>
      <c r="E30" s="7"/>
      <c r="F30" s="7"/>
      <c r="G30" s="7"/>
      <c r="H30" s="7"/>
      <c r="I30" s="7"/>
      <c r="J30" s="7"/>
      <c r="K30" s="7"/>
      <c r="L30" s="7"/>
      <c r="M30" s="7"/>
      <c r="N30" s="7"/>
      <c r="O30" s="7"/>
      <c r="P30" s="7"/>
      <c r="Q30" s="7"/>
      <c r="R30" s="7"/>
      <c r="S30" s="7"/>
      <c r="T30" s="7"/>
      <c r="U30" s="7"/>
      <c r="V30" s="7"/>
      <c r="W30" s="7"/>
      <c r="X30" s="7"/>
      <c r="Y30" s="7"/>
    </row>
    <row r="31" spans="3:25">
      <c r="C31" s="64"/>
      <c r="D31" s="65"/>
      <c r="E31" s="65"/>
      <c r="F31" s="65"/>
      <c r="G31" s="65"/>
      <c r="H31" s="65"/>
      <c r="I31" s="65"/>
      <c r="J31" s="65"/>
      <c r="K31" s="65"/>
      <c r="L31" s="65"/>
      <c r="M31" s="65"/>
      <c r="N31" s="65"/>
      <c r="O31" s="65"/>
      <c r="P31" s="65"/>
      <c r="Q31" s="65"/>
      <c r="R31" s="65"/>
      <c r="S31" s="65"/>
      <c r="T31" s="65"/>
      <c r="U31" s="65"/>
      <c r="V31" s="65"/>
      <c r="W31" s="65"/>
      <c r="X31" s="65"/>
      <c r="Y31" s="65"/>
    </row>
    <row r="32" spans="3:25" ht="18">
      <c r="C32" s="140"/>
    </row>
    <row r="33" spans="3:20" ht="18">
      <c r="C33" s="140" t="s">
        <v>108</v>
      </c>
    </row>
    <row r="34" spans="3:20">
      <c r="C34" t="s">
        <v>109</v>
      </c>
    </row>
    <row r="35" spans="3:20">
      <c r="C35" s="190" t="s">
        <v>110</v>
      </c>
    </row>
    <row r="36" spans="3:20">
      <c r="C36" s="7"/>
      <c r="D36" s="191"/>
      <c r="E36" s="191"/>
      <c r="F36" s="7"/>
      <c r="G36" s="7"/>
      <c r="H36" s="7"/>
      <c r="I36" s="7"/>
      <c r="J36" s="7"/>
      <c r="K36" s="7"/>
      <c r="L36" s="7"/>
      <c r="M36" s="7"/>
      <c r="N36" s="7"/>
      <c r="O36" s="7"/>
      <c r="P36" s="7"/>
      <c r="Q36" s="7"/>
      <c r="R36" s="7"/>
      <c r="S36" s="7"/>
      <c r="T36" s="7"/>
    </row>
    <row r="37" spans="3:20">
      <c r="C37" s="7"/>
      <c r="D37" s="191"/>
      <c r="E37" s="191"/>
      <c r="F37" s="7"/>
      <c r="G37" s="7"/>
      <c r="H37" s="7"/>
      <c r="I37" s="7"/>
      <c r="J37" s="7"/>
      <c r="K37" s="7"/>
      <c r="L37" s="7"/>
      <c r="M37" s="7"/>
      <c r="N37" s="7"/>
      <c r="O37" s="7"/>
      <c r="P37" s="7"/>
      <c r="Q37" s="7"/>
      <c r="R37" s="7"/>
      <c r="S37" s="7"/>
      <c r="T37" s="7"/>
    </row>
    <row r="38" spans="3:20">
      <c r="C38" s="42" t="s">
        <v>111</v>
      </c>
      <c r="D38" s="49">
        <v>2010</v>
      </c>
      <c r="E38" s="192" t="s">
        <v>131</v>
      </c>
      <c r="F38" s="7"/>
      <c r="G38" s="7"/>
      <c r="H38" s="7"/>
      <c r="I38" s="7"/>
      <c r="J38" s="7"/>
      <c r="K38" s="7"/>
      <c r="L38" s="7"/>
      <c r="M38" s="7"/>
      <c r="N38" s="7"/>
      <c r="O38" s="7"/>
      <c r="P38" s="7"/>
      <c r="Q38" s="7"/>
      <c r="R38" s="7"/>
      <c r="S38" s="7"/>
      <c r="T38" s="7"/>
    </row>
    <row r="39" spans="3:20">
      <c r="C39" s="193"/>
      <c r="D39" s="194"/>
      <c r="E39" s="7"/>
      <c r="F39" s="7"/>
      <c r="G39" s="7"/>
      <c r="H39" s="7"/>
      <c r="I39" s="7"/>
      <c r="J39" s="7"/>
      <c r="K39" s="7"/>
      <c r="L39" s="7"/>
      <c r="M39" s="7"/>
      <c r="N39" s="195" t="s">
        <v>133</v>
      </c>
      <c r="O39" s="7"/>
      <c r="P39" s="7"/>
      <c r="Q39" s="7"/>
      <c r="R39" s="7"/>
      <c r="S39" s="7"/>
      <c r="T39" s="7"/>
    </row>
    <row r="40" spans="3:20">
      <c r="C40" s="42" t="s">
        <v>112</v>
      </c>
      <c r="D40" s="49">
        <v>2016</v>
      </c>
      <c r="E40" s="192" t="s">
        <v>132</v>
      </c>
      <c r="F40" s="7"/>
      <c r="G40" s="7"/>
      <c r="H40" s="7"/>
      <c r="I40" s="7"/>
      <c r="J40" s="7"/>
      <c r="K40" s="7"/>
      <c r="L40" s="7"/>
      <c r="M40" s="7"/>
      <c r="N40" s="7"/>
      <c r="O40" s="7"/>
      <c r="P40" s="7"/>
      <c r="Q40" s="7"/>
      <c r="R40" s="7"/>
      <c r="S40" s="196"/>
      <c r="T40" s="7"/>
    </row>
    <row r="41" spans="3:20">
      <c r="C41" s="7"/>
      <c r="E41" s="7"/>
      <c r="F41" s="7"/>
      <c r="G41" s="7"/>
      <c r="H41" s="7"/>
      <c r="I41" s="7"/>
      <c r="J41" s="7"/>
      <c r="K41" s="7"/>
      <c r="L41" s="7"/>
      <c r="M41" s="7"/>
      <c r="N41" s="7"/>
      <c r="O41" s="7"/>
      <c r="P41" s="7"/>
      <c r="Q41" s="7"/>
      <c r="R41" s="7"/>
      <c r="S41" s="7"/>
      <c r="T41" s="7"/>
    </row>
    <row r="42" spans="3:20">
      <c r="C42" s="42" t="s">
        <v>113</v>
      </c>
      <c r="D42" s="197">
        <f>D40-D38+1</f>
        <v>7</v>
      </c>
      <c r="E42" s="192"/>
      <c r="F42" s="7"/>
      <c r="G42" s="7"/>
      <c r="H42" s="7"/>
      <c r="I42" s="7"/>
      <c r="J42" s="7"/>
      <c r="K42" s="7"/>
      <c r="L42" s="7"/>
      <c r="M42" s="7"/>
      <c r="N42" s="7"/>
      <c r="O42" s="7"/>
      <c r="P42" s="7"/>
      <c r="Q42" s="7"/>
      <c r="R42" s="7"/>
      <c r="S42" s="196"/>
      <c r="T42" s="7"/>
    </row>
    <row r="43" spans="3:20">
      <c r="C43" s="7"/>
      <c r="E43" s="7"/>
      <c r="F43" s="7"/>
      <c r="G43" s="7"/>
      <c r="H43" s="7"/>
      <c r="I43" s="7"/>
      <c r="J43" s="7"/>
      <c r="K43" s="7"/>
      <c r="L43" s="7"/>
      <c r="M43" s="7"/>
      <c r="N43" s="7"/>
      <c r="O43" s="7"/>
      <c r="P43" s="7"/>
      <c r="Q43" s="7"/>
      <c r="R43" s="7"/>
      <c r="S43" s="7"/>
      <c r="T43" s="7"/>
    </row>
    <row r="44" spans="3:20">
      <c r="C44" s="7"/>
      <c r="D44" s="7"/>
      <c r="E44" s="7"/>
      <c r="F44" s="7"/>
      <c r="G44" s="7"/>
      <c r="H44" s="7"/>
      <c r="I44" s="7"/>
      <c r="J44" s="7"/>
      <c r="K44" s="7"/>
      <c r="L44" s="7"/>
      <c r="M44" s="7"/>
      <c r="N44" s="7"/>
      <c r="O44" s="7"/>
      <c r="P44" s="7"/>
      <c r="Q44" s="7"/>
      <c r="R44" s="7"/>
      <c r="S44" s="7"/>
      <c r="T44" s="7"/>
    </row>
    <row r="45" spans="3:20">
      <c r="C45" s="426" t="s">
        <v>101</v>
      </c>
      <c r="D45" s="189">
        <f>D38</f>
        <v>2010</v>
      </c>
      <c r="E45" s="189">
        <f>IF($D$38+1&lt;=$D$40,$D$38+1,"")</f>
        <v>2011</v>
      </c>
      <c r="F45" s="189">
        <f>IF($D$38+2&lt;=$D$40,$D$38+2,"")</f>
        <v>2012</v>
      </c>
      <c r="G45" s="189">
        <f>IF($D$38+3&lt;=$D$40,$D$38+3,"")</f>
        <v>2013</v>
      </c>
      <c r="H45" s="189">
        <f>IF($D$38+4&lt;=$D$40,$D$38+4,"")</f>
        <v>2014</v>
      </c>
      <c r="I45" s="189">
        <f>IF($D$38+5&lt;=$D$40,$D$38+5,"")</f>
        <v>2015</v>
      </c>
      <c r="J45" s="189">
        <f>IF($D$38+6&lt;=$D$40,$D$38+6,"")</f>
        <v>2016</v>
      </c>
      <c r="K45" s="189" t="str">
        <f>IF($D$38+7&lt;=$D$40,$D$38+7,"")</f>
        <v/>
      </c>
      <c r="L45" s="189" t="str">
        <f>IF($D$38+8&lt;=$D$40,$D$38+8,"")</f>
        <v/>
      </c>
      <c r="M45" s="7"/>
      <c r="N45" s="7"/>
      <c r="O45" s="7"/>
      <c r="P45" s="7"/>
      <c r="Q45" s="7"/>
      <c r="R45" s="7"/>
      <c r="S45" s="7"/>
      <c r="T45" s="7"/>
    </row>
    <row r="46" spans="3:20">
      <c r="C46" s="427"/>
      <c r="D46" s="174"/>
      <c r="E46" s="174"/>
      <c r="F46" s="174"/>
      <c r="G46" s="174"/>
      <c r="H46" s="174"/>
      <c r="I46" s="174"/>
      <c r="J46" s="174"/>
      <c r="K46" s="174"/>
      <c r="L46" s="174"/>
      <c r="M46" s="7"/>
      <c r="N46" s="7"/>
      <c r="O46" s="7"/>
      <c r="P46" s="7"/>
      <c r="Q46" s="7"/>
      <c r="R46" s="7"/>
      <c r="S46" s="7"/>
      <c r="T46" s="7"/>
    </row>
    <row r="47" spans="3:20">
      <c r="C47" s="53" t="s">
        <v>354</v>
      </c>
      <c r="D47" s="53">
        <v>245</v>
      </c>
      <c r="E47" s="53">
        <v>256</v>
      </c>
      <c r="F47" s="53">
        <v>258</v>
      </c>
      <c r="G47" s="53">
        <v>272</v>
      </c>
      <c r="H47" s="53">
        <v>283</v>
      </c>
      <c r="I47" s="53">
        <v>294</v>
      </c>
      <c r="J47" s="53">
        <v>313</v>
      </c>
      <c r="K47" s="53"/>
      <c r="L47" s="53"/>
      <c r="M47" s="7"/>
      <c r="N47" s="7"/>
      <c r="O47" s="7"/>
      <c r="P47" s="7"/>
      <c r="Q47" s="7"/>
      <c r="R47" s="7"/>
      <c r="S47" s="7"/>
      <c r="T47" s="7"/>
    </row>
    <row r="48" spans="3:20">
      <c r="C48" s="53"/>
      <c r="D48" s="53"/>
      <c r="E48" s="53"/>
      <c r="F48" s="53"/>
      <c r="G48" s="53"/>
      <c r="H48" s="53"/>
      <c r="I48" s="53"/>
      <c r="J48" s="53"/>
      <c r="K48" s="53"/>
      <c r="L48" s="53"/>
      <c r="M48" s="7"/>
      <c r="N48" s="7"/>
      <c r="O48" s="7"/>
      <c r="P48" s="7"/>
      <c r="Q48" s="7"/>
      <c r="R48" s="7"/>
      <c r="S48" s="7"/>
      <c r="T48" s="7"/>
    </row>
    <row r="49" spans="3:27">
      <c r="C49" s="53"/>
      <c r="D49" s="53"/>
      <c r="E49" s="53"/>
      <c r="F49" s="53"/>
      <c r="G49" s="53"/>
      <c r="H49" s="53"/>
      <c r="I49" s="53"/>
      <c r="J49" s="53"/>
      <c r="K49" s="53"/>
      <c r="L49" s="53"/>
      <c r="M49" s="7"/>
      <c r="N49" s="7"/>
      <c r="O49" s="7"/>
      <c r="P49" s="7"/>
      <c r="Q49" s="7"/>
      <c r="R49" s="7"/>
      <c r="S49" s="7"/>
      <c r="T49" s="7"/>
    </row>
    <row r="50" spans="3:27">
      <c r="C50" s="53"/>
      <c r="D50" s="53"/>
      <c r="E50" s="53"/>
      <c r="F50" s="53"/>
      <c r="G50" s="53"/>
      <c r="H50" s="53"/>
      <c r="I50" s="53"/>
      <c r="J50" s="53"/>
      <c r="K50" s="53"/>
      <c r="L50" s="53"/>
      <c r="M50" s="7"/>
      <c r="N50" s="7"/>
      <c r="O50" s="7"/>
      <c r="P50" s="7"/>
      <c r="Q50" s="7"/>
      <c r="R50" s="7"/>
      <c r="S50" s="7"/>
      <c r="T50" s="7"/>
    </row>
    <row r="51" spans="3:27">
      <c r="C51" s="53"/>
      <c r="D51" s="53"/>
      <c r="E51" s="53"/>
      <c r="F51" s="53"/>
      <c r="G51" s="53"/>
      <c r="H51" s="53"/>
      <c r="I51" s="53"/>
      <c r="J51" s="53"/>
      <c r="K51" s="53"/>
      <c r="L51" s="53"/>
      <c r="M51" s="7"/>
      <c r="N51" s="7"/>
      <c r="O51" s="7"/>
      <c r="P51" s="7"/>
      <c r="Q51" s="7"/>
      <c r="R51" s="7"/>
      <c r="S51" s="7"/>
      <c r="T51" s="7"/>
    </row>
    <row r="52" spans="3:27">
      <c r="C52" s="53"/>
      <c r="D52" s="53"/>
      <c r="E52" s="53"/>
      <c r="F52" s="53"/>
      <c r="G52" s="53"/>
      <c r="H52" s="53"/>
      <c r="I52" s="53"/>
      <c r="J52" s="53"/>
      <c r="K52" s="53"/>
      <c r="L52" s="53"/>
      <c r="M52" s="7"/>
      <c r="N52" s="7"/>
      <c r="O52" s="7"/>
      <c r="P52" s="7"/>
      <c r="Q52" s="7"/>
      <c r="R52" s="7"/>
      <c r="S52" s="7"/>
      <c r="T52" s="7"/>
    </row>
    <row r="53" spans="3:27">
      <c r="C53" s="198" t="s">
        <v>114</v>
      </c>
      <c r="D53" s="197">
        <f>IF(D45="","",SUM(D47:D52))</f>
        <v>245</v>
      </c>
      <c r="E53" s="197">
        <f t="shared" ref="E53:H53" si="0">IF(E45="","",SUM(E47:E52))</f>
        <v>256</v>
      </c>
      <c r="F53" s="197">
        <f t="shared" si="0"/>
        <v>258</v>
      </c>
      <c r="G53" s="197">
        <f t="shared" si="0"/>
        <v>272</v>
      </c>
      <c r="H53" s="197">
        <f t="shared" si="0"/>
        <v>283</v>
      </c>
      <c r="I53" s="197">
        <f t="shared" ref="I53:L53" si="1">IF(I45="","",SUM(I47:I52))</f>
        <v>294</v>
      </c>
      <c r="J53" s="197">
        <f t="shared" si="1"/>
        <v>313</v>
      </c>
      <c r="K53" s="197" t="str">
        <f t="shared" si="1"/>
        <v/>
      </c>
      <c r="L53" s="197" t="str">
        <f t="shared" si="1"/>
        <v/>
      </c>
      <c r="M53" s="7"/>
      <c r="N53" s="7"/>
      <c r="O53" s="7"/>
      <c r="P53" s="7"/>
      <c r="Q53" s="7"/>
      <c r="R53" s="7"/>
      <c r="S53" s="7"/>
      <c r="T53" s="7"/>
    </row>
    <row r="54" spans="3:27">
      <c r="C54" s="198"/>
      <c r="D54" s="198"/>
      <c r="E54" s="198"/>
      <c r="F54" s="198"/>
      <c r="G54" s="198"/>
      <c r="H54" s="198"/>
      <c r="I54" s="198"/>
      <c r="J54" s="198"/>
      <c r="K54" s="198"/>
      <c r="L54" s="198"/>
      <c r="M54" s="7"/>
      <c r="N54" s="7"/>
      <c r="O54" s="7"/>
      <c r="P54" s="7"/>
      <c r="Q54" s="7"/>
      <c r="R54" s="7"/>
      <c r="S54" s="7"/>
      <c r="T54" s="7"/>
    </row>
    <row r="55" spans="3:27">
      <c r="C55" s="198"/>
      <c r="D55" s="198"/>
      <c r="E55" s="198"/>
      <c r="F55" s="198"/>
      <c r="G55" s="198"/>
      <c r="H55" s="198"/>
      <c r="I55" s="198"/>
      <c r="J55" s="198"/>
      <c r="K55" s="198"/>
      <c r="L55" s="198"/>
      <c r="M55" s="7"/>
      <c r="N55" s="7"/>
      <c r="O55" s="7"/>
      <c r="P55" s="7"/>
      <c r="Q55" s="7"/>
      <c r="R55" s="7"/>
      <c r="S55" s="7"/>
      <c r="T55" s="7"/>
    </row>
    <row r="56" spans="3:27">
      <c r="C56" s="42" t="s">
        <v>115</v>
      </c>
      <c r="D56" s="419" t="s">
        <v>316</v>
      </c>
      <c r="E56" s="420"/>
      <c r="F56" s="192" t="s">
        <v>102</v>
      </c>
      <c r="G56" s="198"/>
      <c r="H56" s="198"/>
      <c r="I56" s="198"/>
      <c r="J56" s="198"/>
      <c r="K56" s="198"/>
      <c r="L56" s="198"/>
      <c r="M56" s="7"/>
      <c r="N56" s="7"/>
      <c r="O56" s="7"/>
      <c r="P56" s="7"/>
      <c r="Q56" s="7"/>
      <c r="R56" s="7"/>
      <c r="S56" s="7"/>
      <c r="T56" s="7"/>
    </row>
    <row r="57" spans="3:27" ht="15" customHeight="1">
      <c r="D57" s="192" t="s">
        <v>225</v>
      </c>
      <c r="E57" s="7"/>
      <c r="F57" s="7"/>
      <c r="G57" s="7"/>
      <c r="H57" s="7"/>
      <c r="I57" s="7"/>
      <c r="J57" s="7"/>
      <c r="K57" s="7"/>
      <c r="L57" s="7"/>
      <c r="M57" s="7"/>
      <c r="N57" s="7"/>
      <c r="O57" s="7"/>
      <c r="P57" s="7"/>
      <c r="Q57" s="7"/>
      <c r="R57" s="7"/>
      <c r="S57" s="7"/>
      <c r="T57" s="7"/>
    </row>
    <row r="58" spans="3:27" ht="15" customHeight="1">
      <c r="D58" s="7"/>
      <c r="E58" s="7"/>
      <c r="F58" s="7"/>
      <c r="G58" s="7"/>
      <c r="H58" s="7"/>
      <c r="I58" s="7"/>
      <c r="J58" s="7"/>
      <c r="K58" s="7"/>
      <c r="L58" s="7"/>
      <c r="M58" s="7"/>
      <c r="N58" s="7"/>
      <c r="O58" s="7"/>
      <c r="P58" s="7"/>
      <c r="Q58" s="7"/>
      <c r="R58" s="7"/>
      <c r="S58" s="7"/>
      <c r="T58" s="7"/>
    </row>
    <row r="59" spans="3:27" ht="15" customHeight="1">
      <c r="C59" s="418" t="s">
        <v>117</v>
      </c>
      <c r="D59" s="189">
        <f>ano_1</f>
        <v>2026</v>
      </c>
      <c r="E59" s="189">
        <f>D59+1</f>
        <v>2027</v>
      </c>
      <c r="F59" s="189">
        <f t="shared" ref="F59:H59" si="2">E59+1</f>
        <v>2028</v>
      </c>
      <c r="G59" s="189">
        <f t="shared" si="2"/>
        <v>2029</v>
      </c>
      <c r="H59" s="189">
        <f t="shared" si="2"/>
        <v>2030</v>
      </c>
      <c r="I59" s="7"/>
      <c r="J59" s="7"/>
      <c r="K59" s="7"/>
      <c r="L59" s="7"/>
      <c r="M59" s="7"/>
      <c r="N59" s="7"/>
      <c r="O59" s="7"/>
      <c r="P59" s="7"/>
      <c r="Q59" s="7"/>
      <c r="R59" s="7"/>
      <c r="S59" s="7"/>
      <c r="T59" s="7"/>
    </row>
    <row r="60" spans="3:27">
      <c r="C60" s="418"/>
      <c r="D60" s="199" cm="1">
        <f t="array" ref="D60">IF($D$42=9,TREND($D53:$L$53,$D45:$L$45,D59),IF($D$42=8,TREND($D53:$K$53,$D45:$K$45,D59),IF($D$42=7,TREND($D53:$J$53,$D45:$J$45,D59),IF($D$42=6,TREND($D53:$I$53,$D45:$I$45,D59),IF($D$42=5,TREND($D53:$H$53,$D45:$H$45,D59),IF($D$42=4,TREND($D53:$G$53,$D45:$G$45,D59),IF($D$42=3,TREND($D53:$F$53,$D45:$F$45,D59),IF($D$42=2,TREND($D53:$E$53,$D45:$E$45,D59),TREND($D53:$D$53,$D45:$D$45,D59)))))))))</f>
        <v>416.03571428571377</v>
      </c>
      <c r="E60" s="199" cm="1">
        <f t="array" ref="E60">IF($D$42=9,TREND($D53:$L$53,$D45:$L$45,E59),IF($D$42=8,TREND($D53:$K$53,$D45:$K$45,E59),IF($D$42=7,TREND($D53:$J$53,$D45:$J$45,E59),IF($D$42=6,TREND($D53:$I$53,$D45:$I$45,E59),IF($D$42=5,TREND($D53:$H$53,$D45:$H$45,E59),IF($D$42=4,TREND($D53:$G$53,$D45:$G$45,E59),IF($D$42=3,TREND($D53:$F$53,$D45:$F$45,E59),IF($D$42=2,TREND($D53:$E$53,$D45:$E$45,E59),TREND($D53:$D$53,$D45:$D$45,E59)))))))))</f>
        <v>426.92857142857247</v>
      </c>
      <c r="F60" s="199" cm="1">
        <f t="array" ref="F60">IF($D$42=9,TREND($D53:$L$53,$D45:$L$45,F59),IF($D$42=8,TREND($D53:$K$53,$D45:$K$45,F59),IF($D$42=7,TREND($D53:$J$53,$D45:$J$45,F59),IF($D$42=6,TREND($D53:$I$53,$D45:$I$45,F59),IF($D$42=5,TREND($D53:$H$53,$D45:$H$45,F59),IF($D$42=4,TREND($D53:$G$53,$D45:$G$45,F59),IF($D$42=3,TREND($D53:$F$53,$D45:$F$45,F59),IF($D$42=2,TREND($D53:$E$53,$D45:$E$45,F59),TREND($D53:$D$53,$D45:$D$45,F59)))))))))</f>
        <v>437.82142857143117</v>
      </c>
      <c r="G60" s="199" cm="1">
        <f t="array" ref="G60">IF($D$42=9,TREND($D53:$L$53,$D45:$L$45,G59),IF($D$42=8,TREND($D53:$K$53,$D45:$K$45,G59),IF($D$42=7,TREND($D53:$J$53,$D45:$J$45,G59),IF($D$42=6,TREND($D53:$I$53,$D45:$I$45,G59),IF($D$42=5,TREND($D53:$H$53,$D45:$H$45,G59),IF($D$42=4,TREND($D53:$G$53,$D45:$G$45,G59),IF($D$42=3,TREND($D53:$F$53,$D45:$F$45,G59),IF($D$42=2,TREND($D53:$E$53,$D45:$E$45,G59),TREND($D53:$D$53,$D45:$D$45,G59)))))))))</f>
        <v>448.71428571428623</v>
      </c>
      <c r="H60" s="199" cm="1">
        <f t="array" ref="H60">IF($D$42=9,TREND($D53:$L$53,$D45:$L$45,H59),IF($D$42=8,TREND($D53:$K$53,$D45:$K$45,H59),IF($D$42=7,TREND($D53:$J$53,$D45:$J$45,H59),IF($D$42=6,TREND($D53:$I$53,$D45:$I$45,H59),IF($D$42=5,TREND($D53:$H$53,$D45:$H$45,H59),IF($D$42=4,TREND($D53:$G$53,$D45:$G$45,H59),IF($D$42=3,TREND($D53:$F$53,$D45:$F$45,H59),IF($D$42=2,TREND($D53:$E$53,$D45:$E$45,H59),TREND($D53:$D$53,$D45:$D$45,H59)))))))))</f>
        <v>459.60714285714494</v>
      </c>
      <c r="I60" s="7"/>
      <c r="J60" s="7"/>
      <c r="K60" s="7"/>
      <c r="L60" s="7"/>
      <c r="M60" s="7"/>
      <c r="N60" s="7"/>
      <c r="O60" s="7"/>
      <c r="P60" s="7"/>
      <c r="Q60" s="7"/>
      <c r="R60" s="7"/>
      <c r="S60" s="7"/>
      <c r="T60" s="7"/>
    </row>
    <row r="61" spans="3:27">
      <c r="C61" s="63"/>
      <c r="D61" s="7"/>
      <c r="E61" s="7"/>
      <c r="F61" s="7"/>
      <c r="G61" s="7"/>
      <c r="H61" s="7"/>
      <c r="I61" s="7"/>
      <c r="J61" s="7"/>
      <c r="K61" s="7"/>
      <c r="L61" s="7"/>
      <c r="M61" s="7"/>
      <c r="N61" s="7"/>
      <c r="O61" s="7"/>
      <c r="P61" s="7"/>
      <c r="Q61" s="7"/>
      <c r="R61" s="7"/>
      <c r="S61" s="7"/>
      <c r="T61" s="7"/>
    </row>
    <row r="62" spans="3:27" ht="15" customHeight="1">
      <c r="C62" s="418" t="s">
        <v>118</v>
      </c>
      <c r="D62" s="189">
        <f>ano_1</f>
        <v>2026</v>
      </c>
      <c r="E62" s="189">
        <f>D62+1</f>
        <v>2027</v>
      </c>
      <c r="F62" s="189">
        <f t="shared" ref="F62" si="3">E62+1</f>
        <v>2028</v>
      </c>
      <c r="G62" s="189">
        <f t="shared" ref="G62" si="4">F62+1</f>
        <v>2029</v>
      </c>
      <c r="H62" s="189">
        <f t="shared" ref="H62" si="5">G62+1</f>
        <v>2030</v>
      </c>
      <c r="I62" s="7"/>
      <c r="J62" s="200" t="s">
        <v>136</v>
      </c>
      <c r="K62" s="184">
        <v>1.08</v>
      </c>
      <c r="L62" s="7"/>
      <c r="M62" s="7"/>
      <c r="N62" s="7"/>
      <c r="O62" s="7"/>
      <c r="P62" s="7"/>
      <c r="Q62" s="7"/>
      <c r="R62" s="7"/>
      <c r="S62" s="7"/>
      <c r="T62" s="7"/>
    </row>
    <row r="63" spans="3:27">
      <c r="C63" s="418"/>
      <c r="D63" s="199">
        <f>AVERAGEIF($D$53:$L$53,"&gt;0")</f>
        <v>274.42857142857144</v>
      </c>
      <c r="E63" s="199">
        <f t="shared" ref="E63:H63" si="6">AVERAGEIF($D$53:$L$53,"&gt;0")</f>
        <v>274.42857142857144</v>
      </c>
      <c r="F63" s="199">
        <f t="shared" si="6"/>
        <v>274.42857142857144</v>
      </c>
      <c r="G63" s="199">
        <f t="shared" si="6"/>
        <v>274.42857142857144</v>
      </c>
      <c r="H63" s="199">
        <f t="shared" si="6"/>
        <v>274.42857142857144</v>
      </c>
      <c r="I63" s="7"/>
      <c r="J63" s="7"/>
      <c r="K63" s="7"/>
      <c r="L63" s="7"/>
      <c r="M63" s="7"/>
      <c r="N63" s="7"/>
      <c r="O63" s="7"/>
      <c r="P63" s="7"/>
      <c r="Q63" s="7"/>
      <c r="R63" s="7"/>
      <c r="S63" s="7"/>
      <c r="T63" s="7"/>
    </row>
    <row r="64" spans="3:27">
      <c r="C64" s="63"/>
      <c r="D64" s="199">
        <f>D63*$K$62</f>
        <v>296.38285714285718</v>
      </c>
      <c r="E64" s="199">
        <f>D64*$K$62</f>
        <v>320.09348571428575</v>
      </c>
      <c r="F64" s="199">
        <f t="shared" ref="F64:H64" si="7">E64*$K$62</f>
        <v>345.70096457142864</v>
      </c>
      <c r="G64" s="199">
        <f t="shared" si="7"/>
        <v>373.35704173714294</v>
      </c>
      <c r="H64" s="199">
        <f t="shared" si="7"/>
        <v>403.22560507611439</v>
      </c>
      <c r="I64" s="192" t="s">
        <v>103</v>
      </c>
      <c r="J64" s="7"/>
      <c r="K64" s="7"/>
      <c r="L64" s="7"/>
      <c r="M64" s="7"/>
      <c r="N64" s="7"/>
      <c r="O64" s="7"/>
      <c r="P64" s="7"/>
      <c r="Q64" s="7"/>
      <c r="R64" s="7"/>
      <c r="S64" s="7"/>
      <c r="T64" s="7"/>
      <c r="U64" s="7"/>
      <c r="V64" s="7"/>
      <c r="W64" s="7"/>
      <c r="X64" s="7"/>
      <c r="Y64" s="7"/>
      <c r="Z64" s="7"/>
      <c r="AA64" s="7"/>
    </row>
    <row r="65" spans="3:27">
      <c r="C65" s="63"/>
      <c r="D65" s="63"/>
      <c r="E65" s="63"/>
      <c r="F65" s="63"/>
      <c r="G65" s="63"/>
      <c r="H65" s="63"/>
      <c r="I65" s="63"/>
      <c r="J65" s="63"/>
      <c r="K65" s="7"/>
      <c r="L65" s="7"/>
      <c r="M65" s="7"/>
      <c r="N65" s="7"/>
      <c r="O65" s="7"/>
      <c r="P65" s="7"/>
      <c r="Q65" s="7"/>
      <c r="R65" s="7"/>
      <c r="S65" s="7"/>
      <c r="T65" s="7"/>
      <c r="U65" s="7"/>
      <c r="V65" s="7"/>
      <c r="W65" s="7"/>
      <c r="X65" s="7"/>
      <c r="Y65" s="7"/>
      <c r="Z65" s="7"/>
      <c r="AA65" s="7"/>
    </row>
    <row r="66" spans="3:27">
      <c r="C66" s="63" t="s">
        <v>116</v>
      </c>
      <c r="D66" s="189">
        <f>ano_1</f>
        <v>2026</v>
      </c>
      <c r="E66" s="189">
        <f>D66+1</f>
        <v>2027</v>
      </c>
      <c r="F66" s="189">
        <f t="shared" ref="F66" si="8">E66+1</f>
        <v>2028</v>
      </c>
      <c r="G66" s="189">
        <f t="shared" ref="G66" si="9">F66+1</f>
        <v>2029</v>
      </c>
      <c r="H66" s="189">
        <f t="shared" ref="H66" si="10">G66+1</f>
        <v>2030</v>
      </c>
      <c r="I66" s="63"/>
      <c r="J66" s="63"/>
      <c r="K66" s="7"/>
      <c r="L66" s="7"/>
      <c r="M66" s="7"/>
      <c r="N66" s="7"/>
      <c r="O66" s="7"/>
      <c r="P66" s="7"/>
      <c r="Q66" s="7"/>
      <c r="R66" s="7"/>
      <c r="S66" s="7"/>
      <c r="T66" s="7"/>
      <c r="U66" s="7"/>
      <c r="V66" s="7"/>
      <c r="W66" s="7"/>
      <c r="X66" s="7"/>
      <c r="Y66" s="7"/>
      <c r="Z66" s="7"/>
      <c r="AA66" s="7"/>
    </row>
    <row r="67" spans="3:27">
      <c r="C67" s="63" t="str">
        <f>D56</f>
        <v>Mean projection</v>
      </c>
      <c r="D67" s="199">
        <f>IF($D$56="Mean projection",D64,D60)</f>
        <v>296.38285714285718</v>
      </c>
      <c r="E67" s="199">
        <f t="shared" ref="E67:H67" si="11">IF($D$56="Mean projection",E64,E60)</f>
        <v>320.09348571428575</v>
      </c>
      <c r="F67" s="199">
        <f t="shared" si="11"/>
        <v>345.70096457142864</v>
      </c>
      <c r="G67" s="199">
        <f t="shared" si="11"/>
        <v>373.35704173714294</v>
      </c>
      <c r="H67" s="199">
        <f t="shared" si="11"/>
        <v>403.22560507611439</v>
      </c>
      <c r="I67" s="63"/>
      <c r="J67" s="63"/>
      <c r="K67" s="7"/>
      <c r="L67" s="7"/>
      <c r="M67" s="7"/>
      <c r="N67" s="7"/>
      <c r="O67" s="7"/>
      <c r="P67" s="7"/>
      <c r="Q67" s="7"/>
      <c r="R67" s="7"/>
      <c r="S67" s="7"/>
      <c r="T67" s="7"/>
      <c r="U67" s="7"/>
      <c r="V67" s="7"/>
      <c r="W67" s="7"/>
      <c r="X67" s="7"/>
      <c r="Y67" s="7"/>
      <c r="Z67" s="7"/>
      <c r="AA67" s="7"/>
    </row>
    <row r="68" spans="3:27">
      <c r="C68" s="63"/>
      <c r="D68" s="63"/>
      <c r="E68" s="63"/>
      <c r="F68" s="63"/>
      <c r="G68" s="63"/>
      <c r="H68" s="63"/>
      <c r="I68" s="63"/>
      <c r="J68" s="63"/>
      <c r="K68" s="7"/>
      <c r="L68" s="7"/>
      <c r="M68" s="7"/>
      <c r="N68" s="7"/>
      <c r="O68" s="7"/>
      <c r="P68" s="7"/>
      <c r="Q68" s="7"/>
      <c r="R68" s="7"/>
      <c r="S68" s="7"/>
      <c r="T68" s="7"/>
      <c r="U68" s="7"/>
      <c r="V68" s="7"/>
      <c r="W68" s="7"/>
      <c r="X68" s="7"/>
      <c r="Y68" s="7"/>
      <c r="Z68" s="7"/>
      <c r="AA68" s="7"/>
    </row>
    <row r="69" spans="3:27">
      <c r="C69" s="63"/>
      <c r="D69" s="63"/>
      <c r="E69" s="63"/>
      <c r="F69" s="63"/>
      <c r="G69" s="63"/>
      <c r="H69" s="63"/>
      <c r="I69" s="63"/>
      <c r="J69" s="63"/>
      <c r="K69" s="7"/>
      <c r="L69" s="7"/>
      <c r="M69" s="7"/>
      <c r="N69" s="7"/>
      <c r="O69" s="7"/>
      <c r="P69" s="7"/>
      <c r="Q69" s="7"/>
      <c r="R69" s="7"/>
      <c r="S69" s="7"/>
      <c r="T69" s="7"/>
      <c r="U69" s="7"/>
      <c r="V69" s="7"/>
      <c r="W69" s="7"/>
      <c r="X69" s="7"/>
      <c r="Y69" s="7"/>
      <c r="Z69" s="7"/>
      <c r="AA69" s="7"/>
    </row>
    <row r="70" spans="3:27">
      <c r="C70" s="63"/>
      <c r="D70" s="63"/>
      <c r="E70" s="63"/>
      <c r="F70" s="63"/>
      <c r="G70" s="63"/>
      <c r="H70" s="63"/>
      <c r="I70" s="63"/>
      <c r="J70" s="63"/>
      <c r="K70" s="7"/>
      <c r="L70" s="7"/>
      <c r="M70" s="7"/>
      <c r="N70" s="7"/>
      <c r="O70" s="7"/>
      <c r="P70" s="7"/>
      <c r="Q70" s="7"/>
      <c r="R70" s="7"/>
      <c r="S70" s="7"/>
      <c r="T70" s="7"/>
      <c r="U70" s="7"/>
      <c r="V70" s="7"/>
      <c r="W70" s="7"/>
      <c r="X70" s="7"/>
      <c r="Y70" s="7"/>
      <c r="Z70" s="7"/>
      <c r="AA70" s="7"/>
    </row>
    <row r="71" spans="3:27">
      <c r="C71" s="64"/>
      <c r="D71" s="65"/>
      <c r="E71" s="65"/>
      <c r="F71" s="65"/>
      <c r="G71" s="65"/>
      <c r="H71" s="65"/>
      <c r="I71" s="65"/>
      <c r="J71" s="65"/>
      <c r="K71" s="65"/>
      <c r="L71" s="65"/>
      <c r="M71" s="65"/>
      <c r="N71" s="65"/>
      <c r="O71" s="65"/>
      <c r="P71" s="65"/>
      <c r="Q71" s="65"/>
      <c r="R71" s="65"/>
      <c r="S71" s="65"/>
      <c r="T71" s="65"/>
      <c r="U71" s="65"/>
      <c r="V71" s="65"/>
      <c r="W71" s="65"/>
      <c r="X71" s="65"/>
      <c r="Y71" s="65"/>
      <c r="Z71" s="65"/>
      <c r="AA71" s="65"/>
    </row>
    <row r="73" spans="3:27" ht="18">
      <c r="C73" s="140" t="s">
        <v>128</v>
      </c>
    </row>
    <row r="74" spans="3:27">
      <c r="C74" s="136" t="s">
        <v>129</v>
      </c>
    </row>
    <row r="75" spans="3:27">
      <c r="C75" s="136" t="s">
        <v>130</v>
      </c>
    </row>
    <row r="77" spans="3:27">
      <c r="C77" s="42"/>
      <c r="D77" s="42"/>
      <c r="E77" s="42"/>
      <c r="F77" s="42"/>
      <c r="G77" s="42"/>
      <c r="H77" s="42"/>
      <c r="I77" s="42"/>
      <c r="J77" s="7"/>
      <c r="K77" s="7"/>
      <c r="L77" s="7"/>
    </row>
    <row r="78" spans="3:27">
      <c r="C78" s="7"/>
      <c r="D78" s="7"/>
      <c r="E78" s="7"/>
      <c r="F78" s="7"/>
      <c r="G78" s="7"/>
      <c r="H78" s="7"/>
      <c r="I78" s="7"/>
      <c r="J78" s="7"/>
      <c r="K78" s="7"/>
      <c r="L78" s="7"/>
    </row>
    <row r="79" spans="3:27">
      <c r="C79" s="189" t="s">
        <v>134</v>
      </c>
      <c r="D79" s="189" t="s">
        <v>96</v>
      </c>
      <c r="E79" s="189">
        <f>ano_1</f>
        <v>2026</v>
      </c>
      <c r="F79" s="189">
        <f>E79+1</f>
        <v>2027</v>
      </c>
      <c r="G79" s="189">
        <f t="shared" ref="G79:I79" si="12">F79+1</f>
        <v>2028</v>
      </c>
      <c r="H79" s="189">
        <f t="shared" si="12"/>
        <v>2029</v>
      </c>
      <c r="I79" s="189">
        <f t="shared" si="12"/>
        <v>2030</v>
      </c>
      <c r="J79" s="189" t="s">
        <v>5</v>
      </c>
      <c r="K79" s="413" t="s">
        <v>97</v>
      </c>
      <c r="L79" s="414"/>
      <c r="M79" s="414"/>
      <c r="N79" s="414"/>
    </row>
    <row r="80" spans="3:27">
      <c r="C80" s="53" t="s">
        <v>355</v>
      </c>
      <c r="D80" s="382" t="s">
        <v>7</v>
      </c>
      <c r="E80" s="53">
        <v>176772252</v>
      </c>
      <c r="F80" s="53">
        <v>178160475</v>
      </c>
      <c r="G80" s="53">
        <v>179508803</v>
      </c>
      <c r="H80" s="53">
        <v>180863083</v>
      </c>
      <c r="I80" s="53">
        <v>182243446</v>
      </c>
      <c r="J80" s="199">
        <f>SUM(E80:I80)</f>
        <v>897548059</v>
      </c>
      <c r="K80" s="415" t="s">
        <v>359</v>
      </c>
      <c r="L80" s="416"/>
      <c r="M80" s="416"/>
      <c r="N80" s="417"/>
    </row>
    <row r="81" spans="3:14">
      <c r="C81" s="53" t="s">
        <v>356</v>
      </c>
      <c r="D81" s="183">
        <f>3.1/100000</f>
        <v>3.1000000000000001E-5</v>
      </c>
      <c r="E81" s="199">
        <f>IF(D81&gt;0,E80*Parameters!$E6,0)</f>
        <v>5479.9398120000005</v>
      </c>
      <c r="F81" s="199">
        <f>IF(E81&gt;0,F80*Parameters!$E6,0)</f>
        <v>5522.974725</v>
      </c>
      <c r="G81" s="199">
        <f>IF(F81&gt;0,G80*Parameters!$E6,0)</f>
        <v>5564.7728930000003</v>
      </c>
      <c r="H81" s="199">
        <f>IF(G81&gt;0,H80*Parameters!$E6,0)</f>
        <v>5606.7555730000004</v>
      </c>
      <c r="I81" s="199">
        <f>IF(H81&gt;0,I80*Parameters!$E6,0)</f>
        <v>5649.5468260000007</v>
      </c>
      <c r="J81" s="199">
        <f t="shared" ref="J81:J88" si="13">SUM(E81:I81)</f>
        <v>27823.989829000002</v>
      </c>
      <c r="K81" s="415" t="s">
        <v>360</v>
      </c>
      <c r="L81" s="416"/>
      <c r="M81" s="416"/>
      <c r="N81" s="417"/>
    </row>
    <row r="82" spans="3:14">
      <c r="C82" s="53" t="s">
        <v>357</v>
      </c>
      <c r="D82" s="183">
        <v>0.25</v>
      </c>
      <c r="E82" s="199">
        <f>IF(D82&gt;0,E81*Parameters!$E7,0)</f>
        <v>1369.9849530000001</v>
      </c>
      <c r="F82" s="199">
        <f>IF(E82&gt;0,F81*Parameters!$E7,0)</f>
        <v>1380.74368125</v>
      </c>
      <c r="G82" s="199">
        <f>IF(F82&gt;0,G81*Parameters!$E7,0)</f>
        <v>1391.1932232500001</v>
      </c>
      <c r="H82" s="199">
        <f>IF(G82&gt;0,H81*Parameters!$E7,0)</f>
        <v>1401.6888932500001</v>
      </c>
      <c r="I82" s="199">
        <f>IF(H82&gt;0,I81*Parameters!$E7,0)</f>
        <v>1412.3867065000002</v>
      </c>
      <c r="J82" s="199">
        <f t="shared" si="13"/>
        <v>6955.9974572500005</v>
      </c>
      <c r="K82" s="415" t="s">
        <v>361</v>
      </c>
      <c r="L82" s="416"/>
      <c r="M82" s="416"/>
      <c r="N82" s="417"/>
    </row>
    <row r="83" spans="3:14">
      <c r="C83" s="53" t="s">
        <v>358</v>
      </c>
      <c r="D83" s="183">
        <v>0.5</v>
      </c>
      <c r="E83" s="199">
        <f>IF(D83&gt;0,E82*Parameters!$E8,0)</f>
        <v>684.99247650000007</v>
      </c>
      <c r="F83" s="199">
        <f>IF(E83&gt;0,F82*Parameters!$E8,0)</f>
        <v>690.371840625</v>
      </c>
      <c r="G83" s="199">
        <f>IF(F83&gt;0,G82*Parameters!$E8,0)</f>
        <v>695.59661162500004</v>
      </c>
      <c r="H83" s="199">
        <f>IF(G83&gt;0,H82*Parameters!$E8,0)</f>
        <v>700.84444662500005</v>
      </c>
      <c r="I83" s="199">
        <f>IF(H83&gt;0,I82*Parameters!$E8,0)</f>
        <v>706.19335325000009</v>
      </c>
      <c r="J83" s="199">
        <f t="shared" si="13"/>
        <v>3477.9987286250002</v>
      </c>
      <c r="K83" s="415" t="s">
        <v>361</v>
      </c>
      <c r="L83" s="416"/>
      <c r="M83" s="416"/>
      <c r="N83" s="417"/>
    </row>
    <row r="84" spans="3:14">
      <c r="C84" s="53"/>
      <c r="D84" s="183"/>
      <c r="E84" s="199">
        <f>IF(D84&gt;0,E83*Parameters!$E9,0)</f>
        <v>0</v>
      </c>
      <c r="F84" s="199">
        <f>IF(E84&gt;0,F83*Parameters!$E9,0)</f>
        <v>0</v>
      </c>
      <c r="G84" s="199">
        <f>IF(F84&gt;0,G83*Parameters!$E9,0)</f>
        <v>0</v>
      </c>
      <c r="H84" s="199">
        <f>IF(G84&gt;0,H83*Parameters!$E9,0)</f>
        <v>0</v>
      </c>
      <c r="I84" s="199">
        <f>IF(H84&gt;0,I83*Parameters!$E9,0)</f>
        <v>0</v>
      </c>
      <c r="J84" s="199">
        <f t="shared" si="13"/>
        <v>0</v>
      </c>
      <c r="K84" s="412"/>
      <c r="L84" s="412"/>
      <c r="M84" s="412"/>
      <c r="N84" s="412"/>
    </row>
    <row r="85" spans="3:14">
      <c r="C85" s="53"/>
      <c r="D85" s="183"/>
      <c r="E85" s="199">
        <f>IF(D85&gt;0,E84*Parameters!$E10,0)</f>
        <v>0</v>
      </c>
      <c r="F85" s="199">
        <f>IF(E85&gt;0,F84*Parameters!$E10,0)</f>
        <v>0</v>
      </c>
      <c r="G85" s="199">
        <f>IF(F85&gt;0,G84*Parameters!$E10,0)</f>
        <v>0</v>
      </c>
      <c r="H85" s="199">
        <f>IF(G85&gt;0,H84*Parameters!$E10,0)</f>
        <v>0</v>
      </c>
      <c r="I85" s="199">
        <f>IF(H85&gt;0,I84*Parameters!$E10,0)</f>
        <v>0</v>
      </c>
      <c r="J85" s="199">
        <f t="shared" si="13"/>
        <v>0</v>
      </c>
      <c r="K85" s="412"/>
      <c r="L85" s="412"/>
      <c r="M85" s="412"/>
      <c r="N85" s="412"/>
    </row>
    <row r="86" spans="3:14">
      <c r="C86" s="53"/>
      <c r="D86" s="183"/>
      <c r="E86" s="199">
        <f>IF(D86&gt;0,E85*Parameters!$E11,0)</f>
        <v>0</v>
      </c>
      <c r="F86" s="199">
        <f>IF(E86&gt;0,F85*Parameters!$E11,0)</f>
        <v>0</v>
      </c>
      <c r="G86" s="199">
        <f>IF(F86&gt;0,G85*Parameters!$E11,0)</f>
        <v>0</v>
      </c>
      <c r="H86" s="199">
        <f>IF(G86&gt;0,H85*Parameters!$E11,0)</f>
        <v>0</v>
      </c>
      <c r="I86" s="199">
        <f>IF(H86&gt;0,I85*Parameters!$E11,0)</f>
        <v>0</v>
      </c>
      <c r="J86" s="199">
        <f t="shared" si="13"/>
        <v>0</v>
      </c>
      <c r="K86" s="412"/>
      <c r="L86" s="412"/>
      <c r="M86" s="412"/>
      <c r="N86" s="412"/>
    </row>
    <row r="87" spans="3:14">
      <c r="C87" s="53"/>
      <c r="D87" s="183"/>
      <c r="E87" s="199">
        <f>IF(D87&gt;0,E86*Parameters!$E12,0)</f>
        <v>0</v>
      </c>
      <c r="F87" s="199">
        <f>IF(E87&gt;0,F86*Parameters!$E12,0)</f>
        <v>0</v>
      </c>
      <c r="G87" s="199">
        <f>IF(F87&gt;0,G86*Parameters!$E12,0)</f>
        <v>0</v>
      </c>
      <c r="H87" s="199">
        <f>IF(G87&gt;0,H86*Parameters!$E12,0)</f>
        <v>0</v>
      </c>
      <c r="I87" s="199">
        <f>IF(H87&gt;0,I86*Parameters!$E12,0)</f>
        <v>0</v>
      </c>
      <c r="J87" s="199">
        <f t="shared" si="13"/>
        <v>0</v>
      </c>
      <c r="K87" s="412"/>
      <c r="L87" s="412"/>
      <c r="M87" s="412"/>
      <c r="N87" s="412"/>
    </row>
    <row r="88" spans="3:14">
      <c r="C88" s="53"/>
      <c r="D88" s="183"/>
      <c r="E88" s="199">
        <f>IF(D88&gt;0,E87*Parameters!$E13,0)</f>
        <v>0</v>
      </c>
      <c r="F88" s="199">
        <f>IF(E88&gt;0,F87*Parameters!$E13,0)</f>
        <v>0</v>
      </c>
      <c r="G88" s="199">
        <f>IF(F88&gt;0,G87*Parameters!$E13,0)</f>
        <v>0</v>
      </c>
      <c r="H88" s="199">
        <f>IF(G88&gt;0,H87*Parameters!$E13,0)</f>
        <v>0</v>
      </c>
      <c r="I88" s="199">
        <f>IF(H88&gt;0,I87*Parameters!$E13,0)</f>
        <v>0</v>
      </c>
      <c r="J88" s="199">
        <f t="shared" si="13"/>
        <v>0</v>
      </c>
      <c r="K88" s="412"/>
      <c r="L88" s="412"/>
      <c r="M88" s="412"/>
      <c r="N88" s="412"/>
    </row>
    <row r="89" spans="3:14" ht="15.6">
      <c r="C89" s="201" t="s">
        <v>6</v>
      </c>
      <c r="D89" s="201"/>
      <c r="E89" s="383">
        <f>IF(E81=0,E80,IF(E82=0,E81,IF(E83=0,E82,IF(E84=0,E83,IF(E85=0,E84,IF(E86=0,E85,IF(E87=0,E86,IF(E88=0,E87,E88))))))))</f>
        <v>684.99247650000007</v>
      </c>
      <c r="F89" s="383">
        <f t="shared" ref="F89:I89" si="14">IF(F81=0,F80,IF(F82=0,F81,IF(F83=0,F82,IF(F84=0,F83,IF(F85=0,F84,IF(F86=0,F85,IF(F87=0,F86,IF(F88=0,F87,F88))))))))</f>
        <v>690.371840625</v>
      </c>
      <c r="G89" s="383">
        <f>IF(G81=0,G80,IF(G82=0,G81,IF(G83=0,G82,IF(G84=0,G83,IF(G85=0,G84,IF(G86=0,G85,IF(G87=0,G86,IF(G88=0,G87,G88))))))))</f>
        <v>695.59661162500004</v>
      </c>
      <c r="H89" s="383">
        <f t="shared" si="14"/>
        <v>700.84444662500005</v>
      </c>
      <c r="I89" s="383">
        <f t="shared" si="14"/>
        <v>706.19335325000009</v>
      </c>
      <c r="J89" s="7"/>
      <c r="K89" s="7"/>
      <c r="L89" s="7"/>
    </row>
    <row r="90" spans="3:14">
      <c r="C90" s="7"/>
      <c r="D90" s="7"/>
      <c r="E90" s="2"/>
      <c r="F90" s="7"/>
      <c r="G90" s="7"/>
      <c r="H90" s="7"/>
      <c r="I90" s="7"/>
      <c r="J90" s="7"/>
      <c r="K90" s="7"/>
      <c r="L90" s="7"/>
    </row>
    <row r="91" spans="3:14">
      <c r="C91" s="7"/>
      <c r="D91" s="7"/>
      <c r="E91" s="7"/>
      <c r="F91" s="7"/>
      <c r="G91" s="7"/>
      <c r="H91" s="7"/>
      <c r="I91" s="7"/>
      <c r="J91" s="7"/>
      <c r="K91" s="7"/>
      <c r="L91" s="7"/>
    </row>
    <row r="92" spans="3:14">
      <c r="C92" s="7"/>
      <c r="D92" s="7"/>
      <c r="E92" s="7"/>
      <c r="F92" s="7"/>
      <c r="G92" s="7"/>
      <c r="H92" s="7"/>
      <c r="I92" s="7"/>
      <c r="J92" s="7"/>
      <c r="K92" s="7"/>
      <c r="L92" s="7"/>
    </row>
    <row r="101" spans="2:31" s="1" customFormat="1">
      <c r="C101" s="7"/>
      <c r="D101" s="7"/>
      <c r="E101" s="7"/>
      <c r="F101" s="7"/>
      <c r="G101" s="7"/>
      <c r="H101" s="7"/>
      <c r="I101" s="7"/>
      <c r="J101" s="7"/>
      <c r="K101" s="7"/>
      <c r="L101" s="7"/>
      <c r="M101" s="142"/>
      <c r="N101" s="142"/>
      <c r="Q101" s="27"/>
      <c r="R101" s="27"/>
      <c r="S101" s="27"/>
      <c r="T101" s="27"/>
      <c r="U101" s="27"/>
      <c r="V101" s="27"/>
      <c r="X101" s="27"/>
      <c r="Y101" s="27"/>
      <c r="Z101" s="27"/>
      <c r="AA101" s="27"/>
      <c r="AB101" s="27"/>
      <c r="AC101" s="27"/>
      <c r="AE101" s="27"/>
    </row>
    <row r="102" spans="2:31" s="1" customFormat="1">
      <c r="C102" s="65"/>
      <c r="D102" s="65"/>
      <c r="E102" s="65"/>
      <c r="F102" s="65"/>
      <c r="G102" s="65"/>
      <c r="H102" s="65"/>
      <c r="I102" s="65"/>
      <c r="J102" s="65"/>
      <c r="K102" s="65"/>
      <c r="L102" s="65"/>
      <c r="M102" s="65"/>
      <c r="N102" s="65"/>
      <c r="Q102" s="27"/>
      <c r="R102" s="27"/>
      <c r="S102" s="27"/>
      <c r="T102" s="27"/>
      <c r="U102" s="27"/>
      <c r="V102" s="27"/>
      <c r="X102" s="27"/>
      <c r="Y102" s="27"/>
      <c r="Z102" s="27"/>
      <c r="AA102" s="27"/>
      <c r="AB102" s="27"/>
      <c r="AC102" s="27"/>
      <c r="AE102" s="27"/>
    </row>
    <row r="103" spans="2:31" s="1" customFormat="1">
      <c r="C103" s="404" t="s">
        <v>224</v>
      </c>
      <c r="D103" s="404"/>
      <c r="E103" s="404"/>
      <c r="F103" s="404"/>
      <c r="G103" s="404"/>
      <c r="H103" s="404"/>
      <c r="I103" s="404"/>
      <c r="J103" s="404"/>
      <c r="K103" s="404"/>
      <c r="L103" s="404"/>
      <c r="M103" s="404"/>
      <c r="N103" s="404"/>
      <c r="Q103" s="27"/>
      <c r="R103" s="27"/>
      <c r="S103" s="27"/>
      <c r="T103" s="27"/>
      <c r="U103" s="27"/>
      <c r="V103" s="27"/>
      <c r="X103" s="27"/>
      <c r="Y103" s="27"/>
      <c r="Z103" s="27"/>
      <c r="AA103" s="27"/>
      <c r="AB103" s="27"/>
      <c r="AC103" s="27"/>
      <c r="AE103" s="27"/>
    </row>
    <row r="104" spans="2:31" s="1" customFormat="1">
      <c r="C104" s="404"/>
      <c r="D104" s="404"/>
      <c r="E104" s="404"/>
      <c r="F104" s="404"/>
      <c r="G104" s="404"/>
      <c r="H104" s="404"/>
      <c r="I104" s="404"/>
      <c r="J104" s="404"/>
      <c r="K104" s="404"/>
      <c r="L104" s="404"/>
      <c r="M104" s="404"/>
      <c r="N104" s="404"/>
      <c r="Q104" s="27"/>
      <c r="R104" s="27"/>
      <c r="S104" s="27"/>
      <c r="T104" s="27"/>
      <c r="U104" s="27"/>
      <c r="V104" s="27"/>
      <c r="X104" s="27"/>
      <c r="Y104" s="27"/>
      <c r="Z104" s="27"/>
      <c r="AA104" s="27"/>
      <c r="AB104" s="27"/>
      <c r="AC104" s="27"/>
      <c r="AE104" s="27"/>
    </row>
    <row r="105" spans="2:31" s="1" customFormat="1" ht="85.95" customHeight="1">
      <c r="B105" s="403" t="e" vm="1">
        <v>#VALUE!</v>
      </c>
      <c r="C105" s="403"/>
      <c r="D105" s="403"/>
      <c r="E105" s="403"/>
      <c r="F105" s="403"/>
      <c r="G105" s="403"/>
      <c r="H105" s="403"/>
      <c r="I105" s="403"/>
      <c r="J105" s="403"/>
      <c r="K105" s="403"/>
      <c r="L105" s="403"/>
      <c r="M105" s="403"/>
    </row>
  </sheetData>
  <sheetProtection algorithmName="SHA-512" hashValue="Gmm3ralTa6DUq/24KWpeTHykZQddh5Ynasj4Q51TF4FYfWFKN3NwKPmD338Yi22PjdCtddr+N5bfIXeBrDBbGA==" saltValue="6FotrGpjudcCpEPEU7ia1Q==" spinCount="100000" sheet="1" scenarios="1" formatCells="0" formatColumns="0" formatRows="0"/>
  <mergeCells count="22">
    <mergeCell ref="C62:C63"/>
    <mergeCell ref="D56:E56"/>
    <mergeCell ref="C59:C60"/>
    <mergeCell ref="E9:I9"/>
    <mergeCell ref="E10:I14"/>
    <mergeCell ref="E15:I15"/>
    <mergeCell ref="C26:C27"/>
    <mergeCell ref="C45:C46"/>
    <mergeCell ref="C17:C18"/>
    <mergeCell ref="C14:C15"/>
    <mergeCell ref="K79:N79"/>
    <mergeCell ref="K80:N80"/>
    <mergeCell ref="K81:N81"/>
    <mergeCell ref="K82:N82"/>
    <mergeCell ref="K83:N83"/>
    <mergeCell ref="C103:N104"/>
    <mergeCell ref="B105:M105"/>
    <mergeCell ref="K84:N84"/>
    <mergeCell ref="K85:N85"/>
    <mergeCell ref="K86:N86"/>
    <mergeCell ref="K87:N87"/>
    <mergeCell ref="K88:N88"/>
  </mergeCells>
  <conditionalFormatting sqref="E18">
    <cfRule type="expression" dxfId="66" priority="2">
      <formula>IF($H$42=2,TRUE,FALSE)</formula>
    </cfRule>
  </conditionalFormatting>
  <dataValidations count="6">
    <dataValidation type="list" allowBlank="1" showInputMessage="1" showErrorMessage="1" sqref="D38" xr:uid="{E626B6E8-96A2-4016-BB1F-8B613AF4CD7D}">
      <formula1>"2010,2011,2012,2013,2014,2015,2016,2017,2018,2019,2020,2021,2022,2023,2024,2025,"</formula1>
    </dataValidation>
    <dataValidation type="list" allowBlank="1" showInputMessage="1" showErrorMessage="1" sqref="E9:I9" xr:uid="{79E29FF1-74C1-4361-BD06-E990110B8FF5}">
      <formula1>"Enter data manually,Observed demand,Epidemiological method"</formula1>
    </dataValidation>
    <dataValidation type="list" allowBlank="1" showInputMessage="1" showErrorMessage="1" sqref="E15:I15" xr:uid="{BD495506-6F4E-B348-A9A0-B81F297F8BCF}">
      <mc:AlternateContent xmlns:x12ac="http://schemas.microsoft.com/office/spreadsheetml/2011/1/ac" xmlns:mc="http://schemas.openxmlformats.org/markup-compatibility/2006">
        <mc:Choice Requires="x12ac">
          <x12ac:list>"Yes, it represents incidence"," No, it represents prevalence"</x12ac:list>
        </mc:Choice>
        <mc:Fallback>
          <formula1>"Yes, it represents incidence, No, it represents prevalence"</formula1>
        </mc:Fallback>
      </mc:AlternateContent>
    </dataValidation>
    <dataValidation type="list" allowBlank="1" showInputMessage="1" showErrorMessage="1" sqref="D56:E56" xr:uid="{0D635DAF-5798-C845-B080-F7963A74B523}">
      <formula1>"Linear projection,Mean projection"</formula1>
    </dataValidation>
    <dataValidation type="list" allowBlank="1" showInputMessage="1" showErrorMessage="1" sqref="E18" xr:uid="{B564552F-24C9-0649-8D40-7D35E97FF8B9}">
      <formula1>"Yes,No"</formula1>
    </dataValidation>
    <dataValidation type="list" allowBlank="1" showInputMessage="1" showErrorMessage="1" sqref="D40" xr:uid="{EF3EC442-5948-4825-BB52-55DF9CF35756}">
      <formula1>"2010,2011,2012,2013,2014,2015,2016,2017,2018,2019,2020,2021,2022,2023,2024,2025,2026"</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8389F-77A5-4537-81D7-C67306867901}">
  <sheetPr codeName="Planilha6">
    <tabColor rgb="FFDDCFAD"/>
  </sheetPr>
  <dimension ref="A1:X232"/>
  <sheetViews>
    <sheetView showGridLines="0" showRowColHeaders="0" topLeftCell="A186" zoomScaleNormal="100" workbookViewId="0">
      <selection activeCell="A223" sqref="A223"/>
    </sheetView>
  </sheetViews>
  <sheetFormatPr defaultColWidth="8.77734375" defaultRowHeight="14.4"/>
  <cols>
    <col min="1" max="1" width="5.44140625" style="180" customWidth="1"/>
    <col min="2" max="2" width="21.44140625" style="180" customWidth="1"/>
    <col min="3" max="3" width="16.6640625" style="262" customWidth="1"/>
    <col min="4" max="4" width="17.6640625" style="263" customWidth="1"/>
    <col min="5" max="5" width="17.6640625" style="262" customWidth="1"/>
    <col min="6" max="9" width="17.6640625" style="180" customWidth="1"/>
    <col min="10" max="10" width="27.44140625" style="180" customWidth="1"/>
    <col min="11" max="12" width="6.77734375" style="180" customWidth="1"/>
    <col min="13" max="13" width="6.77734375" style="259" customWidth="1"/>
    <col min="14" max="14" width="6.77734375" style="258" customWidth="1"/>
    <col min="15" max="15" width="17.33203125" style="259" customWidth="1"/>
    <col min="16" max="18" width="17.33203125" style="258" customWidth="1"/>
    <col min="19" max="19" width="17.33203125" style="260" customWidth="1"/>
    <col min="20" max="20" width="16.6640625" style="258" customWidth="1"/>
    <col min="21" max="21" width="19.6640625" style="180" customWidth="1"/>
    <col min="22" max="22" width="44.77734375" style="180" customWidth="1"/>
    <col min="23" max="23" width="3.77734375" style="180" customWidth="1"/>
    <col min="24" max="24" width="8.77734375" style="261" customWidth="1"/>
    <col min="25" max="38" width="8.77734375" style="180" customWidth="1"/>
    <col min="39" max="16384" width="8.77734375" style="180"/>
  </cols>
  <sheetData>
    <row r="1" spans="1:24" s="130" customFormat="1" ht="33.6">
      <c r="A1" s="127"/>
      <c r="B1" s="128" t="str">
        <f>Introduction!$B$1</f>
        <v>Budget impact analysis of treatments for Advanced cancer</v>
      </c>
      <c r="C1" s="128"/>
      <c r="D1" s="129"/>
      <c r="E1" s="127"/>
      <c r="F1" s="127"/>
      <c r="G1" s="127"/>
      <c r="H1" s="127"/>
      <c r="I1" s="127"/>
      <c r="J1" s="127"/>
      <c r="K1" s="127"/>
      <c r="L1" s="127"/>
      <c r="M1" s="127"/>
      <c r="N1" s="127"/>
      <c r="O1" s="127"/>
      <c r="P1" s="127"/>
      <c r="Q1" s="127"/>
      <c r="R1" s="127"/>
      <c r="S1" s="127"/>
      <c r="T1" s="127"/>
      <c r="U1" s="127"/>
      <c r="V1" s="127"/>
      <c r="W1" s="127"/>
      <c r="X1" s="231"/>
    </row>
    <row r="2" spans="1:24" s="130" customFormat="1" ht="18">
      <c r="A2" s="127"/>
      <c r="B2" s="131"/>
      <c r="C2" s="131"/>
      <c r="D2" s="132"/>
      <c r="E2" s="133"/>
      <c r="F2" s="133"/>
      <c r="G2" s="133"/>
      <c r="H2" s="133"/>
      <c r="I2" s="133"/>
      <c r="J2" s="133"/>
      <c r="K2" s="127"/>
      <c r="L2" s="127"/>
      <c r="M2" s="127"/>
      <c r="N2" s="127"/>
      <c r="O2" s="127"/>
      <c r="P2" s="127"/>
      <c r="Q2" s="127"/>
      <c r="R2" s="127"/>
      <c r="S2" s="127"/>
      <c r="T2" s="127"/>
      <c r="U2" s="127"/>
      <c r="V2" s="127"/>
      <c r="W2" s="127"/>
      <c r="X2" s="231"/>
    </row>
    <row r="3" spans="1:24" s="134" customFormat="1" ht="2.25" customHeight="1">
      <c r="D3" s="135"/>
      <c r="X3" s="232"/>
    </row>
    <row r="4" spans="1:24" s="3" customFormat="1">
      <c r="A4" s="233"/>
      <c r="B4" s="9"/>
      <c r="C4" s="11"/>
      <c r="D4" s="234"/>
      <c r="E4" s="11"/>
      <c r="F4" s="233"/>
      <c r="G4" s="233"/>
      <c r="H4" s="233"/>
      <c r="I4" s="233"/>
      <c r="J4" s="233"/>
      <c r="K4" s="233"/>
      <c r="L4" s="233"/>
      <c r="M4" s="235"/>
      <c r="N4" s="236"/>
      <c r="O4" s="235"/>
      <c r="P4" s="236"/>
      <c r="Q4" s="236"/>
      <c r="R4" s="236"/>
      <c r="S4" s="237"/>
      <c r="T4" s="236"/>
      <c r="U4" s="233"/>
      <c r="V4" s="233"/>
      <c r="W4" s="233"/>
      <c r="X4" s="238"/>
    </row>
    <row r="5" spans="1:24" s="3" customFormat="1">
      <c r="A5" s="233"/>
      <c r="B5" s="9"/>
      <c r="C5" s="9"/>
      <c r="D5" s="9"/>
      <c r="E5" s="11"/>
      <c r="F5" s="233"/>
      <c r="G5" s="233"/>
      <c r="H5" s="233"/>
      <c r="I5" s="233"/>
      <c r="J5" s="233"/>
      <c r="K5" s="233"/>
      <c r="L5" s="233"/>
      <c r="M5" s="235"/>
      <c r="N5" s="236"/>
      <c r="O5" s="235"/>
      <c r="P5" s="236"/>
      <c r="Q5" s="236"/>
      <c r="R5" s="236"/>
      <c r="S5" s="237"/>
      <c r="T5" s="236"/>
      <c r="U5" s="233"/>
      <c r="V5" s="233"/>
      <c r="W5" s="233"/>
      <c r="X5" s="238"/>
    </row>
    <row r="6" spans="1:24" s="3" customFormat="1">
      <c r="A6" s="233"/>
      <c r="B6" s="9"/>
      <c r="C6" s="9"/>
      <c r="D6" s="9"/>
      <c r="E6" s="11"/>
      <c r="F6" s="233"/>
      <c r="G6" s="233"/>
      <c r="H6" s="233"/>
      <c r="I6" s="233"/>
      <c r="J6" s="233"/>
      <c r="K6" s="233"/>
      <c r="L6" s="233"/>
      <c r="M6" s="235"/>
      <c r="N6" s="236"/>
      <c r="O6" s="235"/>
      <c r="P6" s="236"/>
      <c r="Q6" s="236"/>
      <c r="R6" s="236"/>
      <c r="S6" s="237"/>
      <c r="T6" s="236"/>
      <c r="U6" s="233"/>
      <c r="V6" s="233"/>
      <c r="W6" s="233"/>
      <c r="X6" s="238"/>
    </row>
    <row r="7" spans="1:24" s="3" customFormat="1">
      <c r="A7" s="233"/>
      <c r="B7" s="9"/>
      <c r="C7" s="9"/>
      <c r="D7" s="9"/>
      <c r="E7" s="11"/>
      <c r="F7" s="233"/>
      <c r="G7" s="233"/>
      <c r="H7" s="233"/>
      <c r="I7" s="233"/>
      <c r="J7" s="233"/>
      <c r="K7" s="233"/>
      <c r="L7" s="233"/>
      <c r="M7" s="235"/>
      <c r="N7" s="236"/>
      <c r="O7" s="235"/>
      <c r="P7" s="236"/>
      <c r="Q7" s="236"/>
      <c r="R7" s="236"/>
      <c r="S7" s="237"/>
      <c r="T7" s="236"/>
      <c r="U7" s="233"/>
      <c r="V7" s="233"/>
      <c r="W7" s="233"/>
      <c r="X7" s="238"/>
    </row>
    <row r="8" spans="1:24" s="3" customFormat="1">
      <c r="A8" s="233"/>
      <c r="B8" s="9"/>
      <c r="C8" s="9"/>
      <c r="D8" s="9"/>
      <c r="E8" s="11"/>
      <c r="F8" s="233"/>
      <c r="G8" s="233"/>
      <c r="H8" s="233"/>
      <c r="I8" s="233"/>
      <c r="J8" s="233"/>
      <c r="K8" s="233"/>
      <c r="L8" s="233"/>
      <c r="M8" s="235"/>
      <c r="N8" s="236"/>
      <c r="O8" s="235"/>
      <c r="P8" s="236"/>
      <c r="Q8" s="236"/>
      <c r="R8" s="236"/>
      <c r="S8" s="237"/>
      <c r="T8" s="236"/>
      <c r="U8" s="233"/>
      <c r="V8" s="233"/>
      <c r="W8" s="233"/>
      <c r="X8" s="238"/>
    </row>
    <row r="9" spans="1:24" s="3" customFormat="1">
      <c r="A9" s="233"/>
      <c r="B9" s="9"/>
      <c r="C9" s="239"/>
      <c r="D9" s="9"/>
      <c r="E9" s="11"/>
      <c r="F9" s="233"/>
      <c r="G9" s="233"/>
      <c r="H9" s="233"/>
      <c r="I9" s="233"/>
      <c r="J9" s="233"/>
      <c r="K9" s="233"/>
      <c r="L9" s="233"/>
      <c r="M9" s="235"/>
      <c r="N9" s="236"/>
      <c r="O9" s="235"/>
      <c r="P9" s="236"/>
      <c r="Q9" s="236"/>
      <c r="R9" s="236"/>
      <c r="S9" s="237"/>
      <c r="T9" s="236"/>
      <c r="U9" s="233"/>
      <c r="V9" s="233"/>
      <c r="W9" s="233"/>
      <c r="X9" s="238"/>
    </row>
    <row r="10" spans="1:24" s="3" customFormat="1">
      <c r="A10" s="233"/>
      <c r="B10" s="9"/>
      <c r="C10" s="239"/>
      <c r="D10" s="9"/>
      <c r="E10" s="11"/>
      <c r="F10" s="233"/>
      <c r="G10" s="233"/>
      <c r="H10" s="233"/>
      <c r="I10" s="233"/>
      <c r="J10" s="233"/>
      <c r="K10" s="233"/>
      <c r="L10" s="233"/>
      <c r="M10" s="235"/>
      <c r="N10" s="236"/>
      <c r="O10" s="235"/>
      <c r="P10" s="236"/>
      <c r="Q10" s="236"/>
      <c r="R10" s="236"/>
      <c r="S10" s="237"/>
      <c r="T10" s="236"/>
      <c r="U10" s="233"/>
      <c r="V10" s="233"/>
      <c r="W10" s="233"/>
      <c r="X10" s="238"/>
    </row>
    <row r="11" spans="1:24" s="3" customFormat="1">
      <c r="A11" s="233"/>
      <c r="B11" s="9"/>
      <c r="C11" s="239"/>
      <c r="D11" s="9"/>
      <c r="E11" s="11"/>
      <c r="F11" s="233"/>
      <c r="G11" s="233"/>
      <c r="H11" s="233"/>
      <c r="I11" s="233"/>
      <c r="J11" s="233"/>
      <c r="K11" s="233"/>
      <c r="L11" s="233"/>
      <c r="M11" s="235"/>
      <c r="N11" s="236"/>
      <c r="O11" s="235"/>
      <c r="P11" s="236"/>
      <c r="Q11" s="236"/>
      <c r="R11" s="236"/>
      <c r="S11" s="237"/>
      <c r="T11" s="236"/>
      <c r="U11" s="233"/>
      <c r="V11" s="233"/>
      <c r="W11" s="233"/>
      <c r="X11" s="238"/>
    </row>
    <row r="12" spans="1:24" s="3" customFormat="1">
      <c r="A12" s="233"/>
      <c r="B12" s="9"/>
      <c r="C12" s="239"/>
      <c r="D12" s="234"/>
      <c r="E12" s="11"/>
      <c r="F12" s="233"/>
      <c r="G12" s="233"/>
      <c r="H12" s="233"/>
      <c r="I12" s="233"/>
      <c r="J12" s="233"/>
      <c r="K12" s="233"/>
      <c r="L12" s="233"/>
      <c r="M12" s="235"/>
      <c r="N12" s="236"/>
      <c r="O12" s="235"/>
      <c r="P12" s="236"/>
      <c r="Q12" s="236"/>
      <c r="R12" s="236"/>
      <c r="S12" s="237"/>
      <c r="T12" s="236"/>
      <c r="U12" s="233"/>
      <c r="V12" s="233"/>
      <c r="W12" s="233"/>
      <c r="X12" s="238"/>
    </row>
    <row r="13" spans="1:24" s="3" customFormat="1">
      <c r="A13" s="233"/>
      <c r="B13" s="9"/>
      <c r="C13" s="239"/>
      <c r="D13" s="234"/>
      <c r="E13" s="11"/>
      <c r="F13" s="233"/>
      <c r="G13" s="233"/>
      <c r="H13" s="233"/>
      <c r="I13" s="233"/>
      <c r="J13" s="233"/>
      <c r="K13" s="233"/>
      <c r="L13" s="233"/>
      <c r="M13" s="235"/>
      <c r="N13" s="236"/>
      <c r="O13" s="235"/>
      <c r="P13" s="236"/>
      <c r="Q13" s="236"/>
      <c r="R13" s="236"/>
      <c r="S13" s="237"/>
      <c r="T13" s="236"/>
      <c r="U13" s="233"/>
      <c r="V13" s="233"/>
      <c r="W13" s="233"/>
      <c r="X13" s="238"/>
    </row>
    <row r="14" spans="1:24" s="3" customFormat="1">
      <c r="A14" s="233"/>
      <c r="B14" s="9"/>
      <c r="C14" s="239"/>
      <c r="D14" s="234"/>
      <c r="E14" s="11"/>
      <c r="F14" s="233"/>
      <c r="G14" s="233"/>
      <c r="H14" s="233"/>
      <c r="I14" s="233"/>
      <c r="J14" s="233"/>
      <c r="K14" s="233"/>
      <c r="L14" s="233"/>
      <c r="M14" s="235"/>
      <c r="N14" s="236"/>
      <c r="O14" s="235"/>
      <c r="P14" s="236"/>
      <c r="Q14" s="236"/>
      <c r="R14" s="236"/>
      <c r="S14" s="237"/>
      <c r="T14" s="236"/>
      <c r="U14" s="233"/>
      <c r="V14" s="233"/>
      <c r="W14" s="233"/>
      <c r="X14" s="238"/>
    </row>
    <row r="15" spans="1:24" s="3" customFormat="1">
      <c r="A15" s="233"/>
      <c r="B15" s="9"/>
      <c r="C15" s="239"/>
      <c r="D15" s="234"/>
      <c r="E15" s="11"/>
      <c r="F15" s="233"/>
      <c r="G15" s="233"/>
      <c r="H15" s="233"/>
      <c r="I15" s="233"/>
      <c r="J15" s="233"/>
      <c r="K15" s="233"/>
      <c r="L15" s="233"/>
      <c r="M15" s="235"/>
      <c r="N15" s="236"/>
      <c r="O15" s="235"/>
      <c r="P15" s="236"/>
      <c r="Q15" s="236"/>
      <c r="R15" s="236"/>
      <c r="S15" s="237"/>
      <c r="T15" s="236"/>
      <c r="U15" s="233"/>
      <c r="V15" s="233"/>
      <c r="W15" s="233"/>
      <c r="X15" s="238"/>
    </row>
    <row r="16" spans="1:24" s="3" customFormat="1" ht="18">
      <c r="A16" s="233"/>
      <c r="B16" s="9"/>
      <c r="C16" s="239"/>
      <c r="D16" s="234"/>
      <c r="E16" s="11"/>
      <c r="F16" s="233"/>
      <c r="G16" s="233"/>
      <c r="H16" s="233"/>
      <c r="I16" s="233"/>
      <c r="J16" s="233"/>
      <c r="K16" s="233"/>
      <c r="L16" s="240"/>
      <c r="M16" s="235"/>
      <c r="N16" s="236"/>
      <c r="O16" s="235"/>
      <c r="P16" s="236"/>
      <c r="Q16" s="236"/>
      <c r="R16" s="236"/>
      <c r="S16" s="237"/>
      <c r="T16" s="236"/>
      <c r="U16" s="233"/>
      <c r="V16" s="233"/>
      <c r="W16" s="233"/>
      <c r="X16" s="238"/>
    </row>
    <row r="17" spans="1:24" s="3" customFormat="1">
      <c r="A17" s="233"/>
      <c r="B17" s="9"/>
      <c r="C17" s="239"/>
      <c r="D17" s="234"/>
      <c r="E17" s="11"/>
      <c r="F17" s="233"/>
      <c r="G17" s="233"/>
      <c r="H17" s="233"/>
      <c r="I17" s="233"/>
      <c r="J17" s="233"/>
      <c r="K17" s="233"/>
      <c r="L17"/>
      <c r="M17" s="235"/>
      <c r="N17" s="236"/>
      <c r="O17" s="235"/>
      <c r="P17" s="236"/>
      <c r="Q17" s="236"/>
      <c r="R17" s="236"/>
      <c r="S17" s="237"/>
      <c r="T17" s="236"/>
      <c r="U17" s="233"/>
      <c r="V17" s="233"/>
      <c r="W17" s="233"/>
      <c r="X17" s="238"/>
    </row>
    <row r="18" spans="1:24" s="3" customFormat="1">
      <c r="A18" s="233"/>
      <c r="B18" s="9"/>
      <c r="C18" s="239"/>
      <c r="D18" s="234"/>
      <c r="E18" s="11"/>
      <c r="F18" s="233"/>
      <c r="G18" s="233"/>
      <c r="H18" s="233"/>
      <c r="I18" s="233"/>
      <c r="J18"/>
      <c r="K18" s="233"/>
      <c r="L18" s="241"/>
      <c r="M18" s="235"/>
      <c r="N18" s="236"/>
      <c r="O18" s="235"/>
      <c r="P18" s="236"/>
      <c r="Q18" s="236"/>
      <c r="R18" s="236"/>
      <c r="S18" s="237"/>
      <c r="T18" s="236"/>
      <c r="U18" s="233"/>
      <c r="V18" s="233"/>
      <c r="W18" s="233"/>
      <c r="X18" s="238"/>
    </row>
    <row r="19" spans="1:24" s="3" customFormat="1">
      <c r="A19" s="233"/>
      <c r="B19" s="239"/>
      <c r="C19" s="239"/>
      <c r="D19" s="234"/>
      <c r="E19" s="11"/>
      <c r="F19" s="233"/>
      <c r="G19" s="233"/>
      <c r="H19" s="233"/>
      <c r="I19" s="233"/>
      <c r="J19" s="233"/>
      <c r="K19" s="233"/>
      <c r="L19"/>
      <c r="M19" s="235"/>
      <c r="N19" s="236"/>
      <c r="O19" s="235"/>
      <c r="P19" s="236"/>
      <c r="Q19" s="236"/>
      <c r="R19" s="236"/>
      <c r="S19" s="237"/>
      <c r="T19" s="236"/>
      <c r="U19" s="233"/>
      <c r="V19" s="233"/>
      <c r="W19" s="233"/>
      <c r="X19" s="238"/>
    </row>
    <row r="20" spans="1:24" s="3" customFormat="1">
      <c r="A20" s="233"/>
      <c r="B20" s="239"/>
      <c r="C20" s="239"/>
      <c r="D20" s="234"/>
      <c r="E20" s="11"/>
      <c r="F20" s="233"/>
      <c r="G20" s="233"/>
      <c r="H20" s="233"/>
      <c r="I20" s="233"/>
      <c r="J20" s="233"/>
      <c r="K20" s="233"/>
      <c r="L20" s="241"/>
      <c r="M20" s="235"/>
      <c r="N20" s="236"/>
      <c r="O20" s="235"/>
      <c r="P20" s="236"/>
      <c r="Q20" s="236"/>
      <c r="R20" s="236"/>
      <c r="S20" s="237"/>
      <c r="T20" s="236"/>
      <c r="U20" s="233"/>
      <c r="V20" s="233"/>
      <c r="W20" s="233"/>
      <c r="X20" s="238"/>
    </row>
    <row r="21" spans="1:24" s="3" customFormat="1">
      <c r="A21" s="233"/>
      <c r="B21" s="239"/>
      <c r="C21" s="239"/>
      <c r="D21" s="234"/>
      <c r="E21" s="11"/>
      <c r="F21" s="233"/>
      <c r="G21" s="233"/>
      <c r="H21" s="233"/>
      <c r="I21" s="233"/>
      <c r="J21" s="233"/>
      <c r="K21" s="233"/>
      <c r="L21"/>
      <c r="M21" s="235"/>
      <c r="N21" s="236"/>
      <c r="O21" s="235"/>
      <c r="P21" s="236"/>
      <c r="Q21" s="236"/>
      <c r="R21" s="236"/>
      <c r="S21" s="237"/>
      <c r="T21" s="236"/>
      <c r="U21" s="233"/>
      <c r="V21" s="233"/>
      <c r="W21" s="233"/>
      <c r="X21" s="238"/>
    </row>
    <row r="22" spans="1:24" s="3" customFormat="1">
      <c r="A22" s="233"/>
      <c r="B22" s="239"/>
      <c r="C22" s="239"/>
      <c r="D22" s="234"/>
      <c r="E22" s="11"/>
      <c r="F22" s="233"/>
      <c r="G22" s="233"/>
      <c r="H22" s="233"/>
      <c r="I22" s="233"/>
      <c r="J22" s="233"/>
      <c r="K22" s="233"/>
      <c r="L22" s="241"/>
      <c r="M22" s="235"/>
      <c r="N22" s="236"/>
      <c r="O22" s="235"/>
      <c r="P22" s="236"/>
      <c r="Q22" s="236"/>
      <c r="R22" s="236"/>
      <c r="S22" s="237"/>
      <c r="T22" s="236"/>
      <c r="U22" s="233"/>
      <c r="V22" s="233"/>
      <c r="W22" s="233"/>
      <c r="X22" s="238"/>
    </row>
    <row r="23" spans="1:24" s="3" customFormat="1">
      <c r="A23" s="233"/>
      <c r="B23" s="9"/>
      <c r="C23" s="239"/>
      <c r="D23" s="234"/>
      <c r="E23" s="11"/>
      <c r="F23" s="233"/>
      <c r="G23" s="233"/>
      <c r="H23" s="233"/>
      <c r="I23" s="233"/>
      <c r="J23" s="233"/>
      <c r="K23" s="233"/>
      <c r="L23"/>
      <c r="M23" s="235"/>
      <c r="N23" s="236"/>
      <c r="O23" s="235"/>
      <c r="P23" s="236"/>
      <c r="Q23" s="236"/>
      <c r="R23" s="236"/>
      <c r="S23" s="237"/>
      <c r="T23" s="236"/>
      <c r="U23" s="233"/>
      <c r="V23" s="233"/>
      <c r="W23" s="233"/>
      <c r="X23" s="238"/>
    </row>
    <row r="24" spans="1:24" s="3" customFormat="1">
      <c r="A24" s="233"/>
      <c r="B24" s="9"/>
      <c r="C24" s="239"/>
      <c r="D24" s="234"/>
      <c r="E24" s="11"/>
      <c r="F24" s="233"/>
      <c r="G24" s="233"/>
      <c r="H24" s="233"/>
      <c r="I24" s="233"/>
      <c r="J24" s="233"/>
      <c r="K24" s="233"/>
      <c r="L24"/>
      <c r="M24" s="235"/>
      <c r="N24" s="236"/>
      <c r="O24" s="235"/>
      <c r="P24" s="236"/>
      <c r="Q24" s="236"/>
      <c r="R24" s="236"/>
      <c r="S24" s="237"/>
      <c r="T24" s="236"/>
      <c r="U24" s="233"/>
      <c r="V24" s="233"/>
      <c r="W24" s="233"/>
      <c r="X24" s="238"/>
    </row>
    <row r="25" spans="1:24" s="3" customFormat="1">
      <c r="A25" s="233"/>
      <c r="B25" s="9"/>
      <c r="C25" s="239"/>
      <c r="D25" s="234"/>
      <c r="E25" s="11"/>
      <c r="F25" s="233"/>
      <c r="G25" s="233"/>
      <c r="H25" s="233"/>
      <c r="I25" s="233"/>
      <c r="J25" s="233"/>
      <c r="K25" s="233"/>
      <c r="L25"/>
      <c r="M25" s="235"/>
      <c r="N25" s="236"/>
      <c r="O25" s="235"/>
      <c r="P25" s="236"/>
      <c r="Q25" s="236"/>
      <c r="R25" s="236"/>
      <c r="S25" s="237"/>
      <c r="T25" s="236"/>
      <c r="U25" s="233"/>
      <c r="V25" s="233"/>
      <c r="W25" s="233"/>
      <c r="X25" s="238"/>
    </row>
    <row r="26" spans="1:24" s="3" customFormat="1" ht="18">
      <c r="A26" s="233"/>
      <c r="B26" s="140" t="s">
        <v>158</v>
      </c>
      <c r="C26" s="11"/>
      <c r="D26" s="234"/>
      <c r="E26" s="11"/>
      <c r="F26" s="233"/>
      <c r="G26" s="233"/>
      <c r="H26" s="233"/>
      <c r="I26" s="233"/>
      <c r="J26" s="233"/>
      <c r="K26" s="233"/>
      <c r="L26" s="240"/>
      <c r="M26" s="235"/>
      <c r="N26" s="236"/>
      <c r="O26" s="235"/>
      <c r="P26" s="236"/>
      <c r="Q26" s="236"/>
      <c r="R26" s="236"/>
      <c r="S26" s="237"/>
      <c r="T26" s="236"/>
      <c r="U26" s="233"/>
      <c r="V26" s="233"/>
      <c r="W26" s="233"/>
      <c r="X26" s="238"/>
    </row>
    <row r="27" spans="1:24" s="3" customFormat="1">
      <c r="A27" s="233"/>
      <c r="B27" s="242" t="s">
        <v>159</v>
      </c>
      <c r="C27" s="11"/>
      <c r="D27" s="234"/>
      <c r="E27" s="11"/>
      <c r="F27" s="233"/>
      <c r="G27" s="233"/>
      <c r="H27" s="233"/>
      <c r="I27" s="233"/>
      <c r="J27" s="233"/>
      <c r="K27" s="233"/>
      <c r="L27"/>
      <c r="M27" s="235"/>
      <c r="N27" s="236"/>
      <c r="O27" s="235"/>
      <c r="P27" s="236"/>
      <c r="Q27" s="236"/>
      <c r="R27" s="236"/>
      <c r="S27" s="237"/>
      <c r="T27" s="236"/>
      <c r="U27" s="233"/>
      <c r="V27" s="233"/>
      <c r="W27" s="233"/>
      <c r="X27" s="238"/>
    </row>
    <row r="28" spans="1:24" s="3" customFormat="1">
      <c r="A28" s="233"/>
      <c r="B28" s="242" t="s">
        <v>160</v>
      </c>
      <c r="C28" s="11"/>
      <c r="D28" s="234"/>
      <c r="E28" s="11"/>
      <c r="F28" s="233"/>
      <c r="G28" s="233"/>
      <c r="H28" s="233"/>
      <c r="I28" s="233"/>
      <c r="J28" s="233"/>
      <c r="K28" s="233"/>
      <c r="L28" s="241"/>
      <c r="M28" s="235"/>
      <c r="N28" s="236"/>
      <c r="O28" s="235"/>
      <c r="P28" s="236"/>
      <c r="Q28" s="236"/>
      <c r="R28" s="236"/>
      <c r="S28" s="237"/>
      <c r="T28" s="236"/>
      <c r="U28" s="233"/>
      <c r="V28" s="233"/>
      <c r="W28" s="233"/>
      <c r="X28" s="238"/>
    </row>
    <row r="29" spans="1:24" s="3" customFormat="1">
      <c r="A29" s="233"/>
      <c r="B29" s="242"/>
      <c r="C29" s="11"/>
      <c r="D29" s="234"/>
      <c r="E29" s="11"/>
      <c r="F29" s="233"/>
      <c r="G29" s="233"/>
      <c r="H29" s="233"/>
      <c r="I29" s="233"/>
      <c r="J29" s="233"/>
      <c r="K29" s="233"/>
      <c r="L29"/>
      <c r="M29" s="235"/>
      <c r="N29" s="236"/>
      <c r="O29" s="235"/>
      <c r="P29" s="236"/>
      <c r="Q29" s="236"/>
      <c r="R29" s="236"/>
      <c r="S29" s="237"/>
      <c r="T29" s="236"/>
      <c r="U29" s="233"/>
      <c r="V29" s="233"/>
      <c r="W29" s="233"/>
      <c r="X29" s="238"/>
    </row>
    <row r="30" spans="1:24" s="3" customFormat="1" ht="15" customHeight="1">
      <c r="A30" s="233"/>
      <c r="B30" s="431" t="s">
        <v>81</v>
      </c>
      <c r="C30" s="432"/>
      <c r="D30" s="443" t="s">
        <v>226</v>
      </c>
      <c r="E30" s="444"/>
      <c r="F30" s="444"/>
      <c r="G30" s="447" t="s">
        <v>231</v>
      </c>
      <c r="H30" s="448"/>
      <c r="I30" s="448"/>
      <c r="J30" s="429" t="s">
        <v>97</v>
      </c>
      <c r="K30" s="233"/>
      <c r="L30" s="241"/>
      <c r="M30" s="235"/>
      <c r="N30" s="236"/>
      <c r="O30" s="235"/>
      <c r="P30" s="236"/>
      <c r="Q30" s="236"/>
      <c r="R30" s="236"/>
      <c r="S30" s="237"/>
      <c r="T30" s="236"/>
      <c r="U30" s="233"/>
      <c r="V30" s="233"/>
      <c r="W30" s="233"/>
      <c r="X30" s="238"/>
    </row>
    <row r="31" spans="1:24" s="3" customFormat="1" ht="28.8">
      <c r="A31" s="233"/>
      <c r="B31" s="433"/>
      <c r="C31" s="434"/>
      <c r="D31" s="122" t="s">
        <v>227</v>
      </c>
      <c r="E31" s="122" t="s">
        <v>228</v>
      </c>
      <c r="F31" s="122" t="s">
        <v>229</v>
      </c>
      <c r="G31" s="121" t="s">
        <v>230</v>
      </c>
      <c r="H31" s="121" t="s">
        <v>232</v>
      </c>
      <c r="I31" s="121" t="s">
        <v>233</v>
      </c>
      <c r="J31" s="430"/>
      <c r="K31" s="233"/>
      <c r="L31"/>
      <c r="M31" s="235"/>
      <c r="N31" s="236"/>
      <c r="O31" s="235"/>
      <c r="P31" s="236"/>
      <c r="Q31" s="236"/>
      <c r="R31" s="236"/>
      <c r="S31" s="237"/>
      <c r="T31" s="236"/>
      <c r="U31" s="233"/>
      <c r="V31" s="233"/>
      <c r="W31" s="233"/>
      <c r="X31" s="238"/>
    </row>
    <row r="32" spans="1:24" s="3" customFormat="1">
      <c r="A32" s="233"/>
      <c r="B32" s="66" t="s">
        <v>137</v>
      </c>
      <c r="C32" s="60" t="str">
        <f>IF(intervencao1=0,"None",intervencao1)</f>
        <v>Drug 1</v>
      </c>
      <c r="D32" s="186">
        <f t="shared" ref="D32:D45" ca="1" si="0">IF($D$198="No",SUMIF($B$55:$C$68,C32,$I$55:$I$68),D202)</f>
        <v>0</v>
      </c>
      <c r="E32" s="186">
        <f t="shared" ref="E32:E45" ca="1" si="1">IF($D$198="No",SUMIF($B$76:$C$105,C32,$I$76:$I$105),E202/12)</f>
        <v>3600</v>
      </c>
      <c r="F32" s="186">
        <f t="shared" ref="F32:F45" ca="1" si="2">IF($D$198="No",SUMIF($B$113:$C$142,C32,$I$113:$I$142),F202/12)</f>
        <v>0</v>
      </c>
      <c r="G32" s="186">
        <f>IF($D$198="No",SUM(I150:I159),G202)</f>
        <v>1500</v>
      </c>
      <c r="H32" s="186">
        <f>IF($D$198="No",SUM(I165:I174),H202/12)</f>
        <v>87.5</v>
      </c>
      <c r="I32" s="186">
        <f>IF($D$198="No",SUM(I180:I189),I202/12)</f>
        <v>57</v>
      </c>
      <c r="J32" s="60" t="str">
        <f>IF($D$198="Yes","Auxiliary cost spreadsheet","See tables below")</f>
        <v>See tables below</v>
      </c>
      <c r="K32" s="233"/>
      <c r="L32" s="241"/>
      <c r="M32" s="235"/>
      <c r="N32" s="236"/>
      <c r="O32" s="235"/>
      <c r="P32" s="236"/>
      <c r="Q32" s="236"/>
      <c r="R32" s="236"/>
      <c r="S32" s="237"/>
      <c r="T32" s="236"/>
      <c r="U32" s="233"/>
      <c r="V32" s="233"/>
      <c r="W32" s="233"/>
      <c r="X32" s="238"/>
    </row>
    <row r="33" spans="1:24" s="3" customFormat="1">
      <c r="A33" s="233"/>
      <c r="B33" s="66" t="s">
        <v>138</v>
      </c>
      <c r="C33" s="60" t="str">
        <f>IF(intervencao2=0,"None",intervencao2)</f>
        <v>Drug 2</v>
      </c>
      <c r="D33" s="186">
        <f t="shared" ca="1" si="0"/>
        <v>200</v>
      </c>
      <c r="E33" s="186">
        <f t="shared" ca="1" si="1"/>
        <v>2530.5</v>
      </c>
      <c r="F33" s="186">
        <f t="shared" ca="1" si="2"/>
        <v>0</v>
      </c>
      <c r="G33" s="186">
        <f t="shared" ref="G33:G45" si="3">IF(C33="Do not fill this line",0,$G$32)</f>
        <v>1500</v>
      </c>
      <c r="H33" s="186">
        <f t="shared" ref="H33:H45" si="4">IF(C33="Do not fill this line",0,$H$32)</f>
        <v>87.5</v>
      </c>
      <c r="I33" s="186">
        <f t="shared" ref="I33:I45" si="5">IF(C33="Do not fill this line",0,$I$32)</f>
        <v>57</v>
      </c>
      <c r="J33" s="60" t="str">
        <f t="shared" ref="J33:J45" si="6">IF($D$198="Yes","Auxiliary cost spreadsheet","See tables below")</f>
        <v>See tables below</v>
      </c>
      <c r="K33" s="233"/>
      <c r="L33" s="233"/>
      <c r="M33" s="235"/>
      <c r="N33" s="236"/>
      <c r="O33" s="235"/>
      <c r="P33" s="236"/>
      <c r="Q33" s="236"/>
      <c r="R33" s="236"/>
      <c r="S33" s="237"/>
      <c r="T33" s="236"/>
      <c r="U33" s="233"/>
      <c r="V33" s="233"/>
      <c r="W33" s="233"/>
      <c r="X33" s="238"/>
    </row>
    <row r="34" spans="1:24" s="3" customFormat="1">
      <c r="A34" s="233"/>
      <c r="B34" s="66" t="s">
        <v>139</v>
      </c>
      <c r="C34" s="60" t="str">
        <f>IF(intervencao3=0,"None",intervencao3)</f>
        <v>None</v>
      </c>
      <c r="D34" s="186">
        <f t="shared" ca="1" si="0"/>
        <v>0</v>
      </c>
      <c r="E34" s="186">
        <f t="shared" ca="1" si="1"/>
        <v>0</v>
      </c>
      <c r="F34" s="186">
        <f t="shared" ca="1" si="2"/>
        <v>0</v>
      </c>
      <c r="G34" s="186">
        <f t="shared" si="3"/>
        <v>1500</v>
      </c>
      <c r="H34" s="186">
        <f t="shared" si="4"/>
        <v>87.5</v>
      </c>
      <c r="I34" s="186">
        <f t="shared" si="5"/>
        <v>57</v>
      </c>
      <c r="J34" s="60" t="str">
        <f t="shared" si="6"/>
        <v>See tables below</v>
      </c>
      <c r="K34" s="233"/>
      <c r="L34" s="233"/>
      <c r="M34" s="235"/>
      <c r="N34" s="236"/>
      <c r="O34" s="235"/>
      <c r="P34" s="236"/>
      <c r="Q34" s="236"/>
      <c r="R34" s="236"/>
      <c r="S34" s="237"/>
      <c r="T34" s="236"/>
      <c r="U34" s="233"/>
      <c r="V34" s="233"/>
      <c r="W34" s="233"/>
      <c r="X34" s="238"/>
    </row>
    <row r="35" spans="1:24" s="3" customFormat="1">
      <c r="A35" s="233"/>
      <c r="B35" s="66" t="s">
        <v>140</v>
      </c>
      <c r="C35" s="60" t="str">
        <f>IF(intervencao4=0,"None",intervencao4)</f>
        <v>None</v>
      </c>
      <c r="D35" s="186">
        <f t="shared" ca="1" si="0"/>
        <v>0</v>
      </c>
      <c r="E35" s="186">
        <f t="shared" ca="1" si="1"/>
        <v>0</v>
      </c>
      <c r="F35" s="186">
        <f t="shared" ca="1" si="2"/>
        <v>0</v>
      </c>
      <c r="G35" s="186">
        <f t="shared" si="3"/>
        <v>1500</v>
      </c>
      <c r="H35" s="186">
        <f t="shared" si="4"/>
        <v>87.5</v>
      </c>
      <c r="I35" s="186">
        <f t="shared" si="5"/>
        <v>57</v>
      </c>
      <c r="J35" s="60" t="str">
        <f t="shared" si="6"/>
        <v>See tables below</v>
      </c>
      <c r="K35" s="233"/>
      <c r="L35" s="233"/>
      <c r="M35" s="235"/>
      <c r="N35" s="236"/>
      <c r="O35" s="235"/>
      <c r="P35" s="236"/>
      <c r="Q35" s="236"/>
      <c r="R35" s="236"/>
      <c r="S35" s="237"/>
      <c r="T35" s="236"/>
      <c r="U35" s="233"/>
      <c r="V35" s="233"/>
      <c r="W35" s="233"/>
      <c r="X35" s="238"/>
    </row>
    <row r="36" spans="1:24" s="3" customFormat="1">
      <c r="A36" s="233"/>
      <c r="B36" s="66" t="s">
        <v>141</v>
      </c>
      <c r="C36" s="60" t="str">
        <f>IF(comparador1=0,"None",comparador1)</f>
        <v>BSC</v>
      </c>
      <c r="D36" s="186">
        <f t="shared" ca="1" si="0"/>
        <v>0</v>
      </c>
      <c r="E36" s="186">
        <f t="shared" ca="1" si="1"/>
        <v>782</v>
      </c>
      <c r="F36" s="186">
        <f t="shared" ca="1" si="2"/>
        <v>0</v>
      </c>
      <c r="G36" s="186">
        <f t="shared" si="3"/>
        <v>1500</v>
      </c>
      <c r="H36" s="186">
        <f t="shared" si="4"/>
        <v>87.5</v>
      </c>
      <c r="I36" s="186">
        <f t="shared" si="5"/>
        <v>57</v>
      </c>
      <c r="J36" s="60" t="str">
        <f t="shared" si="6"/>
        <v>See tables below</v>
      </c>
      <c r="K36" s="233"/>
      <c r="L36" s="233"/>
      <c r="M36" s="235"/>
      <c r="N36" s="236"/>
      <c r="O36" s="235"/>
      <c r="P36" s="236"/>
      <c r="Q36" s="236"/>
      <c r="R36" s="236"/>
      <c r="S36" s="237"/>
      <c r="T36" s="236"/>
      <c r="U36" s="233"/>
      <c r="V36" s="233"/>
      <c r="W36" s="233"/>
      <c r="X36" s="238"/>
    </row>
    <row r="37" spans="1:24" s="3" customFormat="1">
      <c r="A37" s="233"/>
      <c r="B37" s="66" t="s">
        <v>142</v>
      </c>
      <c r="C37" s="60" t="str">
        <f>IF(comparador2=0,"None",comparador2)</f>
        <v>None</v>
      </c>
      <c r="D37" s="186">
        <f t="shared" ca="1" si="0"/>
        <v>0</v>
      </c>
      <c r="E37" s="186">
        <f t="shared" ca="1" si="1"/>
        <v>0</v>
      </c>
      <c r="F37" s="186">
        <f t="shared" ca="1" si="2"/>
        <v>0</v>
      </c>
      <c r="G37" s="186">
        <f t="shared" si="3"/>
        <v>1500</v>
      </c>
      <c r="H37" s="186">
        <f t="shared" si="4"/>
        <v>87.5</v>
      </c>
      <c r="I37" s="186">
        <f t="shared" si="5"/>
        <v>57</v>
      </c>
      <c r="J37" s="60" t="str">
        <f t="shared" si="6"/>
        <v>See tables below</v>
      </c>
      <c r="K37" s="233"/>
      <c r="L37" s="233"/>
      <c r="M37" s="235"/>
      <c r="N37" s="236"/>
      <c r="O37" s="235"/>
      <c r="P37" s="236"/>
      <c r="Q37" s="236"/>
      <c r="R37" s="236"/>
      <c r="S37" s="237"/>
      <c r="T37" s="236"/>
      <c r="U37" s="233"/>
      <c r="V37" s="233"/>
      <c r="W37" s="233"/>
      <c r="X37" s="238"/>
    </row>
    <row r="38" spans="1:24" s="3" customFormat="1">
      <c r="A38" s="233"/>
      <c r="B38" s="66" t="s">
        <v>143</v>
      </c>
      <c r="C38" s="60" t="str">
        <f>IF(comparador3=0,"None",comparador3)</f>
        <v>None</v>
      </c>
      <c r="D38" s="186">
        <f t="shared" ca="1" si="0"/>
        <v>0</v>
      </c>
      <c r="E38" s="186">
        <f t="shared" ca="1" si="1"/>
        <v>0</v>
      </c>
      <c r="F38" s="186">
        <f t="shared" ca="1" si="2"/>
        <v>0</v>
      </c>
      <c r="G38" s="186">
        <f t="shared" si="3"/>
        <v>1500</v>
      </c>
      <c r="H38" s="186">
        <f t="shared" si="4"/>
        <v>87.5</v>
      </c>
      <c r="I38" s="186">
        <f t="shared" si="5"/>
        <v>57</v>
      </c>
      <c r="J38" s="60" t="str">
        <f t="shared" si="6"/>
        <v>See tables below</v>
      </c>
      <c r="K38" s="233"/>
      <c r="L38" s="233"/>
      <c r="M38" s="235"/>
      <c r="N38" s="236"/>
      <c r="O38" s="235"/>
      <c r="P38" s="236"/>
      <c r="Q38" s="236"/>
      <c r="R38" s="236"/>
      <c r="S38" s="237"/>
      <c r="T38" s="236"/>
      <c r="U38" s="233"/>
      <c r="V38" s="233"/>
      <c r="W38" s="233"/>
      <c r="X38" s="238"/>
    </row>
    <row r="39" spans="1:24" s="3" customFormat="1">
      <c r="A39" s="233"/>
      <c r="B39" s="66" t="s">
        <v>144</v>
      </c>
      <c r="C39" s="60" t="str">
        <f>IF(comparador4=0,"None",comparador4)</f>
        <v>None</v>
      </c>
      <c r="D39" s="186">
        <f t="shared" ca="1" si="0"/>
        <v>0</v>
      </c>
      <c r="E39" s="186">
        <f t="shared" ca="1" si="1"/>
        <v>0</v>
      </c>
      <c r="F39" s="186">
        <f t="shared" ca="1" si="2"/>
        <v>0</v>
      </c>
      <c r="G39" s="186">
        <f t="shared" si="3"/>
        <v>1500</v>
      </c>
      <c r="H39" s="186">
        <f t="shared" si="4"/>
        <v>87.5</v>
      </c>
      <c r="I39" s="186">
        <f t="shared" si="5"/>
        <v>57</v>
      </c>
      <c r="J39" s="60" t="str">
        <f t="shared" si="6"/>
        <v>See tables below</v>
      </c>
      <c r="K39" s="233"/>
      <c r="L39" s="233"/>
      <c r="M39" s="235"/>
      <c r="N39" s="236"/>
      <c r="O39" s="235"/>
      <c r="P39" s="236"/>
      <c r="Q39" s="236"/>
      <c r="R39" s="236"/>
      <c r="S39" s="237"/>
      <c r="T39" s="236"/>
      <c r="U39" s="233"/>
      <c r="V39" s="233"/>
      <c r="W39" s="233"/>
      <c r="X39" s="238"/>
    </row>
    <row r="40" spans="1:24" s="3" customFormat="1">
      <c r="A40" s="233"/>
      <c r="B40" s="66" t="s">
        <v>145</v>
      </c>
      <c r="C40" s="60" t="str">
        <f>IF(comparador5=0,"None",comparador5)</f>
        <v>None</v>
      </c>
      <c r="D40" s="186">
        <f t="shared" ca="1" si="0"/>
        <v>0</v>
      </c>
      <c r="E40" s="186">
        <f t="shared" ca="1" si="1"/>
        <v>0</v>
      </c>
      <c r="F40" s="186">
        <f t="shared" ca="1" si="2"/>
        <v>0</v>
      </c>
      <c r="G40" s="186">
        <f t="shared" si="3"/>
        <v>1500</v>
      </c>
      <c r="H40" s="186">
        <f t="shared" si="4"/>
        <v>87.5</v>
      </c>
      <c r="I40" s="186">
        <f t="shared" si="5"/>
        <v>57</v>
      </c>
      <c r="J40" s="60" t="str">
        <f t="shared" si="6"/>
        <v>See tables below</v>
      </c>
      <c r="K40" s="233"/>
      <c r="L40" s="233"/>
      <c r="M40" s="235"/>
      <c r="N40" s="236"/>
      <c r="O40" s="235"/>
      <c r="P40" s="236"/>
      <c r="Q40" s="236"/>
      <c r="R40" s="236"/>
      <c r="S40" s="237"/>
      <c r="T40" s="236"/>
      <c r="U40" s="233"/>
      <c r="V40" s="233"/>
      <c r="W40" s="233"/>
      <c r="X40" s="238"/>
    </row>
    <row r="41" spans="1:24" s="3" customFormat="1">
      <c r="A41" s="233"/>
      <c r="B41" s="66" t="s">
        <v>146</v>
      </c>
      <c r="C41" s="60" t="str">
        <f>IF(comparador6=0,"None",comparador6)</f>
        <v>None</v>
      </c>
      <c r="D41" s="186">
        <f t="shared" ca="1" si="0"/>
        <v>0</v>
      </c>
      <c r="E41" s="186">
        <f t="shared" ca="1" si="1"/>
        <v>0</v>
      </c>
      <c r="F41" s="186">
        <f t="shared" ca="1" si="2"/>
        <v>0</v>
      </c>
      <c r="G41" s="186">
        <f t="shared" si="3"/>
        <v>1500</v>
      </c>
      <c r="H41" s="186">
        <f t="shared" si="4"/>
        <v>87.5</v>
      </c>
      <c r="I41" s="186">
        <f t="shared" si="5"/>
        <v>57</v>
      </c>
      <c r="J41" s="60" t="str">
        <f t="shared" si="6"/>
        <v>See tables below</v>
      </c>
      <c r="K41" s="233"/>
      <c r="L41" s="233"/>
      <c r="M41" s="235"/>
      <c r="N41" s="236"/>
      <c r="O41" s="235"/>
      <c r="P41" s="236"/>
      <c r="Q41" s="236"/>
      <c r="R41" s="236"/>
      <c r="S41" s="237"/>
      <c r="T41" s="236"/>
      <c r="U41" s="233"/>
      <c r="V41" s="233"/>
      <c r="W41" s="233"/>
      <c r="X41" s="238"/>
    </row>
    <row r="42" spans="1:24" s="3" customFormat="1">
      <c r="A42" s="233"/>
      <c r="B42" s="66" t="s">
        <v>147</v>
      </c>
      <c r="C42" s="60" t="str">
        <f>IF(comparador7=0,"None",comparador7)</f>
        <v>None</v>
      </c>
      <c r="D42" s="186">
        <f t="shared" ca="1" si="0"/>
        <v>0</v>
      </c>
      <c r="E42" s="186">
        <f t="shared" ca="1" si="1"/>
        <v>0</v>
      </c>
      <c r="F42" s="186">
        <f t="shared" ca="1" si="2"/>
        <v>0</v>
      </c>
      <c r="G42" s="186">
        <f t="shared" si="3"/>
        <v>1500</v>
      </c>
      <c r="H42" s="186">
        <f t="shared" si="4"/>
        <v>87.5</v>
      </c>
      <c r="I42" s="186">
        <f t="shared" si="5"/>
        <v>57</v>
      </c>
      <c r="J42" s="60" t="str">
        <f t="shared" si="6"/>
        <v>See tables below</v>
      </c>
      <c r="K42" s="233"/>
      <c r="L42" s="233"/>
      <c r="M42" s="235"/>
      <c r="N42" s="236"/>
      <c r="O42" s="235"/>
      <c r="P42" s="236"/>
      <c r="Q42" s="236"/>
      <c r="R42" s="236"/>
      <c r="S42" s="237"/>
      <c r="T42" s="236"/>
      <c r="U42" s="233"/>
      <c r="V42" s="233"/>
      <c r="W42" s="233"/>
      <c r="X42" s="238"/>
    </row>
    <row r="43" spans="1:24" s="3" customFormat="1">
      <c r="A43" s="233"/>
      <c r="B43" s="66" t="s">
        <v>148</v>
      </c>
      <c r="C43" s="60" t="str">
        <f>IF(comparador8=0,"None",comparador8)</f>
        <v>None</v>
      </c>
      <c r="D43" s="186">
        <f t="shared" ca="1" si="0"/>
        <v>0</v>
      </c>
      <c r="E43" s="186">
        <f t="shared" ca="1" si="1"/>
        <v>0</v>
      </c>
      <c r="F43" s="186">
        <f t="shared" ca="1" si="2"/>
        <v>0</v>
      </c>
      <c r="G43" s="186">
        <f t="shared" si="3"/>
        <v>1500</v>
      </c>
      <c r="H43" s="186">
        <f t="shared" si="4"/>
        <v>87.5</v>
      </c>
      <c r="I43" s="186">
        <f t="shared" si="5"/>
        <v>57</v>
      </c>
      <c r="J43" s="60" t="str">
        <f t="shared" si="6"/>
        <v>See tables below</v>
      </c>
      <c r="K43" s="233"/>
      <c r="L43" s="233"/>
      <c r="M43" s="235"/>
      <c r="N43" s="236"/>
      <c r="O43" s="235"/>
      <c r="P43" s="236"/>
      <c r="Q43" s="236"/>
      <c r="R43" s="236"/>
      <c r="S43" s="237"/>
      <c r="T43" s="236"/>
      <c r="U43" s="233"/>
      <c r="V43" s="233"/>
      <c r="W43" s="233"/>
      <c r="X43" s="238"/>
    </row>
    <row r="44" spans="1:24" s="3" customFormat="1">
      <c r="A44" s="233"/>
      <c r="B44" s="66" t="s">
        <v>149</v>
      </c>
      <c r="C44" s="60" t="str">
        <f>IF(comparador9=0,"None",comparador9)</f>
        <v>None</v>
      </c>
      <c r="D44" s="186">
        <f t="shared" ca="1" si="0"/>
        <v>0</v>
      </c>
      <c r="E44" s="186">
        <f t="shared" ca="1" si="1"/>
        <v>0</v>
      </c>
      <c r="F44" s="186">
        <f t="shared" ca="1" si="2"/>
        <v>0</v>
      </c>
      <c r="G44" s="186">
        <f t="shared" si="3"/>
        <v>1500</v>
      </c>
      <c r="H44" s="186">
        <f t="shared" si="4"/>
        <v>87.5</v>
      </c>
      <c r="I44" s="186">
        <f t="shared" si="5"/>
        <v>57</v>
      </c>
      <c r="J44" s="60" t="str">
        <f t="shared" si="6"/>
        <v>See tables below</v>
      </c>
      <c r="K44" s="233"/>
      <c r="L44" s="233"/>
      <c r="M44" s="235"/>
      <c r="N44" s="236"/>
      <c r="O44" s="235"/>
      <c r="P44" s="236"/>
      <c r="Q44" s="236"/>
      <c r="R44" s="236"/>
      <c r="S44" s="237"/>
      <c r="T44" s="236"/>
      <c r="U44" s="233"/>
      <c r="V44" s="233"/>
      <c r="W44" s="233"/>
      <c r="X44" s="238"/>
    </row>
    <row r="45" spans="1:24" s="3" customFormat="1">
      <c r="A45" s="233"/>
      <c r="B45" s="66" t="s">
        <v>150</v>
      </c>
      <c r="C45" s="60" t="str">
        <f>IF(comparador10=0,"None",comparador10)</f>
        <v>None</v>
      </c>
      <c r="D45" s="186">
        <f t="shared" ca="1" si="0"/>
        <v>0</v>
      </c>
      <c r="E45" s="186">
        <f t="shared" ca="1" si="1"/>
        <v>0</v>
      </c>
      <c r="F45" s="186">
        <f t="shared" ca="1" si="2"/>
        <v>0</v>
      </c>
      <c r="G45" s="186">
        <f t="shared" si="3"/>
        <v>1500</v>
      </c>
      <c r="H45" s="186">
        <f t="shared" si="4"/>
        <v>87.5</v>
      </c>
      <c r="I45" s="186">
        <f t="shared" si="5"/>
        <v>57</v>
      </c>
      <c r="J45" s="60" t="str">
        <f t="shared" si="6"/>
        <v>See tables below</v>
      </c>
      <c r="K45" s="233"/>
      <c r="L45" s="233"/>
      <c r="M45" s="235"/>
      <c r="N45" s="236"/>
      <c r="O45" s="235"/>
      <c r="P45" s="236"/>
      <c r="Q45" s="236"/>
      <c r="R45" s="236"/>
      <c r="S45" s="237"/>
      <c r="T45" s="236"/>
      <c r="U45" s="233"/>
      <c r="V45" s="233"/>
      <c r="W45" s="233"/>
      <c r="X45" s="238"/>
    </row>
    <row r="46" spans="1:24" s="3" customFormat="1">
      <c r="A46" s="233"/>
      <c r="B46" s="187"/>
      <c r="C46" s="11"/>
      <c r="D46" s="234"/>
      <c r="E46" s="11"/>
      <c r="F46" s="233"/>
      <c r="G46" s="233"/>
      <c r="H46" s="233"/>
      <c r="I46" s="233"/>
      <c r="J46" s="233"/>
      <c r="K46" s="233"/>
      <c r="L46" s="233"/>
      <c r="M46" s="235"/>
      <c r="N46" s="236"/>
      <c r="O46" s="235"/>
      <c r="P46" s="236"/>
      <c r="Q46" s="236"/>
      <c r="R46" s="236"/>
      <c r="S46" s="237"/>
      <c r="T46" s="236"/>
      <c r="U46" s="233"/>
      <c r="V46" s="233"/>
      <c r="W46" s="233"/>
      <c r="X46" s="238"/>
    </row>
    <row r="47" spans="1:24" customFormat="1">
      <c r="B47" s="63"/>
      <c r="C47" s="63"/>
      <c r="D47" s="7"/>
      <c r="E47" s="7"/>
      <c r="F47" s="7"/>
      <c r="G47" s="7"/>
      <c r="H47" s="7"/>
      <c r="I47" s="7"/>
      <c r="J47" s="7"/>
      <c r="K47" s="7"/>
      <c r="L47" s="7"/>
      <c r="M47" s="7"/>
      <c r="N47" s="7"/>
      <c r="O47" s="7"/>
      <c r="P47" s="7"/>
      <c r="Q47" s="7"/>
      <c r="R47" s="7"/>
      <c r="S47" s="7"/>
      <c r="T47" s="7"/>
    </row>
    <row r="48" spans="1:24" customFormat="1">
      <c r="B48" s="64"/>
      <c r="C48" s="64"/>
      <c r="D48" s="65"/>
      <c r="E48" s="65"/>
      <c r="F48" s="65"/>
      <c r="G48" s="65"/>
      <c r="H48" s="65"/>
      <c r="I48" s="65"/>
      <c r="J48" s="65"/>
      <c r="K48" s="65"/>
      <c r="L48" s="65"/>
      <c r="M48" s="65"/>
      <c r="N48" s="65"/>
      <c r="O48" s="7"/>
      <c r="P48" s="7"/>
      <c r="Q48" s="7"/>
      <c r="R48" s="7"/>
      <c r="S48" s="7"/>
      <c r="T48" s="7"/>
    </row>
    <row r="49" spans="1:24" s="3" customFormat="1">
      <c r="A49" s="233"/>
      <c r="B49" s="136"/>
      <c r="C49" s="11"/>
      <c r="D49" s="234"/>
      <c r="E49" s="11"/>
      <c r="F49" s="233"/>
      <c r="G49" s="233"/>
      <c r="H49" s="233"/>
      <c r="I49" s="233"/>
      <c r="J49" s="233"/>
      <c r="K49" s="233"/>
      <c r="L49" s="233"/>
      <c r="M49" s="235"/>
      <c r="N49" s="236"/>
      <c r="O49" s="235"/>
      <c r="P49" s="236"/>
      <c r="Q49" s="236"/>
      <c r="R49" s="236"/>
      <c r="S49" s="237"/>
      <c r="T49" s="236"/>
      <c r="U49" s="233"/>
      <c r="V49" s="233"/>
      <c r="W49" s="233"/>
      <c r="X49" s="238"/>
    </row>
    <row r="50" spans="1:24" s="3" customFormat="1" ht="18">
      <c r="A50" s="233"/>
      <c r="B50" s="243" t="s">
        <v>161</v>
      </c>
      <c r="C50" s="11"/>
      <c r="D50" s="234"/>
      <c r="E50" s="11"/>
      <c r="F50" s="233"/>
      <c r="G50" s="233"/>
      <c r="H50" s="233"/>
      <c r="I50" s="233"/>
      <c r="J50" s="233"/>
      <c r="K50" s="233"/>
      <c r="L50" s="233"/>
      <c r="M50" s="235"/>
      <c r="N50" s="236"/>
      <c r="O50" s="235"/>
      <c r="P50" s="236"/>
      <c r="Q50" s="236"/>
      <c r="R50" s="236"/>
      <c r="S50" s="237"/>
      <c r="T50" s="236"/>
      <c r="U50" s="233"/>
      <c r="V50" s="233"/>
      <c r="W50" s="233"/>
      <c r="X50" s="238"/>
    </row>
    <row r="51" spans="1:24" s="3" customFormat="1">
      <c r="A51" s="233"/>
      <c r="B51" s="242" t="s">
        <v>162</v>
      </c>
      <c r="C51" s="11"/>
      <c r="D51" s="234"/>
      <c r="E51" s="11"/>
      <c r="F51" s="233"/>
      <c r="G51" s="233"/>
      <c r="H51" s="233"/>
      <c r="I51" s="233"/>
      <c r="J51" s="233"/>
      <c r="K51" s="233"/>
      <c r="L51" s="233"/>
      <c r="M51" s="235"/>
      <c r="N51" s="236"/>
      <c r="O51" s="235"/>
      <c r="P51" s="236"/>
      <c r="Q51" s="236"/>
      <c r="R51" s="236"/>
      <c r="S51" s="237"/>
      <c r="T51" s="236"/>
      <c r="U51" s="233"/>
      <c r="V51" s="233"/>
      <c r="W51" s="233"/>
      <c r="X51" s="238"/>
    </row>
    <row r="52" spans="1:24" s="3" customFormat="1">
      <c r="A52" s="233"/>
      <c r="B52" s="242" t="s">
        <v>163</v>
      </c>
      <c r="C52" s="11"/>
      <c r="D52" s="234"/>
      <c r="E52" s="11"/>
      <c r="F52" s="233"/>
      <c r="G52" s="233"/>
      <c r="H52" s="233"/>
      <c r="I52" s="233"/>
      <c r="J52" s="233"/>
      <c r="K52" s="233"/>
      <c r="L52" s="233"/>
      <c r="M52" s="235"/>
      <c r="N52" s="236"/>
      <c r="O52" s="235"/>
      <c r="P52" s="236"/>
      <c r="Q52" s="236"/>
      <c r="R52" s="236"/>
      <c r="S52" s="237"/>
      <c r="T52" s="236"/>
      <c r="U52" s="233"/>
      <c r="V52" s="233"/>
      <c r="W52" s="233"/>
      <c r="X52" s="238"/>
    </row>
    <row r="53" spans="1:24" s="3" customFormat="1">
      <c r="A53" s="233"/>
      <c r="B53" s="187"/>
      <c r="C53" s="11"/>
      <c r="D53" s="234"/>
      <c r="E53" s="11"/>
      <c r="F53" s="233"/>
      <c r="G53" s="233"/>
      <c r="H53" s="233"/>
      <c r="I53" s="233"/>
      <c r="J53" s="233"/>
      <c r="K53" s="233"/>
      <c r="L53" s="233"/>
      <c r="M53" s="235"/>
      <c r="N53" s="236"/>
      <c r="O53" s="235"/>
      <c r="P53" s="236"/>
      <c r="Q53" s="236"/>
      <c r="R53" s="236"/>
      <c r="S53" s="237"/>
      <c r="T53" s="236"/>
      <c r="U53" s="233"/>
      <c r="V53" s="233"/>
      <c r="W53" s="233"/>
      <c r="X53" s="238"/>
    </row>
    <row r="54" spans="1:24" s="3" customFormat="1">
      <c r="A54" s="233"/>
      <c r="B54" s="439" t="s">
        <v>152</v>
      </c>
      <c r="C54" s="440"/>
      <c r="D54" s="439" t="s">
        <v>153</v>
      </c>
      <c r="E54" s="440"/>
      <c r="F54" s="123" t="s">
        <v>154</v>
      </c>
      <c r="G54" s="123" t="s">
        <v>155</v>
      </c>
      <c r="H54" s="123" t="s">
        <v>156</v>
      </c>
      <c r="I54" s="123" t="s">
        <v>157</v>
      </c>
      <c r="J54" s="123" t="s">
        <v>97</v>
      </c>
      <c r="K54" s="233"/>
      <c r="L54" s="233"/>
      <c r="M54" s="235"/>
      <c r="N54" s="236"/>
      <c r="O54" s="235"/>
      <c r="P54" s="236"/>
      <c r="Q54" s="236"/>
      <c r="R54" s="236"/>
      <c r="S54" s="237"/>
      <c r="T54" s="236"/>
      <c r="U54" s="233"/>
      <c r="V54" s="233"/>
      <c r="W54" s="233"/>
      <c r="X54" s="238"/>
    </row>
    <row r="55" spans="1:24" s="3" customFormat="1">
      <c r="A55" s="233"/>
      <c r="B55" s="441" t="s">
        <v>347</v>
      </c>
      <c r="C55" s="442"/>
      <c r="D55" s="436" t="s">
        <v>362</v>
      </c>
      <c r="E55" s="436"/>
      <c r="F55" s="50">
        <v>1</v>
      </c>
      <c r="G55" s="62">
        <v>1</v>
      </c>
      <c r="H55" s="185">
        <v>200</v>
      </c>
      <c r="I55" s="186">
        <f>IF(B55="",0,H55*G55*F55)</f>
        <v>200</v>
      </c>
      <c r="J55" s="59" t="s">
        <v>363</v>
      </c>
      <c r="K55" s="233"/>
      <c r="L55" s="233"/>
      <c r="M55" s="235"/>
      <c r="N55" s="236"/>
      <c r="O55" s="235"/>
      <c r="P55" s="236"/>
      <c r="Q55" s="236"/>
      <c r="R55" s="236"/>
      <c r="S55" s="237"/>
      <c r="T55" s="236"/>
      <c r="U55" s="233"/>
      <c r="V55" s="233"/>
      <c r="W55" s="233"/>
      <c r="X55" s="238"/>
    </row>
    <row r="56" spans="1:24" s="3" customFormat="1">
      <c r="A56" s="233"/>
      <c r="B56" s="437"/>
      <c r="C56" s="438"/>
      <c r="D56" s="436"/>
      <c r="E56" s="436"/>
      <c r="F56" s="50"/>
      <c r="G56" s="62"/>
      <c r="H56" s="185"/>
      <c r="I56" s="186">
        <f t="shared" ref="I56:I68" si="7">IF(B56="",0,H56*G56*F56)</f>
        <v>0</v>
      </c>
      <c r="J56" s="59"/>
      <c r="K56" s="233"/>
      <c r="L56" s="233"/>
      <c r="M56" s="235"/>
      <c r="N56" s="236"/>
      <c r="O56" s="235"/>
      <c r="P56" s="236"/>
      <c r="Q56" s="236"/>
      <c r="R56" s="236"/>
      <c r="S56" s="237"/>
      <c r="T56" s="236"/>
      <c r="U56" s="233"/>
      <c r="V56" s="233"/>
      <c r="W56" s="233"/>
      <c r="X56" s="238"/>
    </row>
    <row r="57" spans="1:24" s="3" customFormat="1">
      <c r="A57" s="233"/>
      <c r="B57" s="437"/>
      <c r="C57" s="438"/>
      <c r="D57" s="436"/>
      <c r="E57" s="436"/>
      <c r="F57" s="50"/>
      <c r="G57" s="62"/>
      <c r="H57" s="185"/>
      <c r="I57" s="186">
        <f t="shared" ref="I57" si="8">IF(B57="",0,H57*G57*F57)</f>
        <v>0</v>
      </c>
      <c r="J57" s="59"/>
      <c r="K57" s="233"/>
      <c r="L57" s="233"/>
      <c r="M57" s="235"/>
      <c r="N57" s="236"/>
      <c r="O57" s="235"/>
      <c r="P57" s="236"/>
      <c r="Q57" s="236"/>
      <c r="R57" s="236"/>
      <c r="S57" s="237"/>
      <c r="T57" s="236"/>
      <c r="U57" s="233"/>
      <c r="V57" s="233"/>
      <c r="W57" s="233"/>
      <c r="X57" s="238"/>
    </row>
    <row r="58" spans="1:24" s="3" customFormat="1">
      <c r="A58" s="233"/>
      <c r="B58" s="437"/>
      <c r="C58" s="438"/>
      <c r="D58" s="436"/>
      <c r="E58" s="436"/>
      <c r="F58" s="50"/>
      <c r="G58" s="62"/>
      <c r="H58" s="185"/>
      <c r="I58" s="186">
        <f t="shared" si="7"/>
        <v>0</v>
      </c>
      <c r="J58" s="59"/>
      <c r="K58" s="233"/>
      <c r="L58" s="233"/>
      <c r="M58" s="235"/>
      <c r="N58" s="236"/>
      <c r="O58" s="235"/>
      <c r="P58" s="236"/>
      <c r="Q58" s="236"/>
      <c r="R58" s="236"/>
      <c r="S58" s="237"/>
      <c r="T58" s="236"/>
      <c r="U58" s="233"/>
      <c r="V58" s="233"/>
      <c r="W58" s="233"/>
      <c r="X58" s="238"/>
    </row>
    <row r="59" spans="1:24" s="3" customFormat="1">
      <c r="A59" s="233"/>
      <c r="B59" s="437"/>
      <c r="C59" s="438"/>
      <c r="D59" s="436"/>
      <c r="E59" s="436"/>
      <c r="F59" s="50"/>
      <c r="G59" s="62"/>
      <c r="H59" s="185"/>
      <c r="I59" s="186">
        <f t="shared" si="7"/>
        <v>0</v>
      </c>
      <c r="J59" s="59"/>
      <c r="K59" s="233"/>
      <c r="L59" s="233"/>
      <c r="M59" s="235"/>
      <c r="N59" s="236"/>
      <c r="O59" s="235"/>
      <c r="P59" s="236"/>
      <c r="Q59" s="236"/>
      <c r="R59" s="236"/>
      <c r="S59" s="237"/>
      <c r="T59" s="236"/>
      <c r="U59" s="233"/>
      <c r="V59" s="233"/>
      <c r="W59" s="233"/>
      <c r="X59" s="238"/>
    </row>
    <row r="60" spans="1:24" s="3" customFormat="1">
      <c r="A60" s="233"/>
      <c r="B60" s="437"/>
      <c r="C60" s="438"/>
      <c r="D60" s="436"/>
      <c r="E60" s="436"/>
      <c r="F60" s="50"/>
      <c r="G60" s="62"/>
      <c r="H60" s="185"/>
      <c r="I60" s="186">
        <f t="shared" si="7"/>
        <v>0</v>
      </c>
      <c r="J60" s="59"/>
      <c r="K60" s="233"/>
      <c r="L60" s="233"/>
      <c r="M60" s="235"/>
      <c r="N60" s="236"/>
      <c r="O60" s="235"/>
      <c r="P60" s="236"/>
      <c r="Q60" s="236"/>
      <c r="R60" s="236"/>
      <c r="S60" s="237"/>
      <c r="T60" s="236"/>
      <c r="U60" s="233"/>
      <c r="V60" s="233"/>
      <c r="W60" s="233"/>
      <c r="X60" s="238"/>
    </row>
    <row r="61" spans="1:24" s="3" customFormat="1">
      <c r="A61" s="233"/>
      <c r="B61" s="437"/>
      <c r="C61" s="438"/>
      <c r="D61" s="436"/>
      <c r="E61" s="436"/>
      <c r="F61" s="50"/>
      <c r="G61" s="62"/>
      <c r="H61" s="185"/>
      <c r="I61" s="186">
        <f t="shared" si="7"/>
        <v>0</v>
      </c>
      <c r="J61" s="59"/>
      <c r="K61" s="233"/>
      <c r="L61" s="233"/>
      <c r="M61" s="235"/>
      <c r="N61" s="236"/>
      <c r="O61" s="235"/>
      <c r="P61" s="236"/>
      <c r="Q61" s="236"/>
      <c r="R61" s="236"/>
      <c r="S61" s="237"/>
      <c r="T61" s="236"/>
      <c r="U61" s="233"/>
      <c r="V61" s="233"/>
      <c r="W61" s="233"/>
      <c r="X61" s="238"/>
    </row>
    <row r="62" spans="1:24" s="3" customFormat="1">
      <c r="A62" s="233"/>
      <c r="B62" s="437"/>
      <c r="C62" s="438"/>
      <c r="D62" s="436"/>
      <c r="E62" s="436"/>
      <c r="F62" s="50"/>
      <c r="G62" s="62"/>
      <c r="H62" s="185"/>
      <c r="I62" s="186">
        <f t="shared" si="7"/>
        <v>0</v>
      </c>
      <c r="J62" s="59"/>
      <c r="K62" s="233"/>
      <c r="L62" s="233"/>
      <c r="M62" s="235"/>
      <c r="N62" s="236"/>
      <c r="O62" s="235"/>
      <c r="P62" s="236"/>
      <c r="Q62" s="236"/>
      <c r="R62" s="236"/>
      <c r="S62" s="237"/>
      <c r="T62" s="236"/>
      <c r="U62" s="233"/>
      <c r="V62" s="233"/>
      <c r="W62" s="233"/>
      <c r="X62" s="238"/>
    </row>
    <row r="63" spans="1:24" s="3" customFormat="1">
      <c r="A63" s="233"/>
      <c r="B63" s="437"/>
      <c r="C63" s="438"/>
      <c r="D63" s="436"/>
      <c r="E63" s="436"/>
      <c r="F63" s="50"/>
      <c r="G63" s="62"/>
      <c r="H63" s="185"/>
      <c r="I63" s="186">
        <f t="shared" si="7"/>
        <v>0</v>
      </c>
      <c r="J63" s="59"/>
      <c r="K63" s="233"/>
      <c r="L63" s="233"/>
      <c r="M63" s="235"/>
      <c r="N63" s="236"/>
      <c r="O63" s="235"/>
      <c r="P63" s="236"/>
      <c r="Q63" s="236"/>
      <c r="R63" s="236"/>
      <c r="S63" s="237"/>
      <c r="T63" s="236"/>
      <c r="U63" s="233"/>
      <c r="V63" s="233"/>
      <c r="W63" s="233"/>
      <c r="X63" s="238"/>
    </row>
    <row r="64" spans="1:24" s="3" customFormat="1">
      <c r="A64" s="233"/>
      <c r="B64" s="437"/>
      <c r="C64" s="438"/>
      <c r="D64" s="436"/>
      <c r="E64" s="436"/>
      <c r="F64" s="50"/>
      <c r="G64" s="62"/>
      <c r="H64" s="185"/>
      <c r="I64" s="186">
        <f t="shared" si="7"/>
        <v>0</v>
      </c>
      <c r="J64" s="59"/>
      <c r="K64" s="233"/>
      <c r="L64" s="233"/>
      <c r="M64" s="235"/>
      <c r="N64" s="236"/>
      <c r="O64" s="235"/>
      <c r="P64" s="236"/>
      <c r="Q64" s="236"/>
      <c r="R64" s="236"/>
      <c r="S64" s="237"/>
      <c r="T64" s="236"/>
      <c r="U64" s="233"/>
      <c r="V64" s="233"/>
      <c r="W64" s="233"/>
      <c r="X64" s="238"/>
    </row>
    <row r="65" spans="1:24" s="3" customFormat="1">
      <c r="A65" s="233"/>
      <c r="B65" s="437"/>
      <c r="C65" s="438"/>
      <c r="D65" s="436"/>
      <c r="E65" s="436"/>
      <c r="F65" s="50"/>
      <c r="G65" s="62"/>
      <c r="H65" s="185"/>
      <c r="I65" s="186">
        <f t="shared" si="7"/>
        <v>0</v>
      </c>
      <c r="J65" s="59"/>
      <c r="K65" s="233"/>
      <c r="L65" s="233"/>
      <c r="M65" s="235"/>
      <c r="N65" s="236"/>
      <c r="O65" s="235"/>
      <c r="P65" s="236"/>
      <c r="Q65" s="236"/>
      <c r="R65" s="236"/>
      <c r="S65" s="237"/>
      <c r="T65" s="236"/>
      <c r="U65" s="233"/>
      <c r="V65" s="233"/>
      <c r="W65" s="233"/>
      <c r="X65" s="238"/>
    </row>
    <row r="66" spans="1:24" s="3" customFormat="1">
      <c r="A66" s="233"/>
      <c r="B66" s="437"/>
      <c r="C66" s="438"/>
      <c r="D66" s="436"/>
      <c r="E66" s="436"/>
      <c r="F66" s="50"/>
      <c r="G66" s="62"/>
      <c r="H66" s="185"/>
      <c r="I66" s="186">
        <f t="shared" si="7"/>
        <v>0</v>
      </c>
      <c r="J66" s="59"/>
      <c r="K66" s="233"/>
      <c r="L66" s="233"/>
      <c r="M66" s="235"/>
      <c r="N66" s="236"/>
      <c r="O66" s="235"/>
      <c r="P66" s="236"/>
      <c r="Q66" s="236"/>
      <c r="R66" s="236"/>
      <c r="S66" s="237"/>
      <c r="T66" s="236"/>
      <c r="U66" s="233"/>
      <c r="V66" s="233"/>
      <c r="W66" s="233"/>
      <c r="X66" s="238"/>
    </row>
    <row r="67" spans="1:24" s="3" customFormat="1">
      <c r="A67" s="233"/>
      <c r="B67" s="437"/>
      <c r="C67" s="438"/>
      <c r="D67" s="436"/>
      <c r="E67" s="436"/>
      <c r="F67" s="50"/>
      <c r="G67" s="62"/>
      <c r="H67" s="185"/>
      <c r="I67" s="186">
        <f t="shared" si="7"/>
        <v>0</v>
      </c>
      <c r="J67" s="59"/>
      <c r="K67" s="233"/>
      <c r="L67" s="233"/>
      <c r="M67" s="235"/>
      <c r="N67" s="236"/>
      <c r="O67" s="235"/>
      <c r="P67" s="236"/>
      <c r="Q67" s="236"/>
      <c r="R67" s="236"/>
      <c r="S67" s="237"/>
      <c r="T67" s="236"/>
      <c r="U67" s="233"/>
      <c r="V67" s="233"/>
      <c r="W67" s="233"/>
      <c r="X67" s="238"/>
    </row>
    <row r="68" spans="1:24" s="3" customFormat="1">
      <c r="A68" s="233"/>
      <c r="B68" s="436"/>
      <c r="C68" s="436"/>
      <c r="D68" s="436"/>
      <c r="E68" s="436"/>
      <c r="F68" s="50"/>
      <c r="G68" s="62"/>
      <c r="H68" s="185"/>
      <c r="I68" s="186">
        <f t="shared" si="7"/>
        <v>0</v>
      </c>
      <c r="J68" s="59"/>
      <c r="K68" s="233"/>
      <c r="L68" s="233"/>
      <c r="M68" s="235"/>
      <c r="N68" s="236"/>
      <c r="O68" s="235"/>
      <c r="P68" s="236"/>
      <c r="Q68" s="236"/>
      <c r="R68" s="236"/>
      <c r="S68" s="237"/>
      <c r="T68" s="236"/>
      <c r="U68" s="233"/>
      <c r="V68" s="233"/>
      <c r="W68" s="233"/>
      <c r="X68" s="238"/>
    </row>
    <row r="69" spans="1:24" s="3" customFormat="1">
      <c r="A69" s="233"/>
      <c r="B69" s="136"/>
      <c r="C69" s="11"/>
      <c r="D69" s="234"/>
      <c r="E69" s="11"/>
      <c r="F69" s="233"/>
      <c r="G69" s="233"/>
      <c r="H69" s="233"/>
      <c r="I69" s="233"/>
      <c r="J69" s="233"/>
      <c r="K69" s="233"/>
      <c r="L69" s="233"/>
      <c r="M69" s="235"/>
      <c r="N69" s="236"/>
      <c r="O69" s="235"/>
      <c r="P69" s="236"/>
      <c r="Q69" s="236"/>
      <c r="R69" s="236"/>
      <c r="S69" s="237"/>
      <c r="T69" s="236"/>
      <c r="U69" s="233"/>
      <c r="V69" s="233"/>
      <c r="W69" s="233"/>
      <c r="X69" s="238"/>
    </row>
    <row r="70" spans="1:24" s="3" customFormat="1">
      <c r="A70" s="233"/>
      <c r="B70" s="136"/>
      <c r="C70" s="11"/>
      <c r="D70" s="234"/>
      <c r="E70" s="11"/>
      <c r="F70" s="233"/>
      <c r="G70" s="233"/>
      <c r="H70" s="233"/>
      <c r="I70" s="233"/>
      <c r="J70" s="233"/>
      <c r="K70" s="233"/>
      <c r="L70" s="233"/>
      <c r="M70" s="235"/>
      <c r="N70" s="236"/>
      <c r="O70" s="235"/>
      <c r="P70" s="236"/>
      <c r="Q70" s="236"/>
      <c r="R70" s="236"/>
      <c r="S70" s="237"/>
      <c r="T70" s="236"/>
      <c r="U70" s="233"/>
      <c r="V70" s="233"/>
      <c r="W70" s="233"/>
      <c r="X70" s="238"/>
    </row>
    <row r="71" spans="1:24" s="3" customFormat="1" ht="18">
      <c r="A71" s="233"/>
      <c r="B71" s="243" t="s">
        <v>238</v>
      </c>
      <c r="C71" s="11"/>
      <c r="D71" s="234"/>
      <c r="E71" s="11"/>
      <c r="F71" s="233"/>
      <c r="G71" s="233"/>
      <c r="H71" s="233"/>
      <c r="I71" s="233"/>
      <c r="J71" s="233"/>
      <c r="K71" s="233"/>
      <c r="L71" s="233"/>
      <c r="M71" s="235"/>
      <c r="N71" s="236"/>
      <c r="O71" s="235"/>
      <c r="P71" s="236"/>
      <c r="Q71" s="236"/>
      <c r="R71" s="236"/>
      <c r="S71" s="237"/>
      <c r="T71" s="236"/>
      <c r="U71" s="233"/>
      <c r="V71" s="233"/>
      <c r="W71" s="233"/>
      <c r="X71" s="238"/>
    </row>
    <row r="72" spans="1:24" s="3" customFormat="1">
      <c r="A72" s="233"/>
      <c r="B72" s="242" t="s">
        <v>239</v>
      </c>
      <c r="C72" s="11"/>
      <c r="D72" s="234"/>
      <c r="E72" s="11"/>
      <c r="F72" s="233"/>
      <c r="G72" s="233"/>
      <c r="H72" s="233"/>
      <c r="I72" s="233"/>
      <c r="J72" s="233"/>
      <c r="K72" s="233"/>
      <c r="L72" s="233"/>
      <c r="M72" s="235"/>
      <c r="N72" s="236"/>
      <c r="O72" s="235"/>
      <c r="P72" s="236"/>
      <c r="Q72" s="236"/>
      <c r="R72" s="236"/>
      <c r="S72" s="237"/>
      <c r="T72" s="236"/>
      <c r="U72" s="233"/>
      <c r="V72" s="233"/>
      <c r="W72" s="233"/>
      <c r="X72" s="238"/>
    </row>
    <row r="73" spans="1:24" s="3" customFormat="1">
      <c r="A73" s="233"/>
      <c r="B73" s="242" t="s">
        <v>240</v>
      </c>
      <c r="C73" s="11"/>
      <c r="D73" s="234"/>
      <c r="E73" s="11"/>
      <c r="F73" s="233"/>
      <c r="G73" s="233"/>
      <c r="H73" s="233"/>
      <c r="I73" s="233"/>
      <c r="J73" s="233"/>
      <c r="K73" s="233"/>
      <c r="L73" s="233"/>
      <c r="M73" s="235"/>
      <c r="N73" s="236"/>
      <c r="O73" s="235"/>
      <c r="P73" s="236"/>
      <c r="Q73" s="236"/>
      <c r="R73" s="236"/>
      <c r="S73" s="237"/>
      <c r="T73" s="236"/>
      <c r="U73" s="233"/>
      <c r="V73" s="233"/>
      <c r="W73" s="233"/>
      <c r="X73" s="238"/>
    </row>
    <row r="74" spans="1:24" s="3" customFormat="1">
      <c r="A74" s="233"/>
      <c r="B74" s="242" t="s">
        <v>257</v>
      </c>
      <c r="C74" s="11"/>
      <c r="D74" s="234"/>
      <c r="E74" s="11"/>
      <c r="F74" s="233"/>
      <c r="G74" s="233"/>
      <c r="H74" s="233"/>
      <c r="I74" s="233"/>
      <c r="J74" s="233"/>
      <c r="K74" s="233"/>
      <c r="L74" s="233"/>
      <c r="M74" s="235"/>
      <c r="N74" s="236"/>
      <c r="O74" s="235"/>
      <c r="P74" s="236"/>
      <c r="Q74" s="236"/>
      <c r="R74" s="236"/>
      <c r="S74" s="237"/>
      <c r="T74" s="236"/>
      <c r="U74" s="233"/>
      <c r="V74" s="233"/>
      <c r="W74" s="233"/>
      <c r="X74" s="238"/>
    </row>
    <row r="75" spans="1:24" s="3" customFormat="1">
      <c r="A75" s="233"/>
      <c r="B75" s="439" t="s">
        <v>152</v>
      </c>
      <c r="C75" s="440"/>
      <c r="D75" s="439" t="s">
        <v>153</v>
      </c>
      <c r="E75" s="440"/>
      <c r="F75" s="123" t="s">
        <v>154</v>
      </c>
      <c r="G75" s="123" t="s">
        <v>155</v>
      </c>
      <c r="H75" s="123" t="s">
        <v>156</v>
      </c>
      <c r="I75" s="123" t="s">
        <v>157</v>
      </c>
      <c r="J75" s="123" t="s">
        <v>97</v>
      </c>
      <c r="K75" s="233"/>
      <c r="L75" s="233"/>
      <c r="M75" s="235"/>
      <c r="N75" s="236"/>
      <c r="O75" s="235"/>
      <c r="P75" s="236"/>
      <c r="Q75" s="236"/>
      <c r="R75" s="236"/>
      <c r="S75" s="237"/>
      <c r="T75" s="236"/>
      <c r="U75" s="233"/>
      <c r="V75" s="233"/>
      <c r="W75" s="233"/>
      <c r="X75" s="238"/>
    </row>
    <row r="76" spans="1:24" s="3" customFormat="1">
      <c r="A76" s="233"/>
      <c r="B76" s="436" t="s">
        <v>346</v>
      </c>
      <c r="C76" s="436"/>
      <c r="D76" s="436"/>
      <c r="E76" s="436"/>
      <c r="F76" s="50">
        <v>1</v>
      </c>
      <c r="G76" s="62">
        <v>30</v>
      </c>
      <c r="H76" s="185">
        <v>120</v>
      </c>
      <c r="I76" s="186">
        <f t="shared" ref="I76:I105" si="9">IF(B76=0,0,H76*G76*F76)</f>
        <v>3600</v>
      </c>
      <c r="J76" s="59"/>
      <c r="K76" s="233"/>
      <c r="L76" s="233"/>
      <c r="M76" s="235"/>
      <c r="N76" s="236"/>
      <c r="O76" s="235"/>
      <c r="P76" s="236"/>
      <c r="Q76" s="236"/>
      <c r="R76" s="236"/>
      <c r="S76" s="237"/>
      <c r="T76" s="236"/>
      <c r="U76" s="233"/>
      <c r="V76" s="233"/>
      <c r="W76" s="233"/>
      <c r="X76" s="238"/>
    </row>
    <row r="77" spans="1:24" s="3" customFormat="1">
      <c r="A77" s="233"/>
      <c r="B77" s="436" t="s">
        <v>347</v>
      </c>
      <c r="C77" s="436"/>
      <c r="D77" s="436"/>
      <c r="E77" s="436"/>
      <c r="F77" s="50">
        <v>1</v>
      </c>
      <c r="G77" s="62">
        <v>60</v>
      </c>
      <c r="H77" s="185">
        <v>42</v>
      </c>
      <c r="I77" s="186">
        <f t="shared" si="9"/>
        <v>2520</v>
      </c>
      <c r="J77" s="59"/>
      <c r="K77" s="233"/>
      <c r="L77" s="233"/>
      <c r="M77" s="235"/>
      <c r="N77" s="236"/>
      <c r="O77" s="235"/>
      <c r="P77" s="236"/>
      <c r="Q77" s="236"/>
      <c r="R77" s="236"/>
      <c r="S77" s="237"/>
      <c r="T77" s="236"/>
      <c r="U77" s="233"/>
      <c r="V77" s="233"/>
      <c r="W77" s="233"/>
      <c r="X77" s="238"/>
    </row>
    <row r="78" spans="1:24" s="3" customFormat="1">
      <c r="A78" s="233"/>
      <c r="B78" s="436" t="s">
        <v>347</v>
      </c>
      <c r="C78" s="436"/>
      <c r="D78" s="436" t="s">
        <v>364</v>
      </c>
      <c r="E78" s="436"/>
      <c r="F78" s="50">
        <v>0.6</v>
      </c>
      <c r="G78" s="62">
        <f>3/12</f>
        <v>0.25</v>
      </c>
      <c r="H78" s="185">
        <v>70</v>
      </c>
      <c r="I78" s="186">
        <f>IF(B78=0,0,H78*G78*F78)</f>
        <v>10.5</v>
      </c>
      <c r="J78" s="59"/>
      <c r="K78" s="233"/>
      <c r="L78" s="233"/>
      <c r="M78" s="235"/>
      <c r="N78" s="236"/>
      <c r="O78" s="235"/>
      <c r="P78" s="236"/>
      <c r="Q78" s="236"/>
      <c r="R78" s="236"/>
      <c r="S78" s="237"/>
      <c r="T78" s="236"/>
      <c r="U78" s="233"/>
      <c r="V78" s="233"/>
      <c r="W78" s="233"/>
      <c r="X78" s="238"/>
    </row>
    <row r="79" spans="1:24" s="3" customFormat="1">
      <c r="A79" s="233"/>
      <c r="B79" s="436" t="s">
        <v>348</v>
      </c>
      <c r="C79" s="436"/>
      <c r="D79" s="436" t="s">
        <v>365</v>
      </c>
      <c r="E79" s="436"/>
      <c r="F79" s="50">
        <v>1</v>
      </c>
      <c r="G79" s="62">
        <v>1</v>
      </c>
      <c r="H79" s="185">
        <v>782</v>
      </c>
      <c r="I79" s="186">
        <f>IF(B79=0,0,H79*G79*F79)</f>
        <v>782</v>
      </c>
      <c r="J79" s="59"/>
      <c r="K79" s="233"/>
      <c r="L79" s="233"/>
      <c r="M79" s="235"/>
      <c r="N79" s="236"/>
      <c r="O79" s="235"/>
      <c r="P79" s="236"/>
      <c r="Q79" s="236"/>
      <c r="R79" s="236"/>
      <c r="S79" s="237"/>
      <c r="T79" s="236"/>
      <c r="U79" s="233"/>
      <c r="V79" s="233"/>
      <c r="W79" s="233"/>
      <c r="X79" s="238"/>
    </row>
    <row r="80" spans="1:24" s="3" customFormat="1">
      <c r="A80" s="233"/>
      <c r="B80" s="436"/>
      <c r="C80" s="436"/>
      <c r="D80" s="437"/>
      <c r="E80" s="438"/>
      <c r="F80" s="50"/>
      <c r="G80" s="62"/>
      <c r="H80" s="185"/>
      <c r="I80" s="186">
        <f t="shared" si="9"/>
        <v>0</v>
      </c>
      <c r="J80" s="59"/>
      <c r="K80" s="233"/>
      <c r="L80" s="233"/>
      <c r="M80" s="235"/>
      <c r="N80" s="236"/>
      <c r="O80" s="235"/>
      <c r="P80" s="236"/>
      <c r="Q80" s="236"/>
      <c r="R80" s="236"/>
      <c r="S80" s="237"/>
      <c r="T80" s="236"/>
      <c r="U80" s="233"/>
      <c r="V80" s="233"/>
      <c r="W80" s="233"/>
      <c r="X80" s="238"/>
    </row>
    <row r="81" spans="1:24" s="3" customFormat="1">
      <c r="A81" s="233"/>
      <c r="B81" s="436"/>
      <c r="C81" s="436"/>
      <c r="D81" s="437"/>
      <c r="E81" s="438"/>
      <c r="F81" s="50"/>
      <c r="G81" s="62"/>
      <c r="H81" s="185"/>
      <c r="I81" s="186">
        <f t="shared" si="9"/>
        <v>0</v>
      </c>
      <c r="J81" s="59"/>
      <c r="K81" s="233"/>
      <c r="L81" s="233"/>
      <c r="M81" s="235"/>
      <c r="N81" s="236"/>
      <c r="O81" s="235"/>
      <c r="P81" s="236"/>
      <c r="Q81" s="236"/>
      <c r="R81" s="236"/>
      <c r="S81" s="237"/>
      <c r="T81" s="236"/>
      <c r="U81" s="233"/>
      <c r="V81" s="233"/>
      <c r="W81" s="233"/>
      <c r="X81" s="238"/>
    </row>
    <row r="82" spans="1:24" s="3" customFormat="1">
      <c r="A82" s="233"/>
      <c r="B82" s="436"/>
      <c r="C82" s="436"/>
      <c r="D82" s="437"/>
      <c r="E82" s="438"/>
      <c r="F82" s="50"/>
      <c r="G82" s="62"/>
      <c r="H82" s="185"/>
      <c r="I82" s="186">
        <f t="shared" si="9"/>
        <v>0</v>
      </c>
      <c r="J82" s="59"/>
      <c r="K82" s="233"/>
      <c r="L82" s="233"/>
      <c r="M82" s="235"/>
      <c r="N82" s="236"/>
      <c r="O82" s="235"/>
      <c r="P82" s="236"/>
      <c r="Q82" s="236"/>
      <c r="R82" s="236"/>
      <c r="S82" s="237"/>
      <c r="T82" s="236"/>
      <c r="U82" s="233"/>
      <c r="V82" s="233"/>
      <c r="W82" s="233"/>
      <c r="X82" s="238"/>
    </row>
    <row r="83" spans="1:24" s="3" customFormat="1">
      <c r="A83" s="233"/>
      <c r="B83" s="436"/>
      <c r="C83" s="436"/>
      <c r="D83" s="437"/>
      <c r="E83" s="438"/>
      <c r="F83" s="50"/>
      <c r="G83" s="62"/>
      <c r="H83" s="185"/>
      <c r="I83" s="186">
        <f t="shared" si="9"/>
        <v>0</v>
      </c>
      <c r="J83" s="59"/>
      <c r="K83" s="233"/>
      <c r="L83" s="233"/>
      <c r="M83" s="235"/>
      <c r="N83" s="236"/>
      <c r="O83" s="235"/>
      <c r="P83" s="236"/>
      <c r="Q83" s="236"/>
      <c r="R83" s="236"/>
      <c r="S83" s="237"/>
      <c r="T83" s="236"/>
      <c r="U83" s="233"/>
      <c r="V83" s="233"/>
      <c r="W83" s="233"/>
      <c r="X83" s="238"/>
    </row>
    <row r="84" spans="1:24" s="3" customFormat="1">
      <c r="A84" s="233"/>
      <c r="B84" s="436"/>
      <c r="C84" s="436"/>
      <c r="D84" s="437"/>
      <c r="E84" s="438"/>
      <c r="F84" s="50"/>
      <c r="G84" s="62"/>
      <c r="H84" s="185"/>
      <c r="I84" s="186">
        <f t="shared" si="9"/>
        <v>0</v>
      </c>
      <c r="J84" s="59"/>
      <c r="K84" s="233"/>
      <c r="L84" s="233"/>
      <c r="M84" s="235"/>
      <c r="N84" s="236"/>
      <c r="O84" s="235"/>
      <c r="P84" s="236"/>
      <c r="Q84" s="236"/>
      <c r="R84" s="236"/>
      <c r="S84" s="237"/>
      <c r="T84" s="236"/>
      <c r="U84" s="233"/>
      <c r="V84" s="233"/>
      <c r="W84" s="233"/>
      <c r="X84" s="238"/>
    </row>
    <row r="85" spans="1:24" s="3" customFormat="1">
      <c r="A85" s="233"/>
      <c r="B85" s="436"/>
      <c r="C85" s="436"/>
      <c r="D85" s="437"/>
      <c r="E85" s="438"/>
      <c r="F85" s="50"/>
      <c r="G85" s="62"/>
      <c r="H85" s="185"/>
      <c r="I85" s="186">
        <f t="shared" si="9"/>
        <v>0</v>
      </c>
      <c r="J85" s="59"/>
      <c r="K85" s="233"/>
      <c r="L85" s="233"/>
      <c r="M85" s="235"/>
      <c r="N85" s="236"/>
      <c r="O85" s="235"/>
      <c r="P85" s="236"/>
      <c r="Q85" s="236"/>
      <c r="R85" s="236"/>
      <c r="S85" s="237"/>
      <c r="T85" s="236"/>
      <c r="U85" s="233"/>
      <c r="V85" s="233"/>
      <c r="W85" s="233"/>
      <c r="X85" s="238"/>
    </row>
    <row r="86" spans="1:24" s="3" customFormat="1">
      <c r="A86" s="233"/>
      <c r="B86" s="436"/>
      <c r="C86" s="436"/>
      <c r="D86" s="437"/>
      <c r="E86" s="438"/>
      <c r="F86" s="50"/>
      <c r="G86" s="62"/>
      <c r="H86" s="185"/>
      <c r="I86" s="186">
        <f t="shared" si="9"/>
        <v>0</v>
      </c>
      <c r="J86" s="59"/>
      <c r="K86" s="233"/>
      <c r="L86" s="233"/>
      <c r="M86" s="235"/>
      <c r="N86" s="236"/>
      <c r="O86" s="235"/>
      <c r="P86" s="236"/>
      <c r="Q86" s="236"/>
      <c r="R86" s="236"/>
      <c r="S86" s="237"/>
      <c r="T86" s="236"/>
      <c r="U86" s="233"/>
      <c r="V86" s="233"/>
      <c r="W86" s="233"/>
      <c r="X86" s="238"/>
    </row>
    <row r="87" spans="1:24" s="3" customFormat="1">
      <c r="A87" s="233"/>
      <c r="B87" s="436"/>
      <c r="C87" s="436"/>
      <c r="D87" s="437"/>
      <c r="E87" s="438"/>
      <c r="F87" s="50"/>
      <c r="G87" s="62"/>
      <c r="H87" s="185"/>
      <c r="I87" s="186">
        <f t="shared" si="9"/>
        <v>0</v>
      </c>
      <c r="J87" s="59"/>
      <c r="K87" s="233"/>
      <c r="L87" s="233"/>
      <c r="M87" s="235"/>
      <c r="N87" s="236"/>
      <c r="O87" s="235"/>
      <c r="P87" s="236"/>
      <c r="Q87" s="236"/>
      <c r="R87" s="236"/>
      <c r="S87" s="237"/>
      <c r="T87" s="236"/>
      <c r="U87" s="233"/>
      <c r="V87" s="233"/>
      <c r="W87" s="233"/>
      <c r="X87" s="238"/>
    </row>
    <row r="88" spans="1:24" s="3" customFormat="1">
      <c r="A88" s="233"/>
      <c r="B88" s="436"/>
      <c r="C88" s="436"/>
      <c r="D88" s="437"/>
      <c r="E88" s="438"/>
      <c r="F88" s="50"/>
      <c r="G88" s="62"/>
      <c r="H88" s="185"/>
      <c r="I88" s="186">
        <f t="shared" si="9"/>
        <v>0</v>
      </c>
      <c r="J88" s="59"/>
      <c r="K88" s="233"/>
      <c r="L88" s="233"/>
      <c r="M88" s="235"/>
      <c r="N88" s="236"/>
      <c r="O88" s="235"/>
      <c r="P88" s="236"/>
      <c r="Q88" s="236"/>
      <c r="R88" s="236"/>
      <c r="S88" s="237"/>
      <c r="T88" s="236"/>
      <c r="U88" s="233"/>
      <c r="V88" s="233"/>
      <c r="W88" s="233"/>
      <c r="X88" s="238"/>
    </row>
    <row r="89" spans="1:24" s="3" customFormat="1">
      <c r="A89" s="233"/>
      <c r="B89" s="436"/>
      <c r="C89" s="436"/>
      <c r="D89" s="436"/>
      <c r="E89" s="436"/>
      <c r="F89" s="50"/>
      <c r="G89" s="62"/>
      <c r="H89" s="185"/>
      <c r="I89" s="186">
        <f t="shared" si="9"/>
        <v>0</v>
      </c>
      <c r="J89" s="59"/>
      <c r="K89" s="233"/>
      <c r="L89" s="233"/>
      <c r="M89" s="235"/>
      <c r="N89" s="236"/>
      <c r="O89" s="235"/>
      <c r="P89" s="236"/>
      <c r="Q89" s="236"/>
      <c r="R89" s="236"/>
      <c r="S89" s="237"/>
      <c r="T89" s="236"/>
      <c r="U89" s="233"/>
      <c r="V89" s="233"/>
      <c r="W89" s="233"/>
      <c r="X89" s="238"/>
    </row>
    <row r="90" spans="1:24" s="3" customFormat="1">
      <c r="A90" s="233"/>
      <c r="B90" s="436"/>
      <c r="C90" s="436"/>
      <c r="D90" s="436"/>
      <c r="E90" s="436"/>
      <c r="F90" s="50"/>
      <c r="G90" s="62"/>
      <c r="H90" s="185"/>
      <c r="I90" s="186">
        <f t="shared" si="9"/>
        <v>0</v>
      </c>
      <c r="J90" s="59"/>
      <c r="K90" s="233"/>
      <c r="L90" s="233"/>
      <c r="M90" s="235"/>
      <c r="N90" s="236"/>
      <c r="O90" s="235"/>
      <c r="P90" s="236"/>
      <c r="Q90" s="236"/>
      <c r="R90" s="236"/>
      <c r="S90" s="237"/>
      <c r="T90" s="236"/>
      <c r="U90" s="233"/>
      <c r="V90" s="233"/>
      <c r="W90" s="233"/>
      <c r="X90" s="238"/>
    </row>
    <row r="91" spans="1:24" s="3" customFormat="1">
      <c r="A91" s="233"/>
      <c r="B91" s="436"/>
      <c r="C91" s="436"/>
      <c r="D91" s="436"/>
      <c r="E91" s="436"/>
      <c r="F91" s="50"/>
      <c r="G91" s="62"/>
      <c r="H91" s="185"/>
      <c r="I91" s="186">
        <f t="shared" si="9"/>
        <v>0</v>
      </c>
      <c r="J91" s="59"/>
      <c r="K91" s="233"/>
      <c r="L91" s="233"/>
      <c r="M91" s="235"/>
      <c r="N91" s="236"/>
      <c r="O91" s="235"/>
      <c r="P91" s="236"/>
      <c r="Q91" s="236"/>
      <c r="R91" s="236"/>
      <c r="S91" s="237"/>
      <c r="T91" s="236"/>
      <c r="U91" s="233"/>
      <c r="V91" s="233"/>
      <c r="W91" s="233"/>
      <c r="X91" s="238"/>
    </row>
    <row r="92" spans="1:24" s="3" customFormat="1">
      <c r="A92" s="233"/>
      <c r="B92" s="436"/>
      <c r="C92" s="436"/>
      <c r="D92" s="436"/>
      <c r="E92" s="436"/>
      <c r="F92" s="50"/>
      <c r="G92" s="62"/>
      <c r="H92" s="185"/>
      <c r="I92" s="186">
        <f t="shared" si="9"/>
        <v>0</v>
      </c>
      <c r="J92" s="59"/>
      <c r="K92" s="233"/>
      <c r="L92" s="233"/>
      <c r="M92" s="235"/>
      <c r="N92" s="236"/>
      <c r="O92" s="235"/>
      <c r="P92" s="236"/>
      <c r="Q92" s="236"/>
      <c r="R92" s="236"/>
      <c r="S92" s="237"/>
      <c r="T92" s="236"/>
      <c r="U92" s="233"/>
      <c r="V92" s="233"/>
      <c r="W92" s="233"/>
      <c r="X92" s="238"/>
    </row>
    <row r="93" spans="1:24" s="3" customFormat="1">
      <c r="A93" s="233"/>
      <c r="B93" s="436"/>
      <c r="C93" s="436"/>
      <c r="D93" s="436"/>
      <c r="E93" s="436"/>
      <c r="F93" s="50"/>
      <c r="G93" s="62"/>
      <c r="H93" s="185"/>
      <c r="I93" s="186">
        <f t="shared" si="9"/>
        <v>0</v>
      </c>
      <c r="J93" s="59"/>
      <c r="K93" s="233"/>
      <c r="L93" s="233"/>
      <c r="M93" s="235"/>
      <c r="N93" s="236"/>
      <c r="O93" s="235"/>
      <c r="P93" s="236"/>
      <c r="Q93" s="236"/>
      <c r="R93" s="236"/>
      <c r="S93" s="237"/>
      <c r="T93" s="236"/>
      <c r="U93" s="233"/>
      <c r="V93" s="233"/>
      <c r="W93" s="233"/>
      <c r="X93" s="238"/>
    </row>
    <row r="94" spans="1:24" s="3" customFormat="1">
      <c r="A94" s="233"/>
      <c r="B94" s="436"/>
      <c r="C94" s="436"/>
      <c r="D94" s="436"/>
      <c r="E94" s="436"/>
      <c r="F94" s="50"/>
      <c r="G94" s="62"/>
      <c r="H94" s="185"/>
      <c r="I94" s="186">
        <f t="shared" si="9"/>
        <v>0</v>
      </c>
      <c r="J94" s="59"/>
      <c r="K94" s="233"/>
      <c r="L94" s="233"/>
      <c r="M94" s="235"/>
      <c r="N94" s="236"/>
      <c r="O94" s="235"/>
      <c r="P94" s="236"/>
      <c r="Q94" s="236"/>
      <c r="R94" s="236"/>
      <c r="S94" s="237"/>
      <c r="T94" s="236"/>
      <c r="U94" s="233"/>
      <c r="V94" s="233"/>
      <c r="W94" s="233"/>
      <c r="X94" s="238"/>
    </row>
    <row r="95" spans="1:24" s="3" customFormat="1">
      <c r="A95" s="233"/>
      <c r="B95" s="436"/>
      <c r="C95" s="436"/>
      <c r="D95" s="436"/>
      <c r="E95" s="436"/>
      <c r="F95" s="50"/>
      <c r="G95" s="62"/>
      <c r="H95" s="185"/>
      <c r="I95" s="186">
        <f t="shared" si="9"/>
        <v>0</v>
      </c>
      <c r="J95" s="59"/>
      <c r="K95" s="233"/>
      <c r="L95" s="233"/>
      <c r="M95" s="235"/>
      <c r="N95" s="236"/>
      <c r="O95" s="235"/>
      <c r="P95" s="236"/>
      <c r="Q95" s="236"/>
      <c r="R95" s="236"/>
      <c r="S95" s="237"/>
      <c r="T95" s="236"/>
      <c r="U95" s="233"/>
      <c r="V95" s="233"/>
      <c r="W95" s="233"/>
      <c r="X95" s="238"/>
    </row>
    <row r="96" spans="1:24" s="3" customFormat="1">
      <c r="A96" s="233"/>
      <c r="B96" s="436"/>
      <c r="C96" s="436"/>
      <c r="D96" s="436"/>
      <c r="E96" s="436"/>
      <c r="F96" s="50"/>
      <c r="G96" s="62"/>
      <c r="H96" s="185"/>
      <c r="I96" s="186">
        <f t="shared" si="9"/>
        <v>0</v>
      </c>
      <c r="J96" s="59"/>
      <c r="K96" s="233"/>
      <c r="L96" s="233"/>
      <c r="M96" s="235"/>
      <c r="N96" s="236"/>
      <c r="O96" s="235"/>
      <c r="P96" s="236"/>
      <c r="Q96" s="236"/>
      <c r="R96" s="236"/>
      <c r="S96" s="237"/>
      <c r="T96" s="236"/>
      <c r="U96" s="233"/>
      <c r="V96" s="233"/>
      <c r="W96" s="233"/>
      <c r="X96" s="238"/>
    </row>
    <row r="97" spans="1:24" s="3" customFormat="1">
      <c r="A97" s="233"/>
      <c r="B97" s="436"/>
      <c r="C97" s="436"/>
      <c r="D97" s="436"/>
      <c r="E97" s="436"/>
      <c r="F97" s="50"/>
      <c r="G97" s="62"/>
      <c r="H97" s="185"/>
      <c r="I97" s="186">
        <f t="shared" si="9"/>
        <v>0</v>
      </c>
      <c r="J97" s="59"/>
      <c r="K97" s="233"/>
      <c r="L97" s="233"/>
      <c r="M97" s="235"/>
      <c r="N97" s="236"/>
      <c r="O97" s="235"/>
      <c r="P97" s="236"/>
      <c r="Q97" s="236"/>
      <c r="R97" s="236"/>
      <c r="S97" s="237"/>
      <c r="T97" s="236"/>
      <c r="U97" s="233"/>
      <c r="V97" s="233"/>
      <c r="W97" s="233"/>
      <c r="X97" s="238"/>
    </row>
    <row r="98" spans="1:24" s="3" customFormat="1">
      <c r="A98" s="233"/>
      <c r="B98" s="436"/>
      <c r="C98" s="436"/>
      <c r="D98" s="436"/>
      <c r="E98" s="436"/>
      <c r="F98" s="50"/>
      <c r="G98" s="62"/>
      <c r="H98" s="185"/>
      <c r="I98" s="186">
        <f t="shared" si="9"/>
        <v>0</v>
      </c>
      <c r="J98" s="59"/>
      <c r="K98" s="233"/>
      <c r="L98" s="233"/>
      <c r="M98" s="235"/>
      <c r="N98" s="236"/>
      <c r="O98" s="235"/>
      <c r="P98" s="236"/>
      <c r="Q98" s="236"/>
      <c r="R98" s="236"/>
      <c r="S98" s="237"/>
      <c r="T98" s="236"/>
      <c r="U98" s="233"/>
      <c r="V98" s="233"/>
      <c r="W98" s="233"/>
      <c r="X98" s="238"/>
    </row>
    <row r="99" spans="1:24" s="3" customFormat="1">
      <c r="A99" s="233"/>
      <c r="B99" s="436"/>
      <c r="C99" s="436"/>
      <c r="D99" s="436"/>
      <c r="E99" s="436"/>
      <c r="F99" s="50"/>
      <c r="G99" s="62"/>
      <c r="H99" s="185"/>
      <c r="I99" s="186">
        <f t="shared" si="9"/>
        <v>0</v>
      </c>
      <c r="J99" s="59"/>
      <c r="K99" s="233"/>
      <c r="L99" s="233"/>
      <c r="M99" s="235"/>
      <c r="N99" s="236"/>
      <c r="O99" s="235"/>
      <c r="P99" s="236"/>
      <c r="Q99" s="236"/>
      <c r="R99" s="236"/>
      <c r="S99" s="237"/>
      <c r="T99" s="236"/>
      <c r="U99" s="233"/>
      <c r="V99" s="233"/>
      <c r="W99" s="233"/>
      <c r="X99" s="238"/>
    </row>
    <row r="100" spans="1:24" s="3" customFormat="1">
      <c r="A100" s="233"/>
      <c r="B100" s="436"/>
      <c r="C100" s="436"/>
      <c r="D100" s="436"/>
      <c r="E100" s="436"/>
      <c r="F100" s="50"/>
      <c r="G100" s="62"/>
      <c r="H100" s="185"/>
      <c r="I100" s="186">
        <f t="shared" si="9"/>
        <v>0</v>
      </c>
      <c r="J100" s="59"/>
      <c r="K100" s="233"/>
      <c r="L100" s="233"/>
      <c r="M100" s="235"/>
      <c r="N100" s="236"/>
      <c r="O100" s="235"/>
      <c r="P100" s="236"/>
      <c r="Q100" s="236"/>
      <c r="R100" s="236"/>
      <c r="S100" s="237"/>
      <c r="T100" s="236"/>
      <c r="U100" s="233"/>
      <c r="V100" s="233"/>
      <c r="W100" s="233"/>
      <c r="X100" s="238"/>
    </row>
    <row r="101" spans="1:24" s="3" customFormat="1">
      <c r="A101" s="233"/>
      <c r="B101" s="436"/>
      <c r="C101" s="436"/>
      <c r="D101" s="436"/>
      <c r="E101" s="436"/>
      <c r="F101" s="50"/>
      <c r="G101" s="62"/>
      <c r="H101" s="185"/>
      <c r="I101" s="186">
        <f t="shared" si="9"/>
        <v>0</v>
      </c>
      <c r="J101" s="59"/>
      <c r="K101" s="233"/>
      <c r="L101" s="233"/>
      <c r="M101" s="235"/>
      <c r="N101" s="236"/>
      <c r="O101" s="235"/>
      <c r="P101" s="236"/>
      <c r="Q101" s="236"/>
      <c r="R101" s="236"/>
      <c r="S101" s="237"/>
      <c r="T101" s="236"/>
      <c r="U101" s="233"/>
      <c r="V101" s="233"/>
      <c r="W101" s="233"/>
      <c r="X101" s="238"/>
    </row>
    <row r="102" spans="1:24" s="3" customFormat="1">
      <c r="A102" s="233"/>
      <c r="B102" s="436"/>
      <c r="C102" s="436"/>
      <c r="D102" s="436"/>
      <c r="E102" s="436"/>
      <c r="F102" s="50"/>
      <c r="G102" s="62"/>
      <c r="H102" s="185"/>
      <c r="I102" s="186">
        <f t="shared" si="9"/>
        <v>0</v>
      </c>
      <c r="J102" s="59"/>
      <c r="K102" s="233"/>
      <c r="L102" s="233"/>
      <c r="M102" s="235"/>
      <c r="N102" s="236"/>
      <c r="O102" s="235"/>
      <c r="P102" s="236"/>
      <c r="Q102" s="236"/>
      <c r="R102" s="236"/>
      <c r="S102" s="237"/>
      <c r="T102" s="236"/>
      <c r="U102" s="233"/>
      <c r="V102" s="233"/>
      <c r="W102" s="233"/>
      <c r="X102" s="238"/>
    </row>
    <row r="103" spans="1:24" s="3" customFormat="1">
      <c r="A103" s="233"/>
      <c r="B103" s="436"/>
      <c r="C103" s="436"/>
      <c r="D103" s="436"/>
      <c r="E103" s="436"/>
      <c r="F103" s="50"/>
      <c r="G103" s="62"/>
      <c r="H103" s="185"/>
      <c r="I103" s="186">
        <f t="shared" si="9"/>
        <v>0</v>
      </c>
      <c r="J103" s="59"/>
      <c r="K103" s="233"/>
      <c r="L103" s="233"/>
      <c r="M103" s="235"/>
      <c r="N103" s="236"/>
      <c r="O103" s="235"/>
      <c r="P103" s="236"/>
      <c r="Q103" s="236"/>
      <c r="R103" s="236"/>
      <c r="S103" s="237"/>
      <c r="T103" s="236"/>
      <c r="U103" s="233"/>
      <c r="V103" s="233"/>
      <c r="W103" s="233"/>
      <c r="X103" s="238"/>
    </row>
    <row r="104" spans="1:24" s="3" customFormat="1">
      <c r="A104" s="233"/>
      <c r="B104" s="436"/>
      <c r="C104" s="436"/>
      <c r="D104" s="436"/>
      <c r="E104" s="436"/>
      <c r="F104" s="50"/>
      <c r="G104" s="62"/>
      <c r="H104" s="185"/>
      <c r="I104" s="186">
        <f t="shared" si="9"/>
        <v>0</v>
      </c>
      <c r="J104" s="59"/>
      <c r="K104" s="233"/>
      <c r="L104" s="233"/>
      <c r="M104" s="235"/>
      <c r="N104" s="236"/>
      <c r="O104" s="235"/>
      <c r="P104" s="236"/>
      <c r="Q104" s="236"/>
      <c r="R104" s="236"/>
      <c r="S104" s="237"/>
      <c r="T104" s="236"/>
      <c r="U104" s="233"/>
      <c r="V104" s="233"/>
      <c r="W104" s="233"/>
      <c r="X104" s="238"/>
    </row>
    <row r="105" spans="1:24" s="3" customFormat="1">
      <c r="A105" s="233"/>
      <c r="B105" s="436"/>
      <c r="C105" s="436"/>
      <c r="D105" s="436"/>
      <c r="E105" s="436"/>
      <c r="F105" s="50"/>
      <c r="G105" s="62"/>
      <c r="H105" s="185"/>
      <c r="I105" s="186">
        <f t="shared" si="9"/>
        <v>0</v>
      </c>
      <c r="J105" s="59"/>
      <c r="K105" s="233"/>
      <c r="L105" s="233"/>
      <c r="M105" s="235"/>
      <c r="N105" s="236"/>
      <c r="O105" s="235"/>
      <c r="P105" s="236"/>
      <c r="Q105" s="236"/>
      <c r="R105" s="236"/>
      <c r="S105" s="237"/>
      <c r="T105" s="236"/>
      <c r="U105" s="233"/>
      <c r="V105" s="233"/>
      <c r="W105" s="233"/>
      <c r="X105" s="238"/>
    </row>
    <row r="106" spans="1:24" s="3" customFormat="1">
      <c r="A106" s="233"/>
      <c r="B106" s="136"/>
      <c r="C106" s="11"/>
      <c r="D106" s="234"/>
      <c r="E106" s="11"/>
      <c r="F106" s="233"/>
      <c r="G106" s="233"/>
      <c r="H106" s="233"/>
      <c r="I106" s="233"/>
      <c r="J106" s="233"/>
      <c r="K106" s="233"/>
      <c r="L106" s="233"/>
      <c r="M106" s="235"/>
      <c r="N106" s="236"/>
      <c r="O106" s="235"/>
      <c r="P106" s="236"/>
      <c r="Q106" s="236"/>
      <c r="R106" s="236"/>
      <c r="S106" s="237"/>
      <c r="T106" s="236"/>
      <c r="U106" s="233"/>
      <c r="V106" s="233"/>
      <c r="W106" s="233"/>
      <c r="X106" s="238"/>
    </row>
    <row r="107" spans="1:24" s="3" customFormat="1">
      <c r="A107" s="233"/>
      <c r="B107" s="136"/>
      <c r="C107" s="11"/>
      <c r="D107" s="234"/>
      <c r="E107" s="11"/>
      <c r="F107" s="233"/>
      <c r="G107" s="233"/>
      <c r="H107" s="233"/>
      <c r="I107" s="233"/>
      <c r="J107" s="233"/>
      <c r="K107" s="233"/>
      <c r="L107" s="233"/>
      <c r="M107" s="235"/>
      <c r="N107" s="236"/>
      <c r="O107" s="235"/>
      <c r="P107" s="236"/>
      <c r="Q107" s="236"/>
      <c r="R107" s="236"/>
      <c r="S107" s="237"/>
      <c r="T107" s="236"/>
      <c r="U107" s="233"/>
      <c r="V107" s="233"/>
      <c r="W107" s="233"/>
      <c r="X107" s="238"/>
    </row>
    <row r="108" spans="1:24" s="181" customFormat="1" ht="18">
      <c r="A108" s="244"/>
      <c r="B108" s="243" t="s">
        <v>241</v>
      </c>
      <c r="C108" s="245"/>
      <c r="D108" s="246"/>
      <c r="E108" s="245"/>
      <c r="F108" s="244"/>
      <c r="G108" s="244"/>
      <c r="H108" s="244"/>
      <c r="I108" s="244"/>
      <c r="J108" s="244"/>
      <c r="K108" s="244"/>
      <c r="L108" s="244"/>
      <c r="M108" s="247"/>
      <c r="N108" s="248"/>
      <c r="O108" s="247"/>
      <c r="P108" s="248"/>
      <c r="Q108" s="248"/>
      <c r="R108" s="248"/>
      <c r="S108" s="249"/>
      <c r="T108" s="248"/>
      <c r="U108" s="244"/>
      <c r="V108" s="244"/>
      <c r="W108" s="244"/>
      <c r="X108" s="250"/>
    </row>
    <row r="109" spans="1:24" s="3" customFormat="1">
      <c r="A109" s="233"/>
      <c r="B109" s="242" t="s">
        <v>242</v>
      </c>
      <c r="C109" s="11"/>
      <c r="D109" s="234"/>
      <c r="E109" s="11"/>
      <c r="F109" s="233"/>
      <c r="G109" s="233"/>
      <c r="H109" s="233"/>
      <c r="I109" s="233"/>
      <c r="J109" s="233"/>
      <c r="K109" s="233"/>
      <c r="L109" s="233"/>
      <c r="M109" s="235"/>
      <c r="N109" s="236"/>
      <c r="O109" s="235"/>
      <c r="P109" s="236"/>
      <c r="Q109" s="236"/>
      <c r="R109" s="236"/>
      <c r="S109" s="237"/>
      <c r="T109" s="236"/>
      <c r="U109" s="233"/>
      <c r="V109" s="233"/>
      <c r="W109" s="233"/>
      <c r="X109" s="238"/>
    </row>
    <row r="110" spans="1:24" s="3" customFormat="1">
      <c r="A110" s="233"/>
      <c r="B110" s="242" t="s">
        <v>243</v>
      </c>
      <c r="C110" s="11"/>
      <c r="D110" s="234"/>
      <c r="E110" s="11"/>
      <c r="F110" s="233"/>
      <c r="G110" s="233"/>
      <c r="H110" s="233"/>
      <c r="I110" s="233"/>
      <c r="J110" s="233"/>
      <c r="K110" s="233"/>
      <c r="L110" s="233"/>
      <c r="M110" s="235"/>
      <c r="N110" s="236"/>
      <c r="O110" s="235"/>
      <c r="P110" s="236"/>
      <c r="Q110" s="236"/>
      <c r="R110" s="236"/>
      <c r="S110" s="237"/>
      <c r="T110" s="236"/>
      <c r="U110" s="233"/>
      <c r="V110" s="233"/>
      <c r="W110" s="233"/>
      <c r="X110" s="238"/>
    </row>
    <row r="111" spans="1:24" s="3" customFormat="1">
      <c r="A111" s="233"/>
      <c r="B111" s="242" t="s">
        <v>244</v>
      </c>
      <c r="C111" s="11"/>
      <c r="D111" s="234"/>
      <c r="E111" s="11"/>
      <c r="F111" s="233"/>
      <c r="G111" s="233"/>
      <c r="H111" s="233"/>
      <c r="I111" s="233"/>
      <c r="J111" s="233"/>
      <c r="K111" s="233"/>
      <c r="L111" s="233"/>
      <c r="M111" s="235"/>
      <c r="N111" s="236"/>
      <c r="O111" s="235"/>
      <c r="P111" s="236"/>
      <c r="Q111" s="236"/>
      <c r="R111" s="236"/>
      <c r="S111" s="237"/>
      <c r="T111" s="236"/>
      <c r="U111" s="233"/>
      <c r="V111" s="233"/>
      <c r="W111" s="233"/>
      <c r="X111" s="238"/>
    </row>
    <row r="112" spans="1:24" s="3" customFormat="1">
      <c r="A112" s="233"/>
      <c r="B112" s="439" t="s">
        <v>152</v>
      </c>
      <c r="C112" s="440"/>
      <c r="D112" s="439" t="s">
        <v>153</v>
      </c>
      <c r="E112" s="440"/>
      <c r="F112" s="123" t="s">
        <v>154</v>
      </c>
      <c r="G112" s="123" t="s">
        <v>155</v>
      </c>
      <c r="H112" s="123" t="s">
        <v>156</v>
      </c>
      <c r="I112" s="123" t="s">
        <v>157</v>
      </c>
      <c r="J112" s="123" t="s">
        <v>97</v>
      </c>
      <c r="K112" s="233"/>
      <c r="L112" s="233"/>
      <c r="M112" s="235"/>
      <c r="N112" s="236"/>
      <c r="O112" s="235"/>
      <c r="P112" s="236"/>
      <c r="Q112" s="236"/>
      <c r="R112" s="236"/>
      <c r="S112" s="237"/>
      <c r="T112" s="236"/>
      <c r="U112" s="233"/>
      <c r="V112" s="233"/>
      <c r="W112" s="233"/>
      <c r="X112" s="238"/>
    </row>
    <row r="113" spans="1:24" s="3" customFormat="1">
      <c r="A113" s="233"/>
      <c r="B113" s="436"/>
      <c r="C113" s="436"/>
      <c r="D113" s="436"/>
      <c r="E113" s="436"/>
      <c r="F113" s="50"/>
      <c r="G113" s="62"/>
      <c r="H113" s="185"/>
      <c r="I113" s="186">
        <f t="shared" ref="I113:I142" si="10">IF(B113=0,0,H113*G113*F113)</f>
        <v>0</v>
      </c>
      <c r="J113" s="59"/>
      <c r="K113" s="233"/>
      <c r="L113" s="233"/>
      <c r="M113" s="235"/>
      <c r="N113" s="236"/>
      <c r="O113" s="235"/>
      <c r="P113" s="236"/>
      <c r="Q113" s="236"/>
      <c r="R113" s="236"/>
      <c r="S113" s="237"/>
      <c r="T113" s="236"/>
      <c r="U113" s="233"/>
      <c r="V113" s="233"/>
      <c r="W113" s="233"/>
      <c r="X113" s="238"/>
    </row>
    <row r="114" spans="1:24" s="3" customFormat="1">
      <c r="A114" s="233"/>
      <c r="B114" s="436"/>
      <c r="C114" s="436"/>
      <c r="D114" s="436"/>
      <c r="E114" s="436"/>
      <c r="F114" s="50"/>
      <c r="G114" s="62"/>
      <c r="H114" s="185"/>
      <c r="I114" s="186">
        <f t="shared" si="10"/>
        <v>0</v>
      </c>
      <c r="J114" s="59"/>
      <c r="K114" s="233"/>
      <c r="L114" s="233"/>
      <c r="M114" s="235"/>
      <c r="N114" s="236"/>
      <c r="O114" s="235"/>
      <c r="P114" s="236"/>
      <c r="Q114" s="236"/>
      <c r="R114" s="236"/>
      <c r="S114" s="237"/>
      <c r="T114" s="236"/>
      <c r="U114" s="233"/>
      <c r="V114" s="233"/>
      <c r="W114" s="233"/>
      <c r="X114" s="238"/>
    </row>
    <row r="115" spans="1:24" s="3" customFormat="1">
      <c r="A115" s="233"/>
      <c r="B115" s="436"/>
      <c r="C115" s="436"/>
      <c r="D115" s="436"/>
      <c r="E115" s="436"/>
      <c r="F115" s="50"/>
      <c r="G115" s="62"/>
      <c r="H115" s="185"/>
      <c r="I115" s="186">
        <f t="shared" si="10"/>
        <v>0</v>
      </c>
      <c r="J115" s="59"/>
      <c r="K115" s="233"/>
      <c r="L115" s="233"/>
      <c r="M115" s="235"/>
      <c r="N115" s="236"/>
      <c r="O115" s="235"/>
      <c r="P115" s="236"/>
      <c r="Q115" s="236"/>
      <c r="R115" s="236"/>
      <c r="S115" s="237"/>
      <c r="T115" s="236"/>
      <c r="U115" s="233"/>
      <c r="V115" s="233"/>
      <c r="W115" s="233"/>
      <c r="X115" s="238"/>
    </row>
    <row r="116" spans="1:24" s="3" customFormat="1">
      <c r="A116" s="233"/>
      <c r="B116" s="436"/>
      <c r="C116" s="436"/>
      <c r="D116" s="436"/>
      <c r="E116" s="436"/>
      <c r="F116" s="50"/>
      <c r="G116" s="62"/>
      <c r="H116" s="185"/>
      <c r="I116" s="186">
        <f t="shared" si="10"/>
        <v>0</v>
      </c>
      <c r="J116" s="59"/>
      <c r="K116" s="233"/>
      <c r="L116" s="233"/>
      <c r="M116" s="235"/>
      <c r="N116" s="236"/>
      <c r="O116" s="235"/>
      <c r="P116" s="236"/>
      <c r="Q116" s="236"/>
      <c r="R116" s="236"/>
      <c r="S116" s="237"/>
      <c r="T116" s="236"/>
      <c r="U116" s="233"/>
      <c r="V116" s="233"/>
      <c r="W116" s="233"/>
      <c r="X116" s="238"/>
    </row>
    <row r="117" spans="1:24" s="3" customFormat="1">
      <c r="A117" s="233"/>
      <c r="B117" s="436"/>
      <c r="C117" s="436"/>
      <c r="D117" s="436"/>
      <c r="E117" s="436"/>
      <c r="F117" s="50"/>
      <c r="G117" s="62"/>
      <c r="H117" s="185"/>
      <c r="I117" s="186">
        <f t="shared" si="10"/>
        <v>0</v>
      </c>
      <c r="J117" s="59"/>
      <c r="K117" s="233"/>
      <c r="L117" s="233"/>
      <c r="M117" s="235"/>
      <c r="N117" s="236"/>
      <c r="O117" s="235"/>
      <c r="P117" s="236"/>
      <c r="Q117" s="236"/>
      <c r="R117" s="236"/>
      <c r="S117" s="237"/>
      <c r="T117" s="236"/>
      <c r="U117" s="233"/>
      <c r="V117" s="233"/>
      <c r="W117" s="233"/>
      <c r="X117" s="238"/>
    </row>
    <row r="118" spans="1:24" s="3" customFormat="1">
      <c r="A118" s="233"/>
      <c r="B118" s="436"/>
      <c r="C118" s="436"/>
      <c r="D118" s="436"/>
      <c r="E118" s="436"/>
      <c r="F118" s="50"/>
      <c r="G118" s="62"/>
      <c r="H118" s="185"/>
      <c r="I118" s="186">
        <f t="shared" si="10"/>
        <v>0</v>
      </c>
      <c r="J118" s="59"/>
      <c r="K118" s="233"/>
      <c r="L118" s="233"/>
      <c r="M118" s="235"/>
      <c r="N118" s="236"/>
      <c r="O118" s="235"/>
      <c r="P118" s="236"/>
      <c r="Q118" s="236"/>
      <c r="R118" s="236"/>
      <c r="S118" s="237"/>
      <c r="T118" s="236"/>
      <c r="U118" s="233"/>
      <c r="V118" s="233"/>
      <c r="W118" s="233"/>
      <c r="X118" s="238"/>
    </row>
    <row r="119" spans="1:24" s="3" customFormat="1">
      <c r="A119" s="233"/>
      <c r="B119" s="436"/>
      <c r="C119" s="436"/>
      <c r="D119" s="436"/>
      <c r="E119" s="436"/>
      <c r="F119" s="50"/>
      <c r="G119" s="62"/>
      <c r="H119" s="185"/>
      <c r="I119" s="186">
        <f t="shared" si="10"/>
        <v>0</v>
      </c>
      <c r="J119" s="59"/>
      <c r="K119" s="233"/>
      <c r="L119" s="233"/>
      <c r="M119" s="235"/>
      <c r="N119" s="236"/>
      <c r="O119" s="235"/>
      <c r="P119" s="236"/>
      <c r="Q119" s="236"/>
      <c r="R119" s="236"/>
      <c r="S119" s="237"/>
      <c r="T119" s="236"/>
      <c r="U119" s="233"/>
      <c r="V119" s="233"/>
      <c r="W119" s="233"/>
      <c r="X119" s="238"/>
    </row>
    <row r="120" spans="1:24" s="3" customFormat="1">
      <c r="A120" s="233"/>
      <c r="B120" s="436"/>
      <c r="C120" s="436"/>
      <c r="D120" s="436"/>
      <c r="E120" s="436"/>
      <c r="F120" s="50"/>
      <c r="G120" s="62"/>
      <c r="H120" s="185"/>
      <c r="I120" s="186">
        <f t="shared" si="10"/>
        <v>0</v>
      </c>
      <c r="J120" s="59"/>
      <c r="K120" s="233"/>
      <c r="L120" s="233"/>
      <c r="M120" s="235"/>
      <c r="N120" s="236"/>
      <c r="O120" s="235"/>
      <c r="P120" s="236"/>
      <c r="Q120" s="236"/>
      <c r="R120" s="236"/>
      <c r="S120" s="237"/>
      <c r="T120" s="236"/>
      <c r="U120" s="233"/>
      <c r="V120" s="233"/>
      <c r="W120" s="233"/>
      <c r="X120" s="238"/>
    </row>
    <row r="121" spans="1:24" s="3" customFormat="1">
      <c r="A121" s="233"/>
      <c r="B121" s="436"/>
      <c r="C121" s="436"/>
      <c r="D121" s="436"/>
      <c r="E121" s="436"/>
      <c r="F121" s="50"/>
      <c r="G121" s="62"/>
      <c r="H121" s="185"/>
      <c r="I121" s="186">
        <f t="shared" si="10"/>
        <v>0</v>
      </c>
      <c r="J121" s="59"/>
      <c r="K121" s="233"/>
      <c r="L121" s="233"/>
      <c r="M121" s="235"/>
      <c r="N121" s="236"/>
      <c r="O121" s="235"/>
      <c r="P121" s="236"/>
      <c r="Q121" s="236"/>
      <c r="R121" s="236"/>
      <c r="S121" s="237"/>
      <c r="T121" s="236"/>
      <c r="U121" s="233"/>
      <c r="V121" s="233"/>
      <c r="W121" s="233"/>
      <c r="X121" s="238"/>
    </row>
    <row r="122" spans="1:24" s="3" customFormat="1">
      <c r="A122" s="233"/>
      <c r="B122" s="436"/>
      <c r="C122" s="436"/>
      <c r="D122" s="436"/>
      <c r="E122" s="436"/>
      <c r="F122" s="50"/>
      <c r="G122" s="62"/>
      <c r="H122" s="185"/>
      <c r="I122" s="186">
        <f t="shared" si="10"/>
        <v>0</v>
      </c>
      <c r="J122" s="59"/>
      <c r="K122" s="233"/>
      <c r="L122" s="233"/>
      <c r="M122" s="235"/>
      <c r="N122" s="236"/>
      <c r="O122" s="235"/>
      <c r="P122" s="236"/>
      <c r="Q122" s="236"/>
      <c r="R122" s="236"/>
      <c r="S122" s="237"/>
      <c r="T122" s="236"/>
      <c r="U122" s="233"/>
      <c r="V122" s="233"/>
      <c r="W122" s="233"/>
      <c r="X122" s="238"/>
    </row>
    <row r="123" spans="1:24" s="3" customFormat="1">
      <c r="A123" s="233"/>
      <c r="B123" s="436"/>
      <c r="C123" s="436"/>
      <c r="D123" s="436"/>
      <c r="E123" s="436"/>
      <c r="F123" s="50"/>
      <c r="G123" s="62"/>
      <c r="H123" s="185"/>
      <c r="I123" s="186">
        <f t="shared" si="10"/>
        <v>0</v>
      </c>
      <c r="J123" s="59"/>
      <c r="K123" s="233"/>
      <c r="L123" s="233"/>
      <c r="M123" s="235"/>
      <c r="N123" s="236"/>
      <c r="O123" s="235"/>
      <c r="P123" s="236"/>
      <c r="Q123" s="236"/>
      <c r="R123" s="236"/>
      <c r="S123" s="237"/>
      <c r="T123" s="236"/>
      <c r="U123" s="233"/>
      <c r="V123" s="233"/>
      <c r="W123" s="233"/>
      <c r="X123" s="238"/>
    </row>
    <row r="124" spans="1:24" s="3" customFormat="1">
      <c r="A124" s="233"/>
      <c r="B124" s="436"/>
      <c r="C124" s="436"/>
      <c r="D124" s="436"/>
      <c r="E124" s="436"/>
      <c r="F124" s="50"/>
      <c r="G124" s="62"/>
      <c r="H124" s="185"/>
      <c r="I124" s="186">
        <f t="shared" si="10"/>
        <v>0</v>
      </c>
      <c r="J124" s="59"/>
      <c r="K124" s="233"/>
      <c r="L124" s="233"/>
      <c r="M124" s="235"/>
      <c r="N124" s="236"/>
      <c r="O124" s="235"/>
      <c r="P124" s="236"/>
      <c r="Q124" s="236"/>
      <c r="R124" s="236"/>
      <c r="S124" s="237"/>
      <c r="T124" s="236"/>
      <c r="U124" s="233"/>
      <c r="V124" s="233"/>
      <c r="W124" s="233"/>
      <c r="X124" s="238"/>
    </row>
    <row r="125" spans="1:24" s="3" customFormat="1">
      <c r="A125" s="233"/>
      <c r="B125" s="436"/>
      <c r="C125" s="436"/>
      <c r="D125" s="436"/>
      <c r="E125" s="436"/>
      <c r="F125" s="50"/>
      <c r="G125" s="62"/>
      <c r="H125" s="185"/>
      <c r="I125" s="186">
        <f t="shared" si="10"/>
        <v>0</v>
      </c>
      <c r="J125" s="59"/>
      <c r="K125" s="233"/>
      <c r="L125" s="233"/>
      <c r="M125" s="235"/>
      <c r="N125" s="236"/>
      <c r="O125" s="235"/>
      <c r="P125" s="236"/>
      <c r="Q125" s="236"/>
      <c r="R125" s="236"/>
      <c r="S125" s="237"/>
      <c r="T125" s="236"/>
      <c r="U125" s="233"/>
      <c r="V125" s="233"/>
      <c r="W125" s="233"/>
      <c r="X125" s="238"/>
    </row>
    <row r="126" spans="1:24" s="3" customFormat="1">
      <c r="A126" s="233"/>
      <c r="B126" s="436"/>
      <c r="C126" s="436"/>
      <c r="D126" s="436"/>
      <c r="E126" s="436"/>
      <c r="F126" s="50"/>
      <c r="G126" s="62"/>
      <c r="H126" s="185"/>
      <c r="I126" s="186">
        <f t="shared" si="10"/>
        <v>0</v>
      </c>
      <c r="J126" s="59"/>
      <c r="K126" s="233"/>
      <c r="L126" s="233"/>
      <c r="M126" s="235"/>
      <c r="N126" s="236"/>
      <c r="O126" s="235"/>
      <c r="P126" s="236"/>
      <c r="Q126" s="236"/>
      <c r="R126" s="236"/>
      <c r="S126" s="237"/>
      <c r="T126" s="236"/>
      <c r="U126" s="233"/>
      <c r="V126" s="233"/>
      <c r="W126" s="233"/>
      <c r="X126" s="238"/>
    </row>
    <row r="127" spans="1:24" s="3" customFormat="1">
      <c r="A127" s="233"/>
      <c r="B127" s="436"/>
      <c r="C127" s="436"/>
      <c r="D127" s="436"/>
      <c r="E127" s="436"/>
      <c r="F127" s="50"/>
      <c r="G127" s="62"/>
      <c r="H127" s="185"/>
      <c r="I127" s="186">
        <f t="shared" si="10"/>
        <v>0</v>
      </c>
      <c r="J127" s="59"/>
      <c r="K127" s="233"/>
      <c r="L127" s="233"/>
      <c r="M127" s="235"/>
      <c r="N127" s="236"/>
      <c r="O127" s="235"/>
      <c r="P127" s="236"/>
      <c r="Q127" s="236"/>
      <c r="R127" s="236"/>
      <c r="S127" s="237"/>
      <c r="T127" s="236"/>
      <c r="U127" s="233"/>
      <c r="V127" s="233"/>
      <c r="W127" s="233"/>
      <c r="X127" s="238"/>
    </row>
    <row r="128" spans="1:24" s="3" customFormat="1">
      <c r="A128" s="233"/>
      <c r="B128" s="436"/>
      <c r="C128" s="436"/>
      <c r="D128" s="436"/>
      <c r="E128" s="436"/>
      <c r="F128" s="50"/>
      <c r="G128" s="62"/>
      <c r="H128" s="185"/>
      <c r="I128" s="186">
        <f t="shared" si="10"/>
        <v>0</v>
      </c>
      <c r="J128" s="59"/>
      <c r="K128" s="233"/>
      <c r="L128" s="233"/>
      <c r="M128" s="235"/>
      <c r="N128" s="236"/>
      <c r="O128" s="235"/>
      <c r="P128" s="236"/>
      <c r="Q128" s="236"/>
      <c r="R128" s="236"/>
      <c r="S128" s="237"/>
      <c r="T128" s="236"/>
      <c r="U128" s="233"/>
      <c r="V128" s="233"/>
      <c r="W128" s="233"/>
      <c r="X128" s="238"/>
    </row>
    <row r="129" spans="1:24" s="3" customFormat="1">
      <c r="A129" s="233"/>
      <c r="B129" s="436"/>
      <c r="C129" s="436"/>
      <c r="D129" s="436"/>
      <c r="E129" s="436"/>
      <c r="F129" s="50"/>
      <c r="G129" s="62"/>
      <c r="H129" s="185"/>
      <c r="I129" s="186">
        <f t="shared" si="10"/>
        <v>0</v>
      </c>
      <c r="J129" s="59"/>
      <c r="K129" s="233"/>
      <c r="L129" s="233"/>
      <c r="M129" s="235"/>
      <c r="N129" s="236"/>
      <c r="O129" s="235"/>
      <c r="P129" s="236"/>
      <c r="Q129" s="236"/>
      <c r="R129" s="236"/>
      <c r="S129" s="237"/>
      <c r="T129" s="236"/>
      <c r="U129" s="233"/>
      <c r="V129" s="233"/>
      <c r="W129" s="233"/>
      <c r="X129" s="238"/>
    </row>
    <row r="130" spans="1:24" s="3" customFormat="1">
      <c r="A130" s="233"/>
      <c r="B130" s="436"/>
      <c r="C130" s="436"/>
      <c r="D130" s="436"/>
      <c r="E130" s="436"/>
      <c r="F130" s="50"/>
      <c r="G130" s="62"/>
      <c r="H130" s="185"/>
      <c r="I130" s="186">
        <f t="shared" si="10"/>
        <v>0</v>
      </c>
      <c r="J130" s="59"/>
      <c r="K130" s="233"/>
      <c r="L130" s="233"/>
      <c r="M130" s="235"/>
      <c r="N130" s="236"/>
      <c r="O130" s="235"/>
      <c r="P130" s="236"/>
      <c r="Q130" s="236"/>
      <c r="R130" s="236"/>
      <c r="S130" s="237"/>
      <c r="T130" s="236"/>
      <c r="U130" s="233"/>
      <c r="V130" s="233"/>
      <c r="W130" s="233"/>
      <c r="X130" s="238"/>
    </row>
    <row r="131" spans="1:24" s="3" customFormat="1">
      <c r="A131" s="233"/>
      <c r="B131" s="436"/>
      <c r="C131" s="436"/>
      <c r="D131" s="436"/>
      <c r="E131" s="436"/>
      <c r="F131" s="50"/>
      <c r="G131" s="62"/>
      <c r="H131" s="185"/>
      <c r="I131" s="186">
        <f t="shared" si="10"/>
        <v>0</v>
      </c>
      <c r="J131" s="59"/>
      <c r="K131" s="233"/>
      <c r="L131" s="233"/>
      <c r="M131" s="235"/>
      <c r="N131" s="236"/>
      <c r="O131" s="235"/>
      <c r="P131" s="236"/>
      <c r="Q131" s="236"/>
      <c r="R131" s="236"/>
      <c r="S131" s="237"/>
      <c r="T131" s="236"/>
      <c r="U131" s="233"/>
      <c r="V131" s="233"/>
      <c r="W131" s="233"/>
      <c r="X131" s="238"/>
    </row>
    <row r="132" spans="1:24" s="3" customFormat="1">
      <c r="A132" s="233"/>
      <c r="B132" s="436"/>
      <c r="C132" s="436"/>
      <c r="D132" s="436"/>
      <c r="E132" s="436"/>
      <c r="F132" s="50"/>
      <c r="G132" s="62"/>
      <c r="H132" s="185"/>
      <c r="I132" s="186">
        <f t="shared" si="10"/>
        <v>0</v>
      </c>
      <c r="J132" s="59"/>
      <c r="K132" s="233"/>
      <c r="L132" s="233"/>
      <c r="M132" s="235"/>
      <c r="N132" s="236"/>
      <c r="O132" s="235"/>
      <c r="P132" s="236"/>
      <c r="Q132" s="236"/>
      <c r="R132" s="236"/>
      <c r="S132" s="237"/>
      <c r="T132" s="236"/>
      <c r="U132" s="233"/>
      <c r="V132" s="233"/>
      <c r="W132" s="233"/>
      <c r="X132" s="238"/>
    </row>
    <row r="133" spans="1:24" s="3" customFormat="1">
      <c r="A133" s="233"/>
      <c r="B133" s="436"/>
      <c r="C133" s="436"/>
      <c r="D133" s="436"/>
      <c r="E133" s="436"/>
      <c r="F133" s="50"/>
      <c r="G133" s="62"/>
      <c r="H133" s="185"/>
      <c r="I133" s="186">
        <f t="shared" si="10"/>
        <v>0</v>
      </c>
      <c r="J133" s="59"/>
      <c r="K133" s="233"/>
      <c r="L133" s="233"/>
      <c r="M133" s="235"/>
      <c r="N133" s="236"/>
      <c r="O133" s="235"/>
      <c r="P133" s="236"/>
      <c r="Q133" s="236"/>
      <c r="R133" s="236"/>
      <c r="S133" s="237"/>
      <c r="T133" s="236"/>
      <c r="U133" s="233"/>
      <c r="V133" s="233"/>
      <c r="W133" s="233"/>
      <c r="X133" s="238"/>
    </row>
    <row r="134" spans="1:24" s="3" customFormat="1">
      <c r="A134" s="233"/>
      <c r="B134" s="436"/>
      <c r="C134" s="436"/>
      <c r="D134" s="436"/>
      <c r="E134" s="436"/>
      <c r="F134" s="50"/>
      <c r="G134" s="62"/>
      <c r="H134" s="185"/>
      <c r="I134" s="186">
        <f t="shared" si="10"/>
        <v>0</v>
      </c>
      <c r="J134" s="59"/>
      <c r="K134" s="233"/>
      <c r="L134" s="233"/>
      <c r="M134" s="235"/>
      <c r="N134" s="236"/>
      <c r="O134" s="235"/>
      <c r="P134" s="236"/>
      <c r="Q134" s="236"/>
      <c r="R134" s="236"/>
      <c r="S134" s="237"/>
      <c r="T134" s="236"/>
      <c r="U134" s="233"/>
      <c r="V134" s="233"/>
      <c r="W134" s="233"/>
      <c r="X134" s="238"/>
    </row>
    <row r="135" spans="1:24" s="3" customFormat="1">
      <c r="A135" s="233"/>
      <c r="B135" s="436"/>
      <c r="C135" s="436"/>
      <c r="D135" s="436"/>
      <c r="E135" s="436"/>
      <c r="F135" s="50"/>
      <c r="G135" s="62"/>
      <c r="H135" s="185"/>
      <c r="I135" s="186">
        <f t="shared" si="10"/>
        <v>0</v>
      </c>
      <c r="J135" s="59"/>
      <c r="K135" s="233"/>
      <c r="L135" s="233"/>
      <c r="M135" s="235"/>
      <c r="N135" s="236"/>
      <c r="O135" s="235"/>
      <c r="P135" s="236"/>
      <c r="Q135" s="236"/>
      <c r="R135" s="236"/>
      <c r="S135" s="237"/>
      <c r="T135" s="236"/>
      <c r="U135" s="233"/>
      <c r="V135" s="233"/>
      <c r="W135" s="233"/>
      <c r="X135" s="238"/>
    </row>
    <row r="136" spans="1:24" s="3" customFormat="1">
      <c r="A136" s="233"/>
      <c r="B136" s="436"/>
      <c r="C136" s="436"/>
      <c r="D136" s="436"/>
      <c r="E136" s="436"/>
      <c r="F136" s="50"/>
      <c r="G136" s="62"/>
      <c r="H136" s="185"/>
      <c r="I136" s="186">
        <f t="shared" si="10"/>
        <v>0</v>
      </c>
      <c r="J136" s="59"/>
      <c r="K136" s="233"/>
      <c r="L136" s="233"/>
      <c r="M136" s="235"/>
      <c r="N136" s="236"/>
      <c r="O136" s="235"/>
      <c r="P136" s="236"/>
      <c r="Q136" s="236"/>
      <c r="R136" s="236"/>
      <c r="S136" s="237"/>
      <c r="T136" s="236"/>
      <c r="U136" s="233"/>
      <c r="V136" s="233"/>
      <c r="W136" s="233"/>
      <c r="X136" s="238"/>
    </row>
    <row r="137" spans="1:24" s="3" customFormat="1">
      <c r="A137" s="233"/>
      <c r="B137" s="436"/>
      <c r="C137" s="436"/>
      <c r="D137" s="436"/>
      <c r="E137" s="436"/>
      <c r="F137" s="50"/>
      <c r="G137" s="62"/>
      <c r="H137" s="185"/>
      <c r="I137" s="186">
        <f t="shared" si="10"/>
        <v>0</v>
      </c>
      <c r="J137" s="59"/>
      <c r="K137" s="233"/>
      <c r="L137" s="233"/>
      <c r="M137" s="235"/>
      <c r="N137" s="236"/>
      <c r="O137" s="235"/>
      <c r="P137" s="236"/>
      <c r="Q137" s="236"/>
      <c r="R137" s="236"/>
      <c r="S137" s="237"/>
      <c r="T137" s="236"/>
      <c r="U137" s="233"/>
      <c r="V137" s="233"/>
      <c r="W137" s="233"/>
      <c r="X137" s="238"/>
    </row>
    <row r="138" spans="1:24" s="3" customFormat="1">
      <c r="A138" s="233"/>
      <c r="B138" s="436"/>
      <c r="C138" s="436"/>
      <c r="D138" s="436"/>
      <c r="E138" s="436"/>
      <c r="F138" s="50"/>
      <c r="G138" s="62"/>
      <c r="H138" s="185"/>
      <c r="I138" s="186">
        <f t="shared" si="10"/>
        <v>0</v>
      </c>
      <c r="J138" s="59"/>
      <c r="K138" s="233"/>
      <c r="L138" s="233"/>
      <c r="M138" s="235"/>
      <c r="N138" s="236"/>
      <c r="O138" s="235"/>
      <c r="P138" s="236"/>
      <c r="Q138" s="236"/>
      <c r="R138" s="236"/>
      <c r="S138" s="237"/>
      <c r="T138" s="236"/>
      <c r="U138" s="233"/>
      <c r="V138" s="233"/>
      <c r="W138" s="233"/>
      <c r="X138" s="238"/>
    </row>
    <row r="139" spans="1:24" s="3" customFormat="1">
      <c r="A139" s="233"/>
      <c r="B139" s="436"/>
      <c r="C139" s="436"/>
      <c r="D139" s="436"/>
      <c r="E139" s="436"/>
      <c r="F139" s="50"/>
      <c r="G139" s="62"/>
      <c r="H139" s="185"/>
      <c r="I139" s="186">
        <f t="shared" si="10"/>
        <v>0</v>
      </c>
      <c r="J139" s="59"/>
      <c r="K139" s="233"/>
      <c r="L139" s="233"/>
      <c r="M139" s="235"/>
      <c r="N139" s="236"/>
      <c r="O139" s="235"/>
      <c r="P139" s="236"/>
      <c r="Q139" s="236"/>
      <c r="R139" s="236"/>
      <c r="S139" s="237"/>
      <c r="T139" s="236"/>
      <c r="U139" s="233"/>
      <c r="V139" s="233"/>
      <c r="W139" s="233"/>
      <c r="X139" s="238"/>
    </row>
    <row r="140" spans="1:24" s="3" customFormat="1">
      <c r="A140" s="233"/>
      <c r="B140" s="436"/>
      <c r="C140" s="436"/>
      <c r="D140" s="436"/>
      <c r="E140" s="436"/>
      <c r="F140" s="50"/>
      <c r="G140" s="62"/>
      <c r="H140" s="185"/>
      <c r="I140" s="186">
        <f t="shared" si="10"/>
        <v>0</v>
      </c>
      <c r="J140" s="59"/>
      <c r="K140" s="233"/>
      <c r="L140" s="233"/>
      <c r="M140" s="235"/>
      <c r="N140" s="236"/>
      <c r="O140" s="235"/>
      <c r="P140" s="236"/>
      <c r="Q140" s="236"/>
      <c r="R140" s="236"/>
      <c r="S140" s="237"/>
      <c r="T140" s="236"/>
      <c r="U140" s="233"/>
      <c r="V140" s="233"/>
      <c r="W140" s="233"/>
      <c r="X140" s="238"/>
    </row>
    <row r="141" spans="1:24" s="3" customFormat="1">
      <c r="A141" s="233"/>
      <c r="B141" s="436"/>
      <c r="C141" s="436"/>
      <c r="D141" s="436"/>
      <c r="E141" s="436"/>
      <c r="F141" s="50"/>
      <c r="G141" s="62"/>
      <c r="H141" s="185"/>
      <c r="I141" s="186">
        <f t="shared" si="10"/>
        <v>0</v>
      </c>
      <c r="J141" s="59"/>
      <c r="K141" s="233"/>
      <c r="L141" s="233"/>
      <c r="M141" s="235"/>
      <c r="N141" s="236"/>
      <c r="O141" s="235"/>
      <c r="P141" s="236"/>
      <c r="Q141" s="236"/>
      <c r="R141" s="236"/>
      <c r="S141" s="237"/>
      <c r="T141" s="236"/>
      <c r="U141" s="233"/>
      <c r="V141" s="233"/>
      <c r="W141" s="233"/>
      <c r="X141" s="238"/>
    </row>
    <row r="142" spans="1:24" s="3" customFormat="1">
      <c r="A142" s="233"/>
      <c r="B142" s="436"/>
      <c r="C142" s="436"/>
      <c r="D142" s="436"/>
      <c r="E142" s="436"/>
      <c r="F142" s="50"/>
      <c r="G142" s="62"/>
      <c r="H142" s="185"/>
      <c r="I142" s="186">
        <f t="shared" si="10"/>
        <v>0</v>
      </c>
      <c r="J142" s="59"/>
      <c r="K142" s="233"/>
      <c r="L142" s="233"/>
      <c r="M142" s="235"/>
      <c r="N142" s="236"/>
      <c r="O142" s="235"/>
      <c r="P142" s="236"/>
      <c r="Q142" s="236"/>
      <c r="R142" s="236"/>
      <c r="S142" s="237"/>
      <c r="T142" s="236"/>
      <c r="U142" s="233"/>
      <c r="V142" s="233"/>
      <c r="W142" s="233"/>
      <c r="X142" s="238"/>
    </row>
    <row r="143" spans="1:24" s="3" customFormat="1">
      <c r="A143" s="233"/>
      <c r="B143" s="136"/>
      <c r="C143" s="11"/>
      <c r="D143" s="234"/>
      <c r="E143" s="11"/>
      <c r="F143" s="233"/>
      <c r="G143" s="233"/>
      <c r="H143" s="233"/>
      <c r="I143" s="233"/>
      <c r="J143" s="233"/>
      <c r="K143" s="233"/>
      <c r="L143" s="233"/>
      <c r="M143" s="235"/>
      <c r="N143" s="236"/>
      <c r="O143" s="235"/>
      <c r="P143" s="236"/>
      <c r="Q143" s="236"/>
      <c r="R143" s="236"/>
      <c r="S143" s="237"/>
      <c r="T143" s="236"/>
      <c r="U143" s="233"/>
      <c r="V143" s="233"/>
      <c r="W143" s="233"/>
      <c r="X143" s="238"/>
    </row>
    <row r="144" spans="1:24" customFormat="1">
      <c r="B144" s="63"/>
      <c r="C144" s="63"/>
      <c r="D144" s="7"/>
      <c r="E144" s="7"/>
      <c r="F144" s="7"/>
      <c r="G144" s="7"/>
      <c r="H144" s="7"/>
      <c r="I144" s="7"/>
      <c r="J144" s="7"/>
      <c r="K144" s="7"/>
      <c r="L144" s="7"/>
      <c r="M144" s="7"/>
      <c r="N144" s="7"/>
      <c r="O144" s="7"/>
      <c r="P144" s="7"/>
      <c r="Q144" s="7"/>
      <c r="R144" s="7"/>
      <c r="S144" s="7"/>
      <c r="T144" s="7"/>
    </row>
    <row r="145" spans="1:24" customFormat="1">
      <c r="B145" s="64"/>
      <c r="C145" s="64"/>
      <c r="D145" s="65"/>
      <c r="E145" s="65"/>
      <c r="F145" s="65"/>
      <c r="G145" s="65"/>
      <c r="H145" s="65"/>
      <c r="I145" s="65"/>
      <c r="J145" s="65"/>
      <c r="K145" s="65"/>
      <c r="L145" s="65"/>
      <c r="M145" s="65"/>
      <c r="N145" s="65"/>
      <c r="O145" s="7"/>
      <c r="P145" s="7"/>
      <c r="Q145" s="7"/>
      <c r="R145" s="7"/>
      <c r="S145" s="7"/>
      <c r="T145" s="7"/>
    </row>
    <row r="146" spans="1:24" s="3" customFormat="1">
      <c r="A146" s="233"/>
      <c r="B146" s="136"/>
      <c r="C146" s="11"/>
      <c r="D146" s="234"/>
      <c r="E146" s="11"/>
      <c r="F146" s="233"/>
      <c r="G146" s="233"/>
      <c r="H146" s="233"/>
      <c r="I146" s="233"/>
      <c r="J146" s="233"/>
      <c r="K146" s="233"/>
      <c r="L146" s="233"/>
      <c r="M146" s="235"/>
      <c r="N146" s="236"/>
      <c r="O146" s="235"/>
      <c r="P146" s="236"/>
      <c r="Q146" s="236"/>
      <c r="R146" s="236"/>
      <c r="S146" s="237"/>
      <c r="T146" s="236"/>
      <c r="U146" s="233"/>
      <c r="V146" s="233"/>
      <c r="W146" s="233"/>
      <c r="X146" s="238"/>
    </row>
    <row r="147" spans="1:24" s="3" customFormat="1" ht="18">
      <c r="A147" s="233"/>
      <c r="B147" s="251" t="s">
        <v>245</v>
      </c>
      <c r="C147" s="11"/>
      <c r="D147" s="234"/>
      <c r="E147" s="11"/>
      <c r="F147" s="233"/>
      <c r="G147" s="233"/>
      <c r="H147" s="233"/>
      <c r="I147" s="233"/>
      <c r="J147" s="233"/>
      <c r="K147" s="233"/>
      <c r="L147" s="233"/>
      <c r="M147" s="235"/>
      <c r="N147" s="236"/>
      <c r="O147" s="235"/>
      <c r="P147" s="236"/>
      <c r="Q147" s="236"/>
      <c r="R147" s="236"/>
      <c r="S147" s="237"/>
      <c r="T147" s="236"/>
      <c r="U147" s="233"/>
      <c r="V147" s="233"/>
      <c r="W147" s="233"/>
      <c r="X147" s="238"/>
    </row>
    <row r="148" spans="1:24" s="3" customFormat="1">
      <c r="A148" s="233"/>
      <c r="B148" s="242" t="s">
        <v>246</v>
      </c>
      <c r="C148" s="11"/>
      <c r="D148" s="234"/>
      <c r="E148" s="11"/>
      <c r="F148" s="233"/>
      <c r="G148" s="233"/>
      <c r="H148" s="233"/>
      <c r="I148" s="233"/>
      <c r="J148" s="233"/>
      <c r="K148" s="233"/>
      <c r="L148" s="233"/>
      <c r="M148" s="235"/>
      <c r="N148" s="236"/>
      <c r="O148" s="235"/>
      <c r="P148" s="236"/>
      <c r="Q148" s="236"/>
      <c r="R148" s="236"/>
      <c r="S148" s="237"/>
      <c r="T148" s="236"/>
      <c r="U148" s="233"/>
      <c r="V148" s="233"/>
      <c r="W148" s="233"/>
      <c r="X148" s="238"/>
    </row>
    <row r="149" spans="1:24" s="3" customFormat="1">
      <c r="A149" s="233"/>
      <c r="B149" s="445" t="s">
        <v>81</v>
      </c>
      <c r="C149" s="446"/>
      <c r="D149" s="445" t="s">
        <v>153</v>
      </c>
      <c r="E149" s="446"/>
      <c r="F149" s="124" t="s">
        <v>154</v>
      </c>
      <c r="G149" s="124" t="s">
        <v>155</v>
      </c>
      <c r="H149" s="124" t="s">
        <v>156</v>
      </c>
      <c r="I149" s="124" t="s">
        <v>157</v>
      </c>
      <c r="J149" s="126" t="s">
        <v>97</v>
      </c>
      <c r="K149" s="233"/>
      <c r="L149" s="233"/>
      <c r="M149" s="235"/>
      <c r="N149" s="236"/>
      <c r="O149" s="235"/>
      <c r="P149" s="236"/>
      <c r="Q149" s="236"/>
      <c r="R149" s="236"/>
      <c r="S149" s="237"/>
      <c r="T149" s="236"/>
      <c r="U149" s="233"/>
      <c r="V149" s="233"/>
      <c r="W149" s="233"/>
      <c r="X149" s="238"/>
    </row>
    <row r="150" spans="1:24" s="3" customFormat="1">
      <c r="A150" s="233"/>
      <c r="B150" s="435" t="s">
        <v>151</v>
      </c>
      <c r="C150" s="435"/>
      <c r="D150" s="436" t="s">
        <v>366</v>
      </c>
      <c r="E150" s="436"/>
      <c r="F150" s="50">
        <v>1</v>
      </c>
      <c r="G150" s="62">
        <v>1</v>
      </c>
      <c r="H150" s="185">
        <v>1500</v>
      </c>
      <c r="I150" s="186">
        <f t="shared" ref="I150:I159" si="11">IF(B150=0,0,H150*G150*F150)</f>
        <v>1500</v>
      </c>
      <c r="J150" s="59"/>
      <c r="K150" s="233"/>
      <c r="L150" s="233"/>
      <c r="M150" s="235"/>
      <c r="N150" s="236"/>
      <c r="O150" s="235"/>
      <c r="P150" s="236"/>
      <c r="Q150" s="236"/>
      <c r="R150" s="236"/>
      <c r="S150" s="237"/>
      <c r="T150" s="236"/>
      <c r="U150" s="233"/>
      <c r="V150" s="233"/>
      <c r="W150" s="233"/>
      <c r="X150" s="238"/>
    </row>
    <row r="151" spans="1:24" s="3" customFormat="1">
      <c r="A151" s="233"/>
      <c r="B151" s="435" t="s">
        <v>151</v>
      </c>
      <c r="C151" s="435"/>
      <c r="D151" s="436"/>
      <c r="E151" s="436"/>
      <c r="F151" s="50"/>
      <c r="G151" s="62"/>
      <c r="H151" s="185"/>
      <c r="I151" s="186">
        <f t="shared" si="11"/>
        <v>0</v>
      </c>
      <c r="J151" s="59"/>
      <c r="K151" s="233"/>
      <c r="L151" s="233"/>
      <c r="M151" s="235"/>
      <c r="N151" s="236"/>
      <c r="O151" s="235"/>
      <c r="P151" s="236"/>
      <c r="Q151" s="236"/>
      <c r="R151" s="236"/>
      <c r="S151" s="237"/>
      <c r="T151" s="236"/>
      <c r="U151" s="233"/>
      <c r="V151" s="233"/>
      <c r="W151" s="233"/>
      <c r="X151" s="238"/>
    </row>
    <row r="152" spans="1:24" s="3" customFormat="1">
      <c r="A152" s="233"/>
      <c r="B152" s="435" t="s">
        <v>151</v>
      </c>
      <c r="C152" s="435"/>
      <c r="D152" s="436"/>
      <c r="E152" s="436"/>
      <c r="F152" s="50"/>
      <c r="G152" s="62"/>
      <c r="H152" s="185"/>
      <c r="I152" s="186">
        <f t="shared" si="11"/>
        <v>0</v>
      </c>
      <c r="J152" s="59"/>
      <c r="K152" s="233"/>
      <c r="L152" s="233"/>
      <c r="M152" s="235"/>
      <c r="N152" s="236"/>
      <c r="O152" s="235"/>
      <c r="P152" s="236"/>
      <c r="Q152" s="236"/>
      <c r="R152" s="236"/>
      <c r="S152" s="237"/>
      <c r="T152" s="236"/>
      <c r="U152" s="233"/>
      <c r="V152" s="233"/>
      <c r="W152" s="233"/>
      <c r="X152" s="238"/>
    </row>
    <row r="153" spans="1:24" s="3" customFormat="1">
      <c r="A153" s="233"/>
      <c r="B153" s="435" t="s">
        <v>151</v>
      </c>
      <c r="C153" s="435"/>
      <c r="D153" s="436"/>
      <c r="E153" s="436"/>
      <c r="F153" s="50"/>
      <c r="G153" s="62"/>
      <c r="H153" s="185"/>
      <c r="I153" s="186">
        <f t="shared" si="11"/>
        <v>0</v>
      </c>
      <c r="J153" s="59"/>
      <c r="K153" s="233"/>
      <c r="L153" s="233"/>
      <c r="M153" s="235"/>
      <c r="N153" s="236"/>
      <c r="O153" s="235"/>
      <c r="P153" s="236"/>
      <c r="Q153" s="236"/>
      <c r="R153" s="236"/>
      <c r="S153" s="237"/>
      <c r="T153" s="236"/>
      <c r="U153" s="233"/>
      <c r="V153" s="233"/>
      <c r="W153" s="233"/>
      <c r="X153" s="238"/>
    </row>
    <row r="154" spans="1:24" s="3" customFormat="1">
      <c r="A154" s="233"/>
      <c r="B154" s="435" t="s">
        <v>151</v>
      </c>
      <c r="C154" s="435"/>
      <c r="D154" s="436"/>
      <c r="E154" s="436"/>
      <c r="F154" s="50"/>
      <c r="G154" s="62"/>
      <c r="H154" s="185"/>
      <c r="I154" s="186">
        <f t="shared" si="11"/>
        <v>0</v>
      </c>
      <c r="J154" s="59"/>
      <c r="K154" s="233"/>
      <c r="L154" s="233"/>
      <c r="M154" s="235"/>
      <c r="N154" s="236"/>
      <c r="O154" s="235"/>
      <c r="P154" s="236"/>
      <c r="Q154" s="236"/>
      <c r="R154" s="236"/>
      <c r="S154" s="237"/>
      <c r="T154" s="236"/>
      <c r="U154" s="233"/>
      <c r="V154" s="233"/>
      <c r="W154" s="233"/>
      <c r="X154" s="238"/>
    </row>
    <row r="155" spans="1:24" s="3" customFormat="1">
      <c r="A155" s="233"/>
      <c r="B155" s="435" t="s">
        <v>151</v>
      </c>
      <c r="C155" s="435"/>
      <c r="D155" s="436"/>
      <c r="E155" s="436"/>
      <c r="F155" s="50"/>
      <c r="G155" s="62"/>
      <c r="H155" s="185"/>
      <c r="I155" s="186">
        <f t="shared" si="11"/>
        <v>0</v>
      </c>
      <c r="J155" s="59"/>
      <c r="K155" s="233"/>
      <c r="L155" s="233"/>
      <c r="M155" s="235"/>
      <c r="N155" s="236"/>
      <c r="O155" s="235"/>
      <c r="P155" s="236"/>
      <c r="Q155" s="236"/>
      <c r="R155" s="236"/>
      <c r="S155" s="237"/>
      <c r="T155" s="236"/>
      <c r="U155" s="233"/>
      <c r="V155" s="233"/>
      <c r="W155" s="233"/>
      <c r="X155" s="238"/>
    </row>
    <row r="156" spans="1:24" s="3" customFormat="1">
      <c r="A156" s="233"/>
      <c r="B156" s="435" t="s">
        <v>151</v>
      </c>
      <c r="C156" s="435"/>
      <c r="D156" s="436"/>
      <c r="E156" s="436"/>
      <c r="F156" s="50"/>
      <c r="G156" s="62"/>
      <c r="H156" s="185"/>
      <c r="I156" s="186">
        <f t="shared" si="11"/>
        <v>0</v>
      </c>
      <c r="J156" s="59"/>
      <c r="K156" s="233"/>
      <c r="L156" s="233"/>
      <c r="M156" s="235"/>
      <c r="N156" s="236"/>
      <c r="O156" s="235"/>
      <c r="P156" s="236"/>
      <c r="Q156" s="236"/>
      <c r="R156" s="236"/>
      <c r="S156" s="237"/>
      <c r="T156" s="236"/>
      <c r="U156" s="233"/>
      <c r="V156" s="233"/>
      <c r="W156" s="233"/>
      <c r="X156" s="238"/>
    </row>
    <row r="157" spans="1:24" s="3" customFormat="1">
      <c r="A157" s="233"/>
      <c r="B157" s="435" t="s">
        <v>151</v>
      </c>
      <c r="C157" s="435"/>
      <c r="D157" s="436"/>
      <c r="E157" s="436"/>
      <c r="F157" s="50"/>
      <c r="G157" s="62"/>
      <c r="H157" s="185"/>
      <c r="I157" s="186">
        <f t="shared" si="11"/>
        <v>0</v>
      </c>
      <c r="J157" s="59"/>
      <c r="K157" s="233"/>
      <c r="L157" s="233"/>
      <c r="M157" s="235"/>
      <c r="N157" s="236"/>
      <c r="O157" s="235"/>
      <c r="P157" s="236"/>
      <c r="Q157" s="236"/>
      <c r="R157" s="236"/>
      <c r="S157" s="237"/>
      <c r="T157" s="236"/>
      <c r="U157" s="233"/>
      <c r="V157" s="233"/>
      <c r="W157" s="233"/>
      <c r="X157" s="238"/>
    </row>
    <row r="158" spans="1:24" s="3" customFormat="1">
      <c r="A158" s="233"/>
      <c r="B158" s="435" t="s">
        <v>151</v>
      </c>
      <c r="C158" s="435"/>
      <c r="D158" s="436"/>
      <c r="E158" s="436"/>
      <c r="F158" s="50"/>
      <c r="G158" s="62"/>
      <c r="H158" s="185"/>
      <c r="I158" s="186">
        <f t="shared" si="11"/>
        <v>0</v>
      </c>
      <c r="J158" s="59"/>
      <c r="K158" s="233"/>
      <c r="L158" s="233"/>
      <c r="M158" s="235"/>
      <c r="N158" s="236"/>
      <c r="O158" s="235"/>
      <c r="P158" s="236"/>
      <c r="Q158" s="236"/>
      <c r="R158" s="236"/>
      <c r="S158" s="237"/>
      <c r="T158" s="236"/>
      <c r="U158" s="233"/>
      <c r="V158" s="233"/>
      <c r="W158" s="233"/>
      <c r="X158" s="238"/>
    </row>
    <row r="159" spans="1:24" s="3" customFormat="1">
      <c r="A159" s="233"/>
      <c r="B159" s="435" t="s">
        <v>151</v>
      </c>
      <c r="C159" s="435"/>
      <c r="D159" s="436"/>
      <c r="E159" s="436"/>
      <c r="F159" s="50"/>
      <c r="G159" s="62"/>
      <c r="H159" s="185"/>
      <c r="I159" s="186">
        <f t="shared" si="11"/>
        <v>0</v>
      </c>
      <c r="J159" s="59"/>
      <c r="K159" s="233"/>
      <c r="L159" s="233"/>
      <c r="M159" s="235"/>
      <c r="N159" s="236"/>
      <c r="O159" s="235"/>
      <c r="P159" s="236"/>
      <c r="Q159" s="236"/>
      <c r="R159" s="236"/>
      <c r="S159" s="237"/>
      <c r="T159" s="236"/>
      <c r="U159" s="233"/>
      <c r="V159" s="233"/>
      <c r="W159" s="233"/>
      <c r="X159" s="238"/>
    </row>
    <row r="160" spans="1:24" s="3" customFormat="1">
      <c r="A160" s="233"/>
      <c r="B160" s="233"/>
      <c r="C160" s="233"/>
      <c r="D160" s="233"/>
      <c r="E160" s="233"/>
      <c r="F160" s="233"/>
      <c r="G160" s="233"/>
      <c r="H160" s="233"/>
      <c r="I160" s="233"/>
      <c r="J160" s="233"/>
      <c r="K160" s="233"/>
      <c r="L160" s="233"/>
      <c r="M160" s="235"/>
      <c r="N160" s="236"/>
      <c r="O160" s="235"/>
      <c r="P160" s="236"/>
      <c r="Q160" s="236"/>
      <c r="R160" s="236"/>
      <c r="S160" s="237"/>
      <c r="T160" s="236"/>
      <c r="U160" s="233"/>
      <c r="V160" s="233"/>
      <c r="W160" s="233"/>
      <c r="X160" s="238"/>
    </row>
    <row r="161" spans="1:24" s="3" customFormat="1">
      <c r="A161" s="233"/>
      <c r="B161" s="136"/>
      <c r="C161" s="11"/>
      <c r="D161" s="234"/>
      <c r="E161" s="11"/>
      <c r="F161" s="233"/>
      <c r="G161" s="233"/>
      <c r="H161" s="233"/>
      <c r="I161" s="233"/>
      <c r="J161" s="233"/>
      <c r="K161" s="233"/>
      <c r="L161" s="233"/>
      <c r="M161" s="235"/>
      <c r="N161" s="236"/>
      <c r="O161" s="235"/>
      <c r="P161" s="236"/>
      <c r="Q161" s="236"/>
      <c r="R161" s="236"/>
      <c r="S161" s="237"/>
      <c r="T161" s="236"/>
      <c r="U161" s="233"/>
      <c r="V161" s="233"/>
      <c r="W161" s="233"/>
      <c r="X161" s="238"/>
    </row>
    <row r="162" spans="1:24" s="181" customFormat="1" ht="18">
      <c r="A162" s="244"/>
      <c r="B162" s="251" t="s">
        <v>247</v>
      </c>
      <c r="C162" s="245"/>
      <c r="D162" s="246"/>
      <c r="E162" s="245"/>
      <c r="F162" s="244"/>
      <c r="G162" s="244"/>
      <c r="H162" s="244"/>
      <c r="I162" s="244"/>
      <c r="J162" s="244"/>
      <c r="K162" s="244"/>
      <c r="L162" s="244"/>
      <c r="M162" s="247"/>
      <c r="N162" s="248"/>
      <c r="O162" s="247"/>
      <c r="P162" s="248"/>
      <c r="Q162" s="248"/>
      <c r="R162" s="248"/>
      <c r="S162" s="249"/>
      <c r="T162" s="248"/>
      <c r="U162" s="244"/>
      <c r="V162" s="244"/>
      <c r="W162" s="244"/>
      <c r="X162" s="250"/>
    </row>
    <row r="163" spans="1:24" s="3" customFormat="1">
      <c r="A163" s="233"/>
      <c r="B163" s="242" t="s">
        <v>248</v>
      </c>
      <c r="C163" s="11"/>
      <c r="D163" s="234"/>
      <c r="E163" s="11"/>
      <c r="F163" s="233"/>
      <c r="G163" s="233"/>
      <c r="H163" s="233"/>
      <c r="I163" s="233"/>
      <c r="J163" s="233"/>
      <c r="K163" s="233"/>
      <c r="L163" s="233"/>
      <c r="M163" s="235"/>
      <c r="N163" s="236"/>
      <c r="O163" s="235"/>
      <c r="P163" s="236"/>
      <c r="Q163" s="236"/>
      <c r="R163" s="236"/>
      <c r="S163" s="237"/>
      <c r="T163" s="236"/>
      <c r="U163" s="233"/>
      <c r="V163" s="233"/>
      <c r="W163" s="233"/>
      <c r="X163" s="238"/>
    </row>
    <row r="164" spans="1:24" s="3" customFormat="1">
      <c r="A164" s="233"/>
      <c r="B164" s="445" t="s">
        <v>81</v>
      </c>
      <c r="C164" s="446"/>
      <c r="D164" s="445" t="s">
        <v>153</v>
      </c>
      <c r="E164" s="446"/>
      <c r="F164" s="124" t="s">
        <v>154</v>
      </c>
      <c r="G164" s="124" t="s">
        <v>155</v>
      </c>
      <c r="H164" s="124" t="s">
        <v>156</v>
      </c>
      <c r="I164" s="124" t="s">
        <v>157</v>
      </c>
      <c r="J164" s="126" t="s">
        <v>97</v>
      </c>
      <c r="K164" s="233"/>
      <c r="L164" s="233"/>
      <c r="M164" s="235"/>
      <c r="N164" s="236"/>
      <c r="O164" s="235"/>
      <c r="P164" s="236"/>
      <c r="Q164" s="236"/>
      <c r="R164" s="236"/>
      <c r="S164" s="237"/>
      <c r="T164" s="236"/>
      <c r="U164" s="233"/>
      <c r="V164" s="233"/>
      <c r="W164" s="233"/>
      <c r="X164" s="238"/>
    </row>
    <row r="165" spans="1:24" s="3" customFormat="1">
      <c r="A165" s="233"/>
      <c r="B165" s="435" t="s">
        <v>151</v>
      </c>
      <c r="C165" s="435"/>
      <c r="D165" s="436" t="s">
        <v>367</v>
      </c>
      <c r="E165" s="436"/>
      <c r="F165" s="50">
        <v>1</v>
      </c>
      <c r="G165" s="62">
        <f>3/12</f>
        <v>0.25</v>
      </c>
      <c r="H165" s="185">
        <v>350</v>
      </c>
      <c r="I165" s="186">
        <f t="shared" ref="I165:I174" si="12">IF(B165=0,0,H165*G165*F165)</f>
        <v>87.5</v>
      </c>
      <c r="J165" s="59"/>
      <c r="K165" s="233"/>
      <c r="L165" s="233"/>
      <c r="M165" s="235"/>
      <c r="N165" s="236"/>
      <c r="O165" s="235"/>
      <c r="P165" s="236"/>
      <c r="Q165" s="236"/>
      <c r="R165" s="236"/>
      <c r="S165" s="237"/>
      <c r="T165" s="236"/>
      <c r="U165" s="233"/>
      <c r="V165" s="233"/>
      <c r="W165" s="233"/>
      <c r="X165" s="238"/>
    </row>
    <row r="166" spans="1:24" s="3" customFormat="1">
      <c r="A166" s="233"/>
      <c r="B166" s="435" t="s">
        <v>151</v>
      </c>
      <c r="C166" s="435"/>
      <c r="D166" s="436"/>
      <c r="E166" s="436"/>
      <c r="F166" s="50"/>
      <c r="G166" s="62"/>
      <c r="H166" s="185"/>
      <c r="I166" s="186">
        <f t="shared" si="12"/>
        <v>0</v>
      </c>
      <c r="J166" s="59"/>
      <c r="K166" s="233"/>
      <c r="L166" s="233"/>
      <c r="M166" s="235"/>
      <c r="N166" s="236"/>
      <c r="O166" s="235"/>
      <c r="P166" s="236"/>
      <c r="Q166" s="236"/>
      <c r="R166" s="236"/>
      <c r="S166" s="237"/>
      <c r="T166" s="236"/>
      <c r="U166" s="233"/>
      <c r="V166" s="233"/>
      <c r="W166" s="233"/>
      <c r="X166" s="238"/>
    </row>
    <row r="167" spans="1:24" s="3" customFormat="1">
      <c r="A167" s="233"/>
      <c r="B167" s="435" t="s">
        <v>151</v>
      </c>
      <c r="C167" s="435"/>
      <c r="D167" s="436"/>
      <c r="E167" s="436"/>
      <c r="F167" s="50"/>
      <c r="G167" s="62"/>
      <c r="H167" s="185"/>
      <c r="I167" s="186">
        <f t="shared" si="12"/>
        <v>0</v>
      </c>
      <c r="J167" s="59"/>
      <c r="K167" s="233"/>
      <c r="L167" s="233"/>
      <c r="M167" s="235"/>
      <c r="N167" s="236"/>
      <c r="O167" s="235"/>
      <c r="P167" s="236"/>
      <c r="Q167" s="236"/>
      <c r="R167" s="236"/>
      <c r="S167" s="237"/>
      <c r="T167" s="236"/>
      <c r="U167" s="233"/>
      <c r="V167" s="233"/>
      <c r="W167" s="233"/>
      <c r="X167" s="238"/>
    </row>
    <row r="168" spans="1:24" s="3" customFormat="1">
      <c r="A168" s="233"/>
      <c r="B168" s="435" t="s">
        <v>151</v>
      </c>
      <c r="C168" s="435"/>
      <c r="D168" s="436"/>
      <c r="E168" s="436"/>
      <c r="F168" s="50"/>
      <c r="G168" s="62"/>
      <c r="H168" s="185"/>
      <c r="I168" s="186">
        <f t="shared" si="12"/>
        <v>0</v>
      </c>
      <c r="J168" s="59"/>
      <c r="K168" s="233"/>
      <c r="L168" s="233"/>
      <c r="M168" s="235"/>
      <c r="N168" s="236"/>
      <c r="O168" s="235"/>
      <c r="P168" s="236"/>
      <c r="Q168" s="236"/>
      <c r="R168" s="236"/>
      <c r="S168" s="237"/>
      <c r="T168" s="236"/>
      <c r="U168" s="233"/>
      <c r="V168" s="233"/>
      <c r="W168" s="233"/>
      <c r="X168" s="238"/>
    </row>
    <row r="169" spans="1:24" s="3" customFormat="1">
      <c r="A169" s="233"/>
      <c r="B169" s="435" t="s">
        <v>151</v>
      </c>
      <c r="C169" s="435"/>
      <c r="D169" s="436"/>
      <c r="E169" s="436"/>
      <c r="F169" s="50"/>
      <c r="G169" s="62"/>
      <c r="H169" s="185"/>
      <c r="I169" s="186">
        <f t="shared" si="12"/>
        <v>0</v>
      </c>
      <c r="J169" s="59"/>
      <c r="K169" s="233"/>
      <c r="L169" s="233"/>
      <c r="M169" s="235"/>
      <c r="N169" s="236"/>
      <c r="O169" s="235"/>
      <c r="P169" s="236"/>
      <c r="Q169" s="236"/>
      <c r="R169" s="236"/>
      <c r="S169" s="237"/>
      <c r="T169" s="236"/>
      <c r="U169" s="233"/>
      <c r="V169" s="233"/>
      <c r="W169" s="233"/>
      <c r="X169" s="238"/>
    </row>
    <row r="170" spans="1:24" s="3" customFormat="1">
      <c r="A170" s="233"/>
      <c r="B170" s="435" t="s">
        <v>151</v>
      </c>
      <c r="C170" s="435"/>
      <c r="D170" s="436"/>
      <c r="E170" s="436"/>
      <c r="F170" s="50"/>
      <c r="G170" s="62"/>
      <c r="H170" s="185"/>
      <c r="I170" s="186">
        <f t="shared" si="12"/>
        <v>0</v>
      </c>
      <c r="J170" s="59"/>
      <c r="K170" s="233"/>
      <c r="L170" s="233"/>
      <c r="M170" s="235"/>
      <c r="N170" s="236"/>
      <c r="O170" s="235"/>
      <c r="P170" s="236"/>
      <c r="Q170" s="236"/>
      <c r="R170" s="236"/>
      <c r="S170" s="237"/>
      <c r="T170" s="236"/>
      <c r="U170" s="233"/>
      <c r="V170" s="233"/>
      <c r="W170" s="233"/>
      <c r="X170" s="238"/>
    </row>
    <row r="171" spans="1:24" s="3" customFormat="1">
      <c r="A171" s="233"/>
      <c r="B171" s="435" t="s">
        <v>151</v>
      </c>
      <c r="C171" s="435"/>
      <c r="D171" s="436"/>
      <c r="E171" s="436"/>
      <c r="F171" s="50"/>
      <c r="G171" s="62"/>
      <c r="H171" s="185"/>
      <c r="I171" s="186">
        <f t="shared" si="12"/>
        <v>0</v>
      </c>
      <c r="J171" s="59"/>
      <c r="K171" s="233"/>
      <c r="L171" s="233"/>
      <c r="M171" s="235"/>
      <c r="N171" s="236"/>
      <c r="O171" s="235"/>
      <c r="P171" s="236"/>
      <c r="Q171" s="236"/>
      <c r="R171" s="236"/>
      <c r="S171" s="237"/>
      <c r="T171" s="236"/>
      <c r="U171" s="233"/>
      <c r="V171" s="233"/>
      <c r="W171" s="233"/>
      <c r="X171" s="238"/>
    </row>
    <row r="172" spans="1:24" s="3" customFormat="1">
      <c r="A172" s="233"/>
      <c r="B172" s="435" t="s">
        <v>151</v>
      </c>
      <c r="C172" s="435"/>
      <c r="D172" s="436"/>
      <c r="E172" s="436"/>
      <c r="F172" s="50"/>
      <c r="G172" s="62"/>
      <c r="H172" s="185"/>
      <c r="I172" s="186">
        <f t="shared" si="12"/>
        <v>0</v>
      </c>
      <c r="J172" s="59"/>
      <c r="K172" s="233"/>
      <c r="L172" s="233"/>
      <c r="M172" s="235"/>
      <c r="N172" s="236"/>
      <c r="O172" s="235"/>
      <c r="P172" s="236"/>
      <c r="Q172" s="236"/>
      <c r="R172" s="236"/>
      <c r="S172" s="237"/>
      <c r="T172" s="236"/>
      <c r="U172" s="233"/>
      <c r="V172" s="233"/>
      <c r="W172" s="233"/>
      <c r="X172" s="238"/>
    </row>
    <row r="173" spans="1:24" s="3" customFormat="1">
      <c r="A173" s="233"/>
      <c r="B173" s="435" t="s">
        <v>151</v>
      </c>
      <c r="C173" s="435"/>
      <c r="D173" s="436"/>
      <c r="E173" s="436"/>
      <c r="F173" s="50"/>
      <c r="G173" s="62"/>
      <c r="H173" s="185"/>
      <c r="I173" s="186">
        <f t="shared" si="12"/>
        <v>0</v>
      </c>
      <c r="J173" s="59"/>
      <c r="K173" s="233"/>
      <c r="L173" s="233"/>
      <c r="M173" s="235"/>
      <c r="N173" s="236"/>
      <c r="O173" s="235"/>
      <c r="P173" s="236"/>
      <c r="Q173" s="236"/>
      <c r="R173" s="236"/>
      <c r="S173" s="237"/>
      <c r="T173" s="236"/>
      <c r="U173" s="233"/>
      <c r="V173" s="233"/>
      <c r="W173" s="233"/>
      <c r="X173" s="238"/>
    </row>
    <row r="174" spans="1:24" s="3" customFormat="1">
      <c r="A174" s="233"/>
      <c r="B174" s="435" t="s">
        <v>151</v>
      </c>
      <c r="C174" s="435"/>
      <c r="D174" s="436"/>
      <c r="E174" s="436"/>
      <c r="F174" s="50"/>
      <c r="G174" s="62"/>
      <c r="H174" s="185"/>
      <c r="I174" s="186">
        <f t="shared" si="12"/>
        <v>0</v>
      </c>
      <c r="J174" s="59"/>
      <c r="K174" s="233"/>
      <c r="L174" s="233"/>
      <c r="M174" s="235"/>
      <c r="N174" s="236"/>
      <c r="O174" s="235"/>
      <c r="P174" s="236"/>
      <c r="Q174" s="236"/>
      <c r="R174" s="236"/>
      <c r="S174" s="237"/>
      <c r="T174" s="236"/>
      <c r="U174" s="233"/>
      <c r="V174" s="233"/>
      <c r="W174" s="233"/>
      <c r="X174" s="238"/>
    </row>
    <row r="175" spans="1:24" s="3" customFormat="1">
      <c r="A175" s="233"/>
      <c r="B175" s="136"/>
      <c r="C175" s="11"/>
      <c r="D175" s="234"/>
      <c r="E175" s="11"/>
      <c r="F175" s="233"/>
      <c r="G175" s="233"/>
      <c r="H175" s="233"/>
      <c r="I175" s="233"/>
      <c r="J175" s="233"/>
      <c r="K175" s="233"/>
      <c r="L175" s="233"/>
      <c r="M175" s="235"/>
      <c r="N175" s="236"/>
      <c r="O175" s="235"/>
      <c r="P175" s="236"/>
      <c r="Q175" s="236"/>
      <c r="R175" s="236"/>
      <c r="S175" s="237"/>
      <c r="T175" s="236"/>
      <c r="U175" s="233"/>
      <c r="V175" s="233"/>
      <c r="W175" s="233"/>
      <c r="X175" s="238"/>
    </row>
    <row r="176" spans="1:24" s="3" customFormat="1">
      <c r="A176" s="233"/>
      <c r="B176" s="136"/>
      <c r="C176" s="11"/>
      <c r="D176" s="234"/>
      <c r="E176" s="11"/>
      <c r="F176" s="233"/>
      <c r="G176" s="233"/>
      <c r="H176" s="233"/>
      <c r="I176" s="233"/>
      <c r="J176" s="233"/>
      <c r="K176" s="233"/>
      <c r="L176" s="233"/>
      <c r="M176" s="235"/>
      <c r="N176" s="236"/>
      <c r="O176" s="235"/>
      <c r="P176" s="236"/>
      <c r="Q176" s="236"/>
      <c r="R176" s="236"/>
      <c r="S176" s="237"/>
      <c r="T176" s="236"/>
      <c r="U176" s="233"/>
      <c r="V176" s="233"/>
      <c r="W176" s="233"/>
      <c r="X176" s="238"/>
    </row>
    <row r="177" spans="1:24" s="181" customFormat="1" ht="18">
      <c r="A177" s="244"/>
      <c r="B177" s="251" t="s">
        <v>249</v>
      </c>
      <c r="C177" s="245"/>
      <c r="D177" s="246"/>
      <c r="E177" s="245"/>
      <c r="F177" s="244"/>
      <c r="G177" s="244"/>
      <c r="H177" s="244"/>
      <c r="I177" s="244"/>
      <c r="J177" s="244"/>
      <c r="K177" s="244"/>
      <c r="L177" s="244"/>
      <c r="M177" s="247"/>
      <c r="N177" s="248"/>
      <c r="O177" s="247"/>
      <c r="P177" s="248"/>
      <c r="Q177" s="248"/>
      <c r="R177" s="248"/>
      <c r="S177" s="249"/>
      <c r="T177" s="248"/>
      <c r="U177" s="244"/>
      <c r="V177" s="244"/>
      <c r="W177" s="244"/>
      <c r="X177" s="250"/>
    </row>
    <row r="178" spans="1:24" s="3" customFormat="1">
      <c r="A178" s="233"/>
      <c r="B178" s="242" t="s">
        <v>250</v>
      </c>
      <c r="C178" s="11"/>
      <c r="D178" s="234"/>
      <c r="E178" s="11"/>
      <c r="F178" s="233"/>
      <c r="G178" s="233"/>
      <c r="H178" s="233"/>
      <c r="I178" s="233"/>
      <c r="J178" s="233"/>
      <c r="K178" s="233"/>
      <c r="L178" s="233"/>
      <c r="M178" s="235"/>
      <c r="N178" s="236"/>
      <c r="O178" s="235"/>
      <c r="P178" s="236"/>
      <c r="Q178" s="236"/>
      <c r="R178" s="236"/>
      <c r="S178" s="237"/>
      <c r="T178" s="236"/>
      <c r="U178" s="233"/>
      <c r="V178" s="233"/>
      <c r="W178" s="233"/>
      <c r="X178" s="238"/>
    </row>
    <row r="179" spans="1:24" s="3" customFormat="1">
      <c r="A179" s="233"/>
      <c r="B179" s="445" t="s">
        <v>81</v>
      </c>
      <c r="C179" s="446"/>
      <c r="D179" s="445" t="s">
        <v>153</v>
      </c>
      <c r="E179" s="446"/>
      <c r="F179" s="124" t="s">
        <v>154</v>
      </c>
      <c r="G179" s="124" t="s">
        <v>155</v>
      </c>
      <c r="H179" s="124" t="s">
        <v>156</v>
      </c>
      <c r="I179" s="124" t="s">
        <v>157</v>
      </c>
      <c r="J179" s="126" t="s">
        <v>97</v>
      </c>
      <c r="K179" s="233"/>
      <c r="L179" s="233"/>
      <c r="M179" s="235"/>
      <c r="N179" s="236"/>
      <c r="O179" s="235"/>
      <c r="P179" s="236"/>
      <c r="Q179" s="236"/>
      <c r="R179" s="236"/>
      <c r="S179" s="237"/>
      <c r="T179" s="236"/>
      <c r="U179" s="233"/>
      <c r="V179" s="233"/>
      <c r="W179" s="233"/>
      <c r="X179" s="238"/>
    </row>
    <row r="180" spans="1:24" s="3" customFormat="1">
      <c r="A180" s="233"/>
      <c r="B180" s="435" t="s">
        <v>151</v>
      </c>
      <c r="C180" s="435"/>
      <c r="D180" s="436" t="s">
        <v>368</v>
      </c>
      <c r="E180" s="436"/>
      <c r="F180" s="50">
        <v>1</v>
      </c>
      <c r="G180" s="62">
        <v>1</v>
      </c>
      <c r="H180" s="185">
        <v>57</v>
      </c>
      <c r="I180" s="186">
        <f t="shared" ref="I180:I189" si="13">IF(B180=0,0,H180*G180*F180)</f>
        <v>57</v>
      </c>
      <c r="J180" s="59"/>
      <c r="K180" s="233"/>
      <c r="L180" s="233"/>
      <c r="M180" s="235"/>
      <c r="N180" s="236"/>
      <c r="O180" s="235"/>
      <c r="P180" s="236"/>
      <c r="Q180" s="236"/>
      <c r="R180" s="236"/>
      <c r="S180" s="237"/>
      <c r="T180" s="236"/>
      <c r="U180" s="233"/>
      <c r="V180" s="233"/>
      <c r="W180" s="233"/>
      <c r="X180" s="238"/>
    </row>
    <row r="181" spans="1:24" s="3" customFormat="1">
      <c r="A181" s="233"/>
      <c r="B181" s="435" t="s">
        <v>151</v>
      </c>
      <c r="C181" s="435"/>
      <c r="D181" s="436"/>
      <c r="E181" s="436"/>
      <c r="F181" s="50"/>
      <c r="G181" s="62"/>
      <c r="H181" s="185"/>
      <c r="I181" s="186">
        <f t="shared" si="13"/>
        <v>0</v>
      </c>
      <c r="J181" s="59"/>
      <c r="K181" s="233"/>
      <c r="L181" s="233"/>
      <c r="M181" s="235"/>
      <c r="N181" s="236"/>
      <c r="O181" s="235"/>
      <c r="P181" s="236"/>
      <c r="Q181" s="236"/>
      <c r="R181" s="236"/>
      <c r="S181" s="237"/>
      <c r="T181" s="236"/>
      <c r="U181" s="233"/>
      <c r="V181" s="233"/>
      <c r="W181" s="233"/>
      <c r="X181" s="238"/>
    </row>
    <row r="182" spans="1:24" s="3" customFormat="1">
      <c r="A182" s="233"/>
      <c r="B182" s="435" t="s">
        <v>151</v>
      </c>
      <c r="C182" s="435"/>
      <c r="D182" s="436"/>
      <c r="E182" s="436"/>
      <c r="F182" s="50"/>
      <c r="G182" s="62"/>
      <c r="H182" s="185"/>
      <c r="I182" s="186">
        <f t="shared" si="13"/>
        <v>0</v>
      </c>
      <c r="J182" s="59"/>
      <c r="K182" s="233"/>
      <c r="L182" s="233"/>
      <c r="M182" s="235"/>
      <c r="N182" s="236"/>
      <c r="O182" s="235"/>
      <c r="P182" s="236"/>
      <c r="Q182" s="236"/>
      <c r="R182" s="236"/>
      <c r="S182" s="237"/>
      <c r="T182" s="236"/>
      <c r="U182" s="233"/>
      <c r="V182" s="233"/>
      <c r="W182" s="233"/>
      <c r="X182" s="238"/>
    </row>
    <row r="183" spans="1:24" s="3" customFormat="1">
      <c r="A183" s="233"/>
      <c r="B183" s="435" t="s">
        <v>151</v>
      </c>
      <c r="C183" s="435"/>
      <c r="D183" s="436"/>
      <c r="E183" s="436"/>
      <c r="F183" s="50"/>
      <c r="G183" s="62"/>
      <c r="H183" s="185"/>
      <c r="I183" s="186">
        <f t="shared" si="13"/>
        <v>0</v>
      </c>
      <c r="J183" s="59"/>
      <c r="K183" s="233"/>
      <c r="L183" s="233"/>
      <c r="M183" s="235"/>
      <c r="N183" s="236"/>
      <c r="O183" s="235"/>
      <c r="P183" s="236"/>
      <c r="Q183" s="236"/>
      <c r="R183" s="236"/>
      <c r="S183" s="237"/>
      <c r="T183" s="236"/>
      <c r="U183" s="233"/>
      <c r="V183" s="233"/>
      <c r="W183" s="233"/>
      <c r="X183" s="238"/>
    </row>
    <row r="184" spans="1:24" s="3" customFormat="1">
      <c r="A184" s="233"/>
      <c r="B184" s="435" t="s">
        <v>151</v>
      </c>
      <c r="C184" s="435"/>
      <c r="D184" s="436"/>
      <c r="E184" s="436"/>
      <c r="F184" s="50"/>
      <c r="G184" s="62"/>
      <c r="H184" s="185"/>
      <c r="I184" s="186">
        <f t="shared" si="13"/>
        <v>0</v>
      </c>
      <c r="J184" s="59"/>
      <c r="K184" s="233"/>
      <c r="L184" s="233"/>
      <c r="M184" s="235"/>
      <c r="N184" s="236"/>
      <c r="O184" s="235"/>
      <c r="P184" s="236"/>
      <c r="Q184" s="236"/>
      <c r="R184" s="236"/>
      <c r="S184" s="237"/>
      <c r="T184" s="236"/>
      <c r="U184" s="233"/>
      <c r="V184" s="233"/>
      <c r="W184" s="233"/>
      <c r="X184" s="238"/>
    </row>
    <row r="185" spans="1:24" s="3" customFormat="1">
      <c r="A185" s="233"/>
      <c r="B185" s="435" t="s">
        <v>151</v>
      </c>
      <c r="C185" s="435"/>
      <c r="D185" s="436"/>
      <c r="E185" s="436"/>
      <c r="F185" s="50"/>
      <c r="G185" s="62"/>
      <c r="H185" s="185"/>
      <c r="I185" s="186">
        <f t="shared" si="13"/>
        <v>0</v>
      </c>
      <c r="J185" s="59"/>
      <c r="K185" s="233"/>
      <c r="L185" s="233"/>
      <c r="M185" s="235"/>
      <c r="N185" s="236"/>
      <c r="O185" s="235"/>
      <c r="P185" s="236"/>
      <c r="Q185" s="236"/>
      <c r="R185" s="236"/>
      <c r="S185" s="237"/>
      <c r="T185" s="236"/>
      <c r="U185" s="233"/>
      <c r="V185" s="233"/>
      <c r="W185" s="233"/>
      <c r="X185" s="238"/>
    </row>
    <row r="186" spans="1:24" s="3" customFormat="1">
      <c r="A186" s="233"/>
      <c r="B186" s="435" t="s">
        <v>151</v>
      </c>
      <c r="C186" s="435"/>
      <c r="D186" s="436"/>
      <c r="E186" s="436"/>
      <c r="F186" s="50"/>
      <c r="G186" s="62"/>
      <c r="H186" s="185"/>
      <c r="I186" s="186">
        <f t="shared" si="13"/>
        <v>0</v>
      </c>
      <c r="J186" s="59"/>
      <c r="K186" s="233"/>
      <c r="L186" s="233"/>
      <c r="M186" s="235"/>
      <c r="N186" s="236"/>
      <c r="O186" s="235"/>
      <c r="P186" s="236"/>
      <c r="Q186" s="236"/>
      <c r="R186" s="236"/>
      <c r="S186" s="237"/>
      <c r="T186" s="236"/>
      <c r="U186" s="233"/>
      <c r="V186" s="233"/>
      <c r="W186" s="233"/>
      <c r="X186" s="238"/>
    </row>
    <row r="187" spans="1:24" s="3" customFormat="1">
      <c r="A187" s="233"/>
      <c r="B187" s="435" t="s">
        <v>151</v>
      </c>
      <c r="C187" s="435"/>
      <c r="D187" s="436"/>
      <c r="E187" s="436"/>
      <c r="F187" s="50"/>
      <c r="G187" s="62"/>
      <c r="H187" s="185"/>
      <c r="I187" s="186">
        <f t="shared" si="13"/>
        <v>0</v>
      </c>
      <c r="J187" s="59"/>
      <c r="K187" s="233"/>
      <c r="L187" s="233"/>
      <c r="M187" s="235"/>
      <c r="N187" s="236"/>
      <c r="O187" s="235"/>
      <c r="P187" s="236"/>
      <c r="Q187" s="236"/>
      <c r="R187" s="236"/>
      <c r="S187" s="237"/>
      <c r="T187" s="236"/>
      <c r="U187" s="233"/>
      <c r="V187" s="233"/>
      <c r="W187" s="233"/>
      <c r="X187" s="238"/>
    </row>
    <row r="188" spans="1:24" s="3" customFormat="1">
      <c r="A188" s="233"/>
      <c r="B188" s="435" t="s">
        <v>151</v>
      </c>
      <c r="C188" s="435"/>
      <c r="D188" s="436"/>
      <c r="E188" s="436"/>
      <c r="F188" s="50"/>
      <c r="G188" s="62"/>
      <c r="H188" s="185"/>
      <c r="I188" s="186">
        <f t="shared" si="13"/>
        <v>0</v>
      </c>
      <c r="J188" s="59"/>
      <c r="K188" s="233"/>
      <c r="L188" s="233"/>
      <c r="M188" s="235"/>
      <c r="N188" s="236"/>
      <c r="O188" s="235"/>
      <c r="P188" s="236"/>
      <c r="Q188" s="236"/>
      <c r="R188" s="236"/>
      <c r="S188" s="237"/>
      <c r="T188" s="236"/>
      <c r="U188" s="233"/>
      <c r="V188" s="233"/>
      <c r="W188" s="233"/>
      <c r="X188" s="238"/>
    </row>
    <row r="189" spans="1:24" s="3" customFormat="1">
      <c r="A189" s="233"/>
      <c r="B189" s="435" t="s">
        <v>151</v>
      </c>
      <c r="C189" s="435"/>
      <c r="D189" s="436"/>
      <c r="E189" s="436"/>
      <c r="F189" s="50"/>
      <c r="G189" s="62"/>
      <c r="H189" s="185"/>
      <c r="I189" s="186">
        <f t="shared" si="13"/>
        <v>0</v>
      </c>
      <c r="J189" s="59"/>
      <c r="K189" s="233"/>
      <c r="L189" s="233"/>
      <c r="M189" s="235"/>
      <c r="N189" s="236"/>
      <c r="O189" s="235"/>
      <c r="P189" s="236"/>
      <c r="Q189" s="236"/>
      <c r="R189" s="236"/>
      <c r="S189" s="237"/>
      <c r="T189" s="236"/>
      <c r="U189" s="233"/>
      <c r="V189" s="233"/>
      <c r="W189" s="233"/>
      <c r="X189" s="238"/>
    </row>
    <row r="190" spans="1:24" s="3" customFormat="1">
      <c r="A190" s="233"/>
      <c r="B190" s="136"/>
      <c r="C190" s="11"/>
      <c r="D190" s="234"/>
      <c r="E190" s="11"/>
      <c r="F190" s="233"/>
      <c r="G190" s="233"/>
      <c r="H190" s="233"/>
      <c r="I190" s="233"/>
      <c r="J190" s="233"/>
      <c r="K190" s="233"/>
      <c r="L190" s="233"/>
      <c r="M190" s="235"/>
      <c r="N190" s="236"/>
      <c r="O190" s="235"/>
      <c r="P190" s="236"/>
      <c r="Q190" s="236"/>
      <c r="R190" s="236"/>
      <c r="S190" s="237"/>
      <c r="T190" s="236"/>
      <c r="U190" s="233"/>
      <c r="V190" s="233"/>
      <c r="W190" s="233"/>
      <c r="X190" s="238"/>
    </row>
    <row r="191" spans="1:24" customFormat="1">
      <c r="B191" s="63"/>
      <c r="C191" s="63"/>
      <c r="D191" s="7"/>
      <c r="E191" s="7"/>
      <c r="F191" s="7"/>
      <c r="G191" s="7"/>
      <c r="H191" s="7"/>
      <c r="I191" s="7"/>
      <c r="J191" s="7"/>
      <c r="K191" s="7"/>
      <c r="L191" s="7"/>
      <c r="M191" s="7"/>
      <c r="N191" s="7"/>
      <c r="O191" s="7"/>
      <c r="P191" s="7"/>
      <c r="Q191" s="7"/>
      <c r="R191" s="7"/>
    </row>
    <row r="192" spans="1:24" customFormat="1">
      <c r="B192" s="64"/>
      <c r="C192" s="64"/>
      <c r="D192" s="65"/>
      <c r="E192" s="65"/>
      <c r="F192" s="65"/>
      <c r="G192" s="65"/>
      <c r="H192" s="65"/>
      <c r="I192" s="65"/>
      <c r="J192" s="65"/>
      <c r="K192" s="65"/>
      <c r="L192" s="65"/>
      <c r="M192" s="7"/>
      <c r="N192" s="7"/>
      <c r="O192" s="7"/>
      <c r="P192" s="7"/>
      <c r="Q192" s="7"/>
      <c r="R192" s="7"/>
    </row>
    <row r="193" spans="1:24" s="3" customFormat="1">
      <c r="A193" s="233"/>
      <c r="B193" s="187"/>
      <c r="C193" s="11"/>
      <c r="D193" s="234"/>
      <c r="E193" s="11"/>
      <c r="F193" s="233"/>
      <c r="G193" s="233"/>
      <c r="H193" s="233"/>
      <c r="I193" s="233"/>
      <c r="J193" s="233"/>
      <c r="K193" s="233"/>
      <c r="L193" s="233"/>
      <c r="M193" s="235"/>
      <c r="N193" s="236"/>
      <c r="O193" s="235"/>
      <c r="P193" s="236"/>
      <c r="Q193" s="236"/>
      <c r="R193" s="236"/>
      <c r="S193" s="237"/>
      <c r="T193" s="236"/>
      <c r="U193" s="233"/>
      <c r="V193" s="233"/>
      <c r="W193" s="233"/>
      <c r="X193" s="238"/>
    </row>
    <row r="194" spans="1:24" s="3" customFormat="1" ht="18">
      <c r="A194" s="233"/>
      <c r="B194" s="140" t="s">
        <v>251</v>
      </c>
      <c r="C194" s="11"/>
      <c r="D194" s="234"/>
      <c r="E194" s="11"/>
      <c r="F194" s="233"/>
      <c r="G194" s="233"/>
      <c r="H194" s="233"/>
      <c r="I194" s="233"/>
      <c r="J194" s="233"/>
      <c r="K194" s="233"/>
      <c r="L194" s="233"/>
      <c r="M194" s="235"/>
      <c r="N194" s="236"/>
      <c r="O194" s="235"/>
      <c r="P194" s="236"/>
      <c r="Q194" s="236"/>
      <c r="R194" s="236"/>
      <c r="S194" s="237"/>
      <c r="T194" s="236"/>
      <c r="U194" s="233"/>
      <c r="V194" s="233"/>
      <c r="W194" s="233"/>
      <c r="X194" s="238"/>
    </row>
    <row r="195" spans="1:24" s="3" customFormat="1">
      <c r="A195" s="233"/>
      <c r="B195" s="136" t="s">
        <v>252</v>
      </c>
      <c r="C195" s="11"/>
      <c r="D195" s="234"/>
      <c r="E195" s="11"/>
      <c r="F195" s="233"/>
      <c r="G195" s="233"/>
      <c r="H195" s="233"/>
      <c r="I195" s="233"/>
      <c r="J195" s="233"/>
      <c r="K195" s="233"/>
      <c r="L195" s="233"/>
      <c r="M195" s="235"/>
      <c r="N195" s="236"/>
      <c r="O195" s="235"/>
      <c r="P195" s="236"/>
      <c r="Q195" s="236"/>
      <c r="R195" s="236"/>
      <c r="S195" s="237"/>
      <c r="T195" s="236"/>
      <c r="U195" s="233"/>
      <c r="V195" s="233"/>
      <c r="W195" s="233"/>
      <c r="X195" s="238"/>
    </row>
    <row r="196" spans="1:24" s="3" customFormat="1">
      <c r="A196" s="136"/>
      <c r="B196" s="136" t="s">
        <v>253</v>
      </c>
      <c r="C196" s="11"/>
      <c r="D196" s="234"/>
      <c r="E196" s="11"/>
      <c r="F196" s="233"/>
      <c r="G196" s="233"/>
      <c r="H196" s="233"/>
      <c r="I196" s="233"/>
      <c r="J196" s="233"/>
      <c r="K196" s="233"/>
      <c r="L196" s="233"/>
      <c r="M196" s="235"/>
      <c r="N196" s="236"/>
      <c r="O196" s="235"/>
      <c r="P196" s="236"/>
      <c r="Q196" s="236"/>
      <c r="R196" s="236"/>
      <c r="S196" s="237"/>
      <c r="T196" s="236"/>
      <c r="U196" s="233"/>
      <c r="V196" s="233"/>
      <c r="W196" s="233"/>
      <c r="X196" s="238"/>
    </row>
    <row r="197" spans="1:24" s="3" customFormat="1">
      <c r="A197" s="136"/>
      <c r="B197" s="136"/>
      <c r="C197" s="11"/>
      <c r="D197" s="234"/>
      <c r="E197" s="11"/>
      <c r="F197" s="233"/>
      <c r="G197" s="233"/>
      <c r="H197" s="233"/>
      <c r="I197" s="233"/>
      <c r="J197" s="233"/>
      <c r="K197" s="233"/>
      <c r="L197" s="233"/>
      <c r="M197" s="235"/>
      <c r="N197" s="236"/>
      <c r="O197" s="235"/>
      <c r="P197" s="236"/>
      <c r="Q197" s="236"/>
      <c r="R197" s="236"/>
      <c r="S197" s="237"/>
      <c r="T197" s="236"/>
      <c r="U197" s="233"/>
      <c r="V197" s="233"/>
      <c r="W197" s="233"/>
      <c r="X197" s="238"/>
    </row>
    <row r="198" spans="1:24" s="3" customFormat="1">
      <c r="A198" s="233"/>
      <c r="B198" s="9"/>
      <c r="C198" s="42" t="s">
        <v>254</v>
      </c>
      <c r="D198" s="62" t="s">
        <v>256</v>
      </c>
      <c r="E198" s="252" t="s">
        <v>255</v>
      </c>
      <c r="F198" s="233"/>
      <c r="G198" s="233"/>
      <c r="H198" s="233"/>
      <c r="I198" s="233"/>
      <c r="J198" s="233"/>
      <c r="K198" s="233"/>
      <c r="L198" s="233"/>
      <c r="M198" s="235"/>
      <c r="N198" s="236"/>
      <c r="O198" s="235"/>
      <c r="P198" s="236"/>
      <c r="Q198" s="236"/>
      <c r="R198" s="236"/>
      <c r="S198" s="237"/>
      <c r="T198" s="236"/>
      <c r="U198" s="233"/>
      <c r="V198" s="233"/>
      <c r="W198" s="233"/>
      <c r="X198" s="238"/>
    </row>
    <row r="199" spans="1:24" s="3" customFormat="1">
      <c r="A199" s="233"/>
      <c r="B199" s="187"/>
      <c r="C199" s="11"/>
      <c r="D199" s="9"/>
      <c r="E199" s="11"/>
      <c r="F199" s="233"/>
      <c r="G199" s="233"/>
      <c r="H199" s="233"/>
      <c r="I199" s="233"/>
      <c r="J199" s="233"/>
      <c r="K199" s="233"/>
      <c r="L199" s="233"/>
      <c r="M199" s="235"/>
      <c r="N199" s="236"/>
      <c r="O199" s="235"/>
      <c r="P199" s="236"/>
      <c r="Q199" s="236"/>
      <c r="R199" s="236"/>
      <c r="S199" s="237"/>
      <c r="T199" s="236"/>
      <c r="U199" s="233"/>
      <c r="V199" s="233"/>
      <c r="W199" s="233"/>
      <c r="X199" s="238"/>
    </row>
    <row r="200" spans="1:24" s="3" customFormat="1" ht="15" customHeight="1">
      <c r="A200" s="233"/>
      <c r="B200" s="431" t="s">
        <v>81</v>
      </c>
      <c r="C200" s="432"/>
      <c r="D200" s="443" t="s">
        <v>226</v>
      </c>
      <c r="E200" s="444"/>
      <c r="F200" s="444"/>
      <c r="G200" s="447" t="s">
        <v>231</v>
      </c>
      <c r="H200" s="448"/>
      <c r="I200" s="448"/>
      <c r="J200" s="233"/>
      <c r="K200" s="233"/>
      <c r="L200" s="233"/>
      <c r="M200" s="235"/>
      <c r="N200" s="236"/>
      <c r="O200" s="235"/>
      <c r="P200" s="236"/>
      <c r="Q200" s="236"/>
      <c r="R200" s="236"/>
      <c r="S200" s="237"/>
      <c r="T200" s="236"/>
      <c r="U200" s="233"/>
      <c r="V200" s="233"/>
      <c r="W200" s="233"/>
      <c r="X200" s="238"/>
    </row>
    <row r="201" spans="1:24" s="79" customFormat="1" ht="28.8">
      <c r="A201" s="253"/>
      <c r="B201" s="433"/>
      <c r="C201" s="434"/>
      <c r="D201" s="122" t="s">
        <v>227</v>
      </c>
      <c r="E201" s="122" t="s">
        <v>234</v>
      </c>
      <c r="F201" s="122" t="s">
        <v>235</v>
      </c>
      <c r="G201" s="121" t="s">
        <v>230</v>
      </c>
      <c r="H201" s="121" t="s">
        <v>236</v>
      </c>
      <c r="I201" s="121" t="s">
        <v>237</v>
      </c>
      <c r="J201" s="253"/>
      <c r="K201" s="253"/>
      <c r="L201" s="253"/>
      <c r="M201" s="254"/>
      <c r="N201" s="255"/>
      <c r="O201" s="254"/>
      <c r="P201" s="255"/>
      <c r="Q201" s="255"/>
      <c r="R201" s="255"/>
      <c r="S201" s="255"/>
      <c r="T201" s="255"/>
      <c r="U201" s="253"/>
      <c r="V201" s="253"/>
      <c r="W201" s="253"/>
      <c r="X201" s="256"/>
    </row>
    <row r="202" spans="1:24" s="3" customFormat="1">
      <c r="A202" s="233"/>
      <c r="B202" s="66" t="s">
        <v>137</v>
      </c>
      <c r="C202" s="60" t="str">
        <f>IF(intervencao1=0,"Do not fill this line",intervencao1)</f>
        <v>Drug 1</v>
      </c>
      <c r="D202" s="185"/>
      <c r="E202" s="185"/>
      <c r="F202" s="185"/>
      <c r="G202" s="185"/>
      <c r="H202" s="185"/>
      <c r="I202" s="185"/>
      <c r="J202" s="257"/>
      <c r="K202" s="233"/>
      <c r="L202" s="233"/>
      <c r="M202" s="235"/>
      <c r="N202" s="236"/>
      <c r="O202" s="235"/>
      <c r="P202" s="236"/>
      <c r="Q202" s="236"/>
      <c r="R202" s="236"/>
      <c r="S202" s="237"/>
      <c r="T202" s="236"/>
      <c r="U202" s="233"/>
      <c r="V202" s="233"/>
      <c r="W202" s="233"/>
      <c r="X202" s="238"/>
    </row>
    <row r="203" spans="1:24" s="3" customFormat="1">
      <c r="A203" s="233"/>
      <c r="B203" s="66" t="s">
        <v>138</v>
      </c>
      <c r="C203" s="60" t="str">
        <f>IF(intervencao2=0,"Do not fill this line",intervencao2)</f>
        <v>Drug 2</v>
      </c>
      <c r="D203" s="185"/>
      <c r="E203" s="185"/>
      <c r="F203" s="185"/>
      <c r="G203" s="186">
        <f>G202</f>
        <v>0</v>
      </c>
      <c r="H203" s="186">
        <f>H202</f>
        <v>0</v>
      </c>
      <c r="I203" s="186">
        <f>I202</f>
        <v>0</v>
      </c>
      <c r="J203" s="257"/>
      <c r="K203" s="233"/>
      <c r="L203" s="233"/>
      <c r="M203" s="235"/>
      <c r="N203" s="236"/>
      <c r="O203" s="235"/>
      <c r="P203" s="236"/>
      <c r="Q203" s="236"/>
      <c r="R203" s="236"/>
      <c r="S203" s="237"/>
      <c r="T203" s="236"/>
      <c r="U203" s="233"/>
      <c r="V203" s="233"/>
      <c r="W203" s="233"/>
      <c r="X203" s="238"/>
    </row>
    <row r="204" spans="1:24" s="3" customFormat="1">
      <c r="A204" s="233"/>
      <c r="B204" s="66" t="s">
        <v>139</v>
      </c>
      <c r="C204" s="60" t="str">
        <f>IF(intervencao3=0,"Do not fill this line",intervencao3)</f>
        <v>Do not fill this line</v>
      </c>
      <c r="D204" s="185"/>
      <c r="E204" s="185"/>
      <c r="F204" s="185"/>
      <c r="G204" s="186">
        <f t="shared" ref="G204:G215" si="14">G203</f>
        <v>0</v>
      </c>
      <c r="H204" s="186">
        <f t="shared" ref="H204:I215" si="15">H203</f>
        <v>0</v>
      </c>
      <c r="I204" s="186">
        <f t="shared" si="15"/>
        <v>0</v>
      </c>
      <c r="J204" s="233"/>
      <c r="K204" s="233"/>
      <c r="L204" s="233"/>
      <c r="M204" s="235"/>
      <c r="N204" s="236"/>
      <c r="O204" s="235"/>
      <c r="P204" s="236"/>
      <c r="Q204" s="236"/>
      <c r="R204" s="236"/>
      <c r="S204" s="237"/>
      <c r="T204" s="236"/>
      <c r="U204" s="233"/>
      <c r="V204" s="233"/>
      <c r="W204" s="233"/>
      <c r="X204" s="238"/>
    </row>
    <row r="205" spans="1:24" s="3" customFormat="1">
      <c r="A205" s="233"/>
      <c r="B205" s="66" t="s">
        <v>140</v>
      </c>
      <c r="C205" s="60" t="str">
        <f>IF(intervencao4=0,"Do not fill this line",intervencao4)</f>
        <v>Do not fill this line</v>
      </c>
      <c r="D205" s="185"/>
      <c r="E205" s="185"/>
      <c r="F205" s="185"/>
      <c r="G205" s="186">
        <f t="shared" si="14"/>
        <v>0</v>
      </c>
      <c r="H205" s="186">
        <f t="shared" si="15"/>
        <v>0</v>
      </c>
      <c r="I205" s="186">
        <f t="shared" si="15"/>
        <v>0</v>
      </c>
      <c r="J205" s="233"/>
      <c r="K205" s="233"/>
      <c r="L205" s="233"/>
      <c r="M205" s="235"/>
      <c r="N205" s="236"/>
      <c r="O205" s="235"/>
      <c r="P205" s="236"/>
      <c r="Q205" s="236"/>
      <c r="R205" s="236"/>
      <c r="S205" s="237"/>
      <c r="T205" s="236"/>
      <c r="U205" s="233"/>
      <c r="V205" s="233"/>
      <c r="W205" s="233"/>
      <c r="X205" s="238"/>
    </row>
    <row r="206" spans="1:24" s="3" customFormat="1">
      <c r="A206" s="233"/>
      <c r="B206" s="66" t="s">
        <v>141</v>
      </c>
      <c r="C206" s="60" t="str">
        <f>IF(comparador1=0,"Do not fill this line",comparador1)</f>
        <v>BSC</v>
      </c>
      <c r="D206" s="185"/>
      <c r="E206" s="185"/>
      <c r="F206" s="185"/>
      <c r="G206" s="186">
        <f t="shared" si="14"/>
        <v>0</v>
      </c>
      <c r="H206" s="186">
        <f t="shared" si="15"/>
        <v>0</v>
      </c>
      <c r="I206" s="186">
        <f t="shared" si="15"/>
        <v>0</v>
      </c>
      <c r="J206" s="233"/>
      <c r="K206" s="233"/>
      <c r="L206" s="233"/>
      <c r="M206" s="235"/>
      <c r="N206" s="236"/>
      <c r="O206" s="235"/>
      <c r="P206" s="236"/>
      <c r="Q206" s="236"/>
      <c r="R206" s="236"/>
      <c r="S206" s="237"/>
      <c r="T206" s="236"/>
      <c r="U206" s="233"/>
      <c r="V206" s="233"/>
      <c r="W206" s="233"/>
      <c r="X206" s="238"/>
    </row>
    <row r="207" spans="1:24" s="3" customFormat="1">
      <c r="A207" s="233"/>
      <c r="B207" s="66" t="s">
        <v>142</v>
      </c>
      <c r="C207" s="60" t="str">
        <f>IF(comparador2=0,"Do not fill this line",comparador2)</f>
        <v>Do not fill this line</v>
      </c>
      <c r="D207" s="185"/>
      <c r="E207" s="185"/>
      <c r="F207" s="185"/>
      <c r="G207" s="186">
        <f t="shared" si="14"/>
        <v>0</v>
      </c>
      <c r="H207" s="186">
        <f t="shared" si="15"/>
        <v>0</v>
      </c>
      <c r="I207" s="186">
        <f t="shared" si="15"/>
        <v>0</v>
      </c>
      <c r="J207" s="233"/>
      <c r="K207" s="233"/>
      <c r="L207" s="233"/>
      <c r="M207" s="235"/>
      <c r="N207" s="236"/>
      <c r="O207" s="235"/>
      <c r="P207" s="236"/>
      <c r="Q207" s="236"/>
      <c r="R207" s="236"/>
      <c r="S207" s="237"/>
      <c r="T207" s="236"/>
      <c r="U207" s="233"/>
      <c r="V207" s="233"/>
      <c r="W207" s="233"/>
      <c r="X207" s="238"/>
    </row>
    <row r="208" spans="1:24" s="3" customFormat="1">
      <c r="A208" s="233"/>
      <c r="B208" s="66" t="s">
        <v>143</v>
      </c>
      <c r="C208" s="60" t="str">
        <f>IF(comparador3=0,"Do not fill this line",comparador3)</f>
        <v>Do not fill this line</v>
      </c>
      <c r="D208" s="185"/>
      <c r="E208" s="185"/>
      <c r="F208" s="185"/>
      <c r="G208" s="186">
        <f t="shared" si="14"/>
        <v>0</v>
      </c>
      <c r="H208" s="186">
        <f t="shared" si="15"/>
        <v>0</v>
      </c>
      <c r="I208" s="186">
        <f t="shared" si="15"/>
        <v>0</v>
      </c>
      <c r="J208" s="233"/>
      <c r="K208" s="233"/>
      <c r="L208" s="233"/>
      <c r="M208" s="235"/>
      <c r="N208" s="236"/>
      <c r="O208" s="235"/>
      <c r="P208" s="236"/>
      <c r="Q208" s="236"/>
      <c r="R208" s="236"/>
      <c r="S208" s="237"/>
      <c r="T208" s="236"/>
      <c r="U208" s="233"/>
      <c r="V208" s="233"/>
      <c r="W208" s="233"/>
      <c r="X208" s="238"/>
    </row>
    <row r="209" spans="1:24" s="3" customFormat="1">
      <c r="A209" s="233"/>
      <c r="B209" s="66" t="s">
        <v>144</v>
      </c>
      <c r="C209" s="60" t="str">
        <f>IF(comparador4=0,"Do not fill this line",comparador4)</f>
        <v>Do not fill this line</v>
      </c>
      <c r="D209" s="185"/>
      <c r="E209" s="185"/>
      <c r="F209" s="185"/>
      <c r="G209" s="186">
        <f t="shared" si="14"/>
        <v>0</v>
      </c>
      <c r="H209" s="186">
        <f t="shared" si="15"/>
        <v>0</v>
      </c>
      <c r="I209" s="186">
        <f t="shared" si="15"/>
        <v>0</v>
      </c>
      <c r="J209" s="233"/>
      <c r="K209" s="233"/>
      <c r="L209" s="233"/>
      <c r="M209" s="235"/>
      <c r="N209" s="236"/>
      <c r="O209" s="235"/>
      <c r="P209" s="236"/>
      <c r="Q209" s="236"/>
      <c r="R209" s="236"/>
      <c r="S209" s="237"/>
      <c r="T209" s="236"/>
      <c r="U209" s="233"/>
      <c r="V209" s="233"/>
      <c r="W209" s="233"/>
      <c r="X209" s="238"/>
    </row>
    <row r="210" spans="1:24" s="3" customFormat="1">
      <c r="A210" s="233"/>
      <c r="B210" s="66" t="s">
        <v>145</v>
      </c>
      <c r="C210" s="60" t="str">
        <f>IF(comparador5=0,"Do not fill this line",comparador5)</f>
        <v>Do not fill this line</v>
      </c>
      <c r="D210" s="185"/>
      <c r="E210" s="185"/>
      <c r="F210" s="185"/>
      <c r="G210" s="186">
        <f t="shared" si="14"/>
        <v>0</v>
      </c>
      <c r="H210" s="186">
        <f t="shared" si="15"/>
        <v>0</v>
      </c>
      <c r="I210" s="186">
        <f t="shared" si="15"/>
        <v>0</v>
      </c>
      <c r="J210" s="233"/>
      <c r="K210" s="233"/>
      <c r="L210" s="233"/>
      <c r="M210" s="235"/>
      <c r="N210" s="236"/>
      <c r="O210" s="235"/>
      <c r="P210" s="236"/>
      <c r="Q210" s="236"/>
      <c r="R210" s="236"/>
      <c r="S210" s="237"/>
      <c r="T210" s="236"/>
      <c r="U210" s="233"/>
      <c r="V210" s="233"/>
      <c r="W210" s="233"/>
      <c r="X210" s="238"/>
    </row>
    <row r="211" spans="1:24" s="3" customFormat="1">
      <c r="A211" s="233"/>
      <c r="B211" s="66" t="s">
        <v>146</v>
      </c>
      <c r="C211" s="60" t="str">
        <f>IF(comparador6=0,"Do not fill this line",comparador6)</f>
        <v>Do not fill this line</v>
      </c>
      <c r="D211" s="185"/>
      <c r="E211" s="185"/>
      <c r="F211" s="185"/>
      <c r="G211" s="186">
        <f t="shared" si="14"/>
        <v>0</v>
      </c>
      <c r="H211" s="186">
        <f t="shared" si="15"/>
        <v>0</v>
      </c>
      <c r="I211" s="186">
        <f t="shared" si="15"/>
        <v>0</v>
      </c>
      <c r="J211" s="233"/>
      <c r="K211" s="233"/>
      <c r="L211" s="233"/>
      <c r="M211" s="235"/>
      <c r="N211" s="236"/>
      <c r="O211" s="235"/>
      <c r="P211" s="236"/>
      <c r="Q211" s="236"/>
      <c r="R211" s="236"/>
      <c r="S211" s="237"/>
      <c r="T211" s="236"/>
      <c r="U211" s="233"/>
      <c r="V211" s="233"/>
      <c r="W211" s="233"/>
      <c r="X211" s="238"/>
    </row>
    <row r="212" spans="1:24" s="3" customFormat="1">
      <c r="A212" s="233"/>
      <c r="B212" s="66" t="s">
        <v>147</v>
      </c>
      <c r="C212" s="60" t="str">
        <f>IF(comparador7=0,"Do not fill this line",comparador7)</f>
        <v>Do not fill this line</v>
      </c>
      <c r="D212" s="185"/>
      <c r="E212" s="185"/>
      <c r="F212" s="185"/>
      <c r="G212" s="186">
        <f t="shared" si="14"/>
        <v>0</v>
      </c>
      <c r="H212" s="186">
        <f t="shared" si="15"/>
        <v>0</v>
      </c>
      <c r="I212" s="186">
        <f t="shared" si="15"/>
        <v>0</v>
      </c>
      <c r="J212" s="233"/>
      <c r="K212" s="233"/>
      <c r="L212" s="233"/>
      <c r="M212" s="235"/>
      <c r="N212" s="236"/>
      <c r="O212" s="235"/>
      <c r="P212" s="236"/>
      <c r="Q212" s="236"/>
      <c r="R212" s="236"/>
      <c r="S212" s="237"/>
      <c r="T212" s="236"/>
      <c r="U212" s="233"/>
      <c r="V212" s="233"/>
      <c r="W212" s="233"/>
      <c r="X212" s="238"/>
    </row>
    <row r="213" spans="1:24" s="3" customFormat="1">
      <c r="A213" s="233"/>
      <c r="B213" s="66" t="s">
        <v>148</v>
      </c>
      <c r="C213" s="60" t="str">
        <f>IF(comparador8=0,"Do not fill this line",comparador8)</f>
        <v>Do not fill this line</v>
      </c>
      <c r="D213" s="185"/>
      <c r="E213" s="185"/>
      <c r="F213" s="185"/>
      <c r="G213" s="186">
        <f t="shared" si="14"/>
        <v>0</v>
      </c>
      <c r="H213" s="186">
        <f t="shared" si="15"/>
        <v>0</v>
      </c>
      <c r="I213" s="186">
        <f t="shared" si="15"/>
        <v>0</v>
      </c>
      <c r="J213" s="233"/>
      <c r="K213" s="233"/>
      <c r="L213" s="233"/>
      <c r="M213" s="235"/>
      <c r="N213" s="236"/>
      <c r="O213" s="235"/>
      <c r="P213" s="236"/>
      <c r="Q213" s="236"/>
      <c r="R213" s="236"/>
      <c r="S213" s="237"/>
      <c r="T213" s="236"/>
      <c r="U213" s="233"/>
      <c r="V213" s="233"/>
      <c r="W213" s="233"/>
      <c r="X213" s="238"/>
    </row>
    <row r="214" spans="1:24" s="3" customFormat="1">
      <c r="A214" s="233"/>
      <c r="B214" s="66" t="s">
        <v>149</v>
      </c>
      <c r="C214" s="60" t="str">
        <f>IF(comparador9=0,"Do not fill this line",comparador9)</f>
        <v>Do not fill this line</v>
      </c>
      <c r="D214" s="185"/>
      <c r="E214" s="185"/>
      <c r="F214" s="185"/>
      <c r="G214" s="186">
        <f t="shared" si="14"/>
        <v>0</v>
      </c>
      <c r="H214" s="186">
        <f t="shared" si="15"/>
        <v>0</v>
      </c>
      <c r="I214" s="186">
        <f t="shared" si="15"/>
        <v>0</v>
      </c>
      <c r="J214" s="233"/>
      <c r="K214" s="233"/>
      <c r="L214" s="233"/>
      <c r="M214" s="235"/>
      <c r="N214" s="236"/>
      <c r="O214" s="235"/>
      <c r="P214" s="236"/>
      <c r="Q214" s="236"/>
      <c r="R214" s="236"/>
      <c r="S214" s="237"/>
      <c r="T214" s="236"/>
      <c r="U214" s="233"/>
      <c r="V214" s="233"/>
      <c r="W214" s="233"/>
      <c r="X214" s="238"/>
    </row>
    <row r="215" spans="1:24" s="3" customFormat="1">
      <c r="A215" s="233"/>
      <c r="B215" s="66" t="s">
        <v>150</v>
      </c>
      <c r="C215" s="60" t="str">
        <f>IF(comparador10=0,"Do not fill this line",comparador10)</f>
        <v>Do not fill this line</v>
      </c>
      <c r="D215" s="185"/>
      <c r="E215" s="185"/>
      <c r="F215" s="185"/>
      <c r="G215" s="186">
        <f t="shared" si="14"/>
        <v>0</v>
      </c>
      <c r="H215" s="186">
        <f t="shared" si="15"/>
        <v>0</v>
      </c>
      <c r="I215" s="186">
        <f t="shared" si="15"/>
        <v>0</v>
      </c>
      <c r="J215" s="233"/>
      <c r="K215" s="233"/>
      <c r="L215" s="233"/>
      <c r="M215" s="235"/>
      <c r="N215" s="236"/>
      <c r="O215" s="235"/>
      <c r="P215" s="236"/>
      <c r="Q215" s="236"/>
      <c r="R215" s="236"/>
      <c r="S215" s="237"/>
      <c r="T215" s="236"/>
      <c r="U215" s="233"/>
      <c r="V215" s="233"/>
      <c r="W215" s="233"/>
      <c r="X215" s="238"/>
    </row>
    <row r="216" spans="1:24" s="3" customFormat="1">
      <c r="A216" s="233"/>
      <c r="B216" s="163"/>
      <c r="C216" s="83"/>
      <c r="D216" s="234"/>
      <c r="E216" s="11"/>
      <c r="F216" s="233"/>
      <c r="G216" s="233"/>
      <c r="H216" s="233"/>
      <c r="I216" s="233"/>
      <c r="J216" s="233"/>
      <c r="K216" s="233"/>
      <c r="L216" s="233"/>
      <c r="M216" s="235"/>
      <c r="N216" s="236"/>
      <c r="O216" s="235"/>
      <c r="P216" s="236"/>
      <c r="Q216" s="236"/>
      <c r="R216" s="236"/>
      <c r="S216" s="237"/>
      <c r="T216" s="236"/>
      <c r="U216" s="233"/>
      <c r="V216" s="233"/>
      <c r="W216" s="233"/>
      <c r="X216" s="238"/>
    </row>
    <row r="217" spans="1:24" s="3" customFormat="1">
      <c r="A217" s="233"/>
      <c r="B217" s="187"/>
      <c r="C217" s="11"/>
      <c r="D217" s="234"/>
      <c r="E217" s="11"/>
      <c r="F217" s="233"/>
      <c r="G217" s="233"/>
      <c r="H217" s="233"/>
      <c r="I217" s="233"/>
      <c r="J217" s="233"/>
      <c r="K217" s="233"/>
      <c r="L217" s="233"/>
      <c r="M217" s="235"/>
      <c r="N217" s="236"/>
      <c r="O217" s="235"/>
      <c r="P217" s="236"/>
      <c r="Q217" s="236"/>
      <c r="R217" s="236"/>
      <c r="S217" s="237"/>
      <c r="T217" s="236"/>
      <c r="U217" s="233"/>
      <c r="V217" s="233"/>
      <c r="W217" s="233"/>
      <c r="X217" s="238"/>
    </row>
    <row r="228" spans="2:13">
      <c r="B228" s="7"/>
      <c r="C228" s="7"/>
      <c r="D228" s="7"/>
      <c r="E228" s="7"/>
      <c r="F228" s="7"/>
      <c r="G228" s="7"/>
      <c r="H228" s="7"/>
      <c r="I228" s="7"/>
      <c r="J228" s="7"/>
      <c r="K228" s="7"/>
      <c r="L228" s="142"/>
      <c r="M228" s="142"/>
    </row>
    <row r="229" spans="2:13">
      <c r="B229" s="65"/>
      <c r="C229" s="65"/>
      <c r="D229" s="65"/>
      <c r="E229" s="65"/>
      <c r="F229" s="65"/>
      <c r="G229" s="65"/>
      <c r="H229" s="65"/>
      <c r="I229" s="65"/>
      <c r="J229" s="65"/>
      <c r="K229" s="65"/>
      <c r="L229" s="65"/>
      <c r="M229" s="65"/>
    </row>
    <row r="230" spans="2:13">
      <c r="B230" s="404" t="s">
        <v>77</v>
      </c>
      <c r="C230" s="404"/>
      <c r="D230" s="404"/>
      <c r="E230" s="404"/>
      <c r="F230" s="404"/>
      <c r="G230" s="404"/>
      <c r="H230" s="404"/>
      <c r="I230" s="404"/>
      <c r="J230" s="404"/>
      <c r="K230" s="404"/>
      <c r="L230" s="404"/>
      <c r="M230" s="404"/>
    </row>
    <row r="231" spans="2:13">
      <c r="B231" s="404"/>
      <c r="C231" s="404"/>
      <c r="D231" s="404"/>
      <c r="E231" s="404"/>
      <c r="F231" s="404"/>
      <c r="G231" s="404"/>
      <c r="H231" s="404"/>
      <c r="I231" s="404"/>
      <c r="J231" s="404"/>
      <c r="K231" s="404"/>
      <c r="L231" s="404"/>
      <c r="M231" s="404"/>
    </row>
    <row r="232" spans="2:13" s="3" customFormat="1" ht="85.95" customHeight="1">
      <c r="B232" s="403" t="e" vm="1">
        <v>#VALUE!</v>
      </c>
      <c r="C232" s="403"/>
      <c r="D232" s="403"/>
      <c r="E232" s="403"/>
      <c r="F232" s="403"/>
      <c r="G232" s="403"/>
      <c r="H232" s="403"/>
      <c r="I232" s="403"/>
      <c r="J232" s="403"/>
      <c r="K232" s="403"/>
      <c r="L232" s="403"/>
      <c r="M232" s="403"/>
    </row>
  </sheetData>
  <sheetProtection algorithmName="SHA-512" hashValue="YMD1BZL3/G0UOIkTlnysnG3d1LS8eVuydjjKCvPlkV7P4cSTrvJfUPRNuCz/w6TPtP3hFsyJju8t0CX7exOsIg==" saltValue="sNfFz4OotFykXId28xtgeA==" spinCount="100000" sheet="1" formatCells="0" formatColumns="0" formatRows="0"/>
  <mergeCells count="229">
    <mergeCell ref="G200:I200"/>
    <mergeCell ref="B152:C152"/>
    <mergeCell ref="D152:E152"/>
    <mergeCell ref="B153:C153"/>
    <mergeCell ref="D153:E153"/>
    <mergeCell ref="B154:C154"/>
    <mergeCell ref="D154:E154"/>
    <mergeCell ref="B155:C155"/>
    <mergeCell ref="D155:E155"/>
    <mergeCell ref="B156:C156"/>
    <mergeCell ref="D156:E156"/>
    <mergeCell ref="B164:C164"/>
    <mergeCell ref="D164:E164"/>
    <mergeCell ref="B165:C165"/>
    <mergeCell ref="D165:E165"/>
    <mergeCell ref="B166:C166"/>
    <mergeCell ref="D166:E166"/>
    <mergeCell ref="B170:C170"/>
    <mergeCell ref="D170:E170"/>
    <mergeCell ref="B171:C171"/>
    <mergeCell ref="D171:E171"/>
    <mergeCell ref="B172:C172"/>
    <mergeCell ref="D172:E172"/>
    <mergeCell ref="B157:C157"/>
    <mergeCell ref="D30:F30"/>
    <mergeCell ref="G30:I30"/>
    <mergeCell ref="B149:C149"/>
    <mergeCell ref="D149:E149"/>
    <mergeCell ref="B150:C150"/>
    <mergeCell ref="D150:E150"/>
    <mergeCell ref="B151:C151"/>
    <mergeCell ref="D151:E151"/>
    <mergeCell ref="B82:C82"/>
    <mergeCell ref="D82:E82"/>
    <mergeCell ref="B83:C83"/>
    <mergeCell ref="D83:E83"/>
    <mergeCell ref="B84:C84"/>
    <mergeCell ref="D84:E84"/>
    <mergeCell ref="D75:E75"/>
    <mergeCell ref="D76:E76"/>
    <mergeCell ref="B75:C75"/>
    <mergeCell ref="B76:C76"/>
    <mergeCell ref="B77:C77"/>
    <mergeCell ref="D77:E77"/>
    <mergeCell ref="B78:C78"/>
    <mergeCell ref="D78:E78"/>
    <mergeCell ref="B79:C79"/>
    <mergeCell ref="D79:E79"/>
    <mergeCell ref="B105:C105"/>
    <mergeCell ref="D105:E105"/>
    <mergeCell ref="B94:C94"/>
    <mergeCell ref="D94:E94"/>
    <mergeCell ref="B95:C95"/>
    <mergeCell ref="D95:E95"/>
    <mergeCell ref="B96:C96"/>
    <mergeCell ref="D96:E96"/>
    <mergeCell ref="B97:C97"/>
    <mergeCell ref="D97:E97"/>
    <mergeCell ref="B98:C98"/>
    <mergeCell ref="D98:E98"/>
    <mergeCell ref="B102:C102"/>
    <mergeCell ref="D102:E102"/>
    <mergeCell ref="B103:C103"/>
    <mergeCell ref="D103:E103"/>
    <mergeCell ref="B104:C104"/>
    <mergeCell ref="D104:E104"/>
    <mergeCell ref="B99:C99"/>
    <mergeCell ref="D99:E99"/>
    <mergeCell ref="B114:C114"/>
    <mergeCell ref="D114:E114"/>
    <mergeCell ref="B115:C115"/>
    <mergeCell ref="D115:E115"/>
    <mergeCell ref="B116:C116"/>
    <mergeCell ref="D116:E116"/>
    <mergeCell ref="B112:C112"/>
    <mergeCell ref="D112:E112"/>
    <mergeCell ref="B113:C113"/>
    <mergeCell ref="D113:E113"/>
    <mergeCell ref="D120:E120"/>
    <mergeCell ref="B121:C121"/>
    <mergeCell ref="D121:E121"/>
    <mergeCell ref="B122:C122"/>
    <mergeCell ref="D122:E122"/>
    <mergeCell ref="B117:C117"/>
    <mergeCell ref="D117:E117"/>
    <mergeCell ref="B118:C118"/>
    <mergeCell ref="D118:E118"/>
    <mergeCell ref="B119:C119"/>
    <mergeCell ref="D119:E119"/>
    <mergeCell ref="D157:E157"/>
    <mergeCell ref="B158:C158"/>
    <mergeCell ref="D158:E158"/>
    <mergeCell ref="B159:C159"/>
    <mergeCell ref="D159:E159"/>
    <mergeCell ref="D200:F200"/>
    <mergeCell ref="B167:C167"/>
    <mergeCell ref="D167:E167"/>
    <mergeCell ref="B168:C168"/>
    <mergeCell ref="D168:E168"/>
    <mergeCell ref="B169:C169"/>
    <mergeCell ref="D169:E169"/>
    <mergeCell ref="B180:C180"/>
    <mergeCell ref="D180:E180"/>
    <mergeCell ref="B181:C181"/>
    <mergeCell ref="D181:E181"/>
    <mergeCell ref="B173:C173"/>
    <mergeCell ref="B179:C179"/>
    <mergeCell ref="D179:E179"/>
    <mergeCell ref="B142:C142"/>
    <mergeCell ref="D142:E142"/>
    <mergeCell ref="B139:C139"/>
    <mergeCell ref="D139:E139"/>
    <mergeCell ref="B140:C140"/>
    <mergeCell ref="D140:E140"/>
    <mergeCell ref="B130:C130"/>
    <mergeCell ref="D130:E130"/>
    <mergeCell ref="B131:C131"/>
    <mergeCell ref="D131:E131"/>
    <mergeCell ref="B138:C138"/>
    <mergeCell ref="D138:E138"/>
    <mergeCell ref="B141:C141"/>
    <mergeCell ref="D141:E141"/>
    <mergeCell ref="B135:C135"/>
    <mergeCell ref="D135:E135"/>
    <mergeCell ref="D67:E67"/>
    <mergeCell ref="D68:E68"/>
    <mergeCell ref="B65:C65"/>
    <mergeCell ref="B132:C132"/>
    <mergeCell ref="D132:E132"/>
    <mergeCell ref="B133:C133"/>
    <mergeCell ref="D133:E133"/>
    <mergeCell ref="B134:C134"/>
    <mergeCell ref="D134:E134"/>
    <mergeCell ref="B129:C129"/>
    <mergeCell ref="D129:E129"/>
    <mergeCell ref="B126:C126"/>
    <mergeCell ref="D126:E126"/>
    <mergeCell ref="B127:C127"/>
    <mergeCell ref="D127:E127"/>
    <mergeCell ref="B128:C128"/>
    <mergeCell ref="D128:E128"/>
    <mergeCell ref="B123:C123"/>
    <mergeCell ref="D123:E123"/>
    <mergeCell ref="B124:C124"/>
    <mergeCell ref="D124:E124"/>
    <mergeCell ref="B125:C125"/>
    <mergeCell ref="D125:E125"/>
    <mergeCell ref="B120:C120"/>
    <mergeCell ref="B66:C66"/>
    <mergeCell ref="B67:C67"/>
    <mergeCell ref="B68:C68"/>
    <mergeCell ref="B136:C136"/>
    <mergeCell ref="D136:E136"/>
    <mergeCell ref="B137:C137"/>
    <mergeCell ref="D137:E137"/>
    <mergeCell ref="B55:C55"/>
    <mergeCell ref="B56:C56"/>
    <mergeCell ref="B58:C58"/>
    <mergeCell ref="B59:C59"/>
    <mergeCell ref="B60:C60"/>
    <mergeCell ref="B61:C61"/>
    <mergeCell ref="B62:C62"/>
    <mergeCell ref="D63:E63"/>
    <mergeCell ref="D64:E64"/>
    <mergeCell ref="B63:C63"/>
    <mergeCell ref="B64:C64"/>
    <mergeCell ref="B100:C100"/>
    <mergeCell ref="D100:E100"/>
    <mergeCell ref="B101:C101"/>
    <mergeCell ref="D101:E101"/>
    <mergeCell ref="D65:E65"/>
    <mergeCell ref="D66:E66"/>
    <mergeCell ref="B54:C54"/>
    <mergeCell ref="D54:E54"/>
    <mergeCell ref="D55:E55"/>
    <mergeCell ref="D56:E56"/>
    <mergeCell ref="D58:E58"/>
    <mergeCell ref="D59:E59"/>
    <mergeCell ref="D60:E60"/>
    <mergeCell ref="D61:E61"/>
    <mergeCell ref="D62:E62"/>
    <mergeCell ref="B57:C57"/>
    <mergeCell ref="D57:E57"/>
    <mergeCell ref="B91:C91"/>
    <mergeCell ref="D91:E91"/>
    <mergeCell ref="B92:C92"/>
    <mergeCell ref="D92:E92"/>
    <mergeCell ref="B93:C93"/>
    <mergeCell ref="D93:E93"/>
    <mergeCell ref="B80:C80"/>
    <mergeCell ref="D80:E80"/>
    <mergeCell ref="B81:C81"/>
    <mergeCell ref="D81:E81"/>
    <mergeCell ref="B88:C88"/>
    <mergeCell ref="D88:E88"/>
    <mergeCell ref="B89:C89"/>
    <mergeCell ref="D89:E89"/>
    <mergeCell ref="B90:C90"/>
    <mergeCell ref="D90:E90"/>
    <mergeCell ref="B85:C85"/>
    <mergeCell ref="D85:E85"/>
    <mergeCell ref="B86:C86"/>
    <mergeCell ref="D86:E86"/>
    <mergeCell ref="B87:C87"/>
    <mergeCell ref="D87:E87"/>
    <mergeCell ref="B230:M231"/>
    <mergeCell ref="B232:M232"/>
    <mergeCell ref="J30:J31"/>
    <mergeCell ref="B30:C31"/>
    <mergeCell ref="B200:C201"/>
    <mergeCell ref="B182:C182"/>
    <mergeCell ref="D182:E182"/>
    <mergeCell ref="B188:C188"/>
    <mergeCell ref="D188:E188"/>
    <mergeCell ref="B189:C189"/>
    <mergeCell ref="D189:E189"/>
    <mergeCell ref="B183:C183"/>
    <mergeCell ref="D183:E183"/>
    <mergeCell ref="B184:C184"/>
    <mergeCell ref="D184:E184"/>
    <mergeCell ref="B185:C185"/>
    <mergeCell ref="D185:E185"/>
    <mergeCell ref="B186:C186"/>
    <mergeCell ref="D186:E186"/>
    <mergeCell ref="B187:C187"/>
    <mergeCell ref="D187:E187"/>
    <mergeCell ref="D173:E173"/>
    <mergeCell ref="B174:C174"/>
    <mergeCell ref="D174:E174"/>
  </mergeCells>
  <phoneticPr fontId="2" type="noConversion"/>
  <conditionalFormatting sqref="D202:F215">
    <cfRule type="expression" dxfId="65" priority="3">
      <formula>$C202="Do not fill this line"</formula>
    </cfRule>
  </conditionalFormatting>
  <conditionalFormatting sqref="D203:F203">
    <cfRule type="expression" dxfId="64" priority="2" stopIfTrue="1">
      <formula>$B203="Do not fill this line"</formula>
    </cfRule>
  </conditionalFormatting>
  <conditionalFormatting sqref="D204:F204">
    <cfRule type="expression" dxfId="63" priority="1" stopIfTrue="1">
      <formula>$B204="Do not fill this line"</formula>
    </cfRule>
  </conditionalFormatting>
  <dataValidations count="1">
    <dataValidation type="list" allowBlank="1" showInputMessage="1" showErrorMessage="1" sqref="D198" xr:uid="{5325D9D5-22F4-48A4-BF54-82E62C1FF21B}">
      <formula1>"Yes,No"</formula1>
    </dataValidation>
  </dataValidations>
  <pageMargins left="0.511811024" right="0.511811024" top="0.78740157499999996" bottom="0.78740157499999996" header="0.31496062000000002" footer="0.31496062000000002"/>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D0F04ED-0066-4E66-BB7C-0D6FEB812679}">
          <x14:formula1>
            <xm:f>Definitions!$S$5:$S$18</xm:f>
          </x14:formula1>
          <xm:sqref>B113:C142 B55:C68 B76:C105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DF4A-A31F-4978-A6AF-C6E1EDFF46FF}">
  <sheetPr codeName="Planilha8">
    <tabColor rgb="FFDDCFAD"/>
  </sheetPr>
  <dimension ref="A1:AQ141"/>
  <sheetViews>
    <sheetView showGridLines="0" showRowColHeaders="0" zoomScaleNormal="100" workbookViewId="0">
      <selection activeCell="U22" sqref="U22"/>
    </sheetView>
  </sheetViews>
  <sheetFormatPr defaultColWidth="8.77734375" defaultRowHeight="14.4"/>
  <cols>
    <col min="1" max="1" width="4.33203125" style="3" customWidth="1"/>
    <col min="2" max="2" width="4" style="3" customWidth="1"/>
    <col min="3" max="3" width="39.44140625" style="3" customWidth="1"/>
    <col min="4" max="8" width="9.77734375" style="3" customWidth="1"/>
    <col min="9" max="9" width="19.109375" style="3" customWidth="1"/>
    <col min="10" max="10" width="11" style="172" customWidth="1"/>
    <col min="11" max="11" width="11.33203125" style="3" customWidth="1"/>
    <col min="12" max="12" width="11.44140625" style="3" customWidth="1"/>
    <col min="13" max="13" width="11.77734375" style="4" customWidth="1"/>
    <col min="14" max="14" width="6.33203125" style="4" customWidth="1"/>
    <col min="15" max="16" width="6.33203125" style="3" customWidth="1"/>
    <col min="17" max="17" width="27" style="305" customWidth="1"/>
    <col min="18" max="21" width="10.33203125" style="305" customWidth="1"/>
    <col min="22" max="22" width="2.6640625" style="305" customWidth="1"/>
    <col min="23" max="23" width="2.6640625" style="3" customWidth="1"/>
    <col min="24" max="24" width="25.77734375" style="305" customWidth="1"/>
    <col min="25" max="28" width="10.33203125" style="305" customWidth="1"/>
    <col min="29" max="29" width="2.6640625" style="305" customWidth="1"/>
    <col min="30" max="30" width="2.6640625" style="3" customWidth="1"/>
    <col min="31" max="31" width="25.77734375" style="305" customWidth="1"/>
    <col min="32" max="35" width="10.33203125" style="3" customWidth="1"/>
    <col min="36" max="37" width="2.6640625" style="3" customWidth="1"/>
    <col min="38" max="38" width="25.77734375" style="3" customWidth="1"/>
    <col min="39" max="39" width="11.44140625" style="3" customWidth="1"/>
    <col min="40" max="40" width="11.109375" style="3" customWidth="1"/>
    <col min="41" max="41" width="12" style="3" customWidth="1"/>
    <col min="42" max="42" width="11.44140625" style="3" customWidth="1"/>
    <col min="43" max="43" width="12.44140625" style="3" customWidth="1"/>
    <col min="44" max="16384" width="8.77734375" style="3"/>
  </cols>
  <sheetData>
    <row r="1" spans="1:31" s="130" customFormat="1" ht="33.6">
      <c r="A1" s="127"/>
      <c r="B1" s="128" t="str">
        <f>Introduction!$B$1</f>
        <v>Budget impact analysis of treatments for Advanced cancer</v>
      </c>
      <c r="C1" s="128"/>
      <c r="D1" s="129"/>
      <c r="E1" s="127"/>
      <c r="F1" s="127"/>
      <c r="G1" s="127"/>
      <c r="H1" s="127"/>
      <c r="I1" s="127"/>
      <c r="J1" s="127"/>
      <c r="K1" s="127"/>
      <c r="L1" s="127"/>
      <c r="M1" s="217"/>
      <c r="N1" s="217"/>
      <c r="O1" s="127"/>
      <c r="P1" s="127"/>
      <c r="Q1" s="129"/>
      <c r="R1" s="129"/>
      <c r="S1" s="129"/>
      <c r="T1" s="129"/>
      <c r="U1" s="129"/>
      <c r="V1" s="129"/>
      <c r="W1" s="127"/>
      <c r="X1" s="129"/>
      <c r="Y1" s="129"/>
      <c r="Z1" s="129"/>
      <c r="AA1" s="129"/>
      <c r="AB1" s="129"/>
      <c r="AC1" s="129"/>
      <c r="AD1" s="127"/>
      <c r="AE1" s="129"/>
    </row>
    <row r="2" spans="1:31" s="130" customFormat="1" ht="18">
      <c r="A2" s="127"/>
      <c r="B2" s="131"/>
      <c r="C2" s="131"/>
      <c r="D2" s="132"/>
      <c r="E2" s="133"/>
      <c r="F2" s="133"/>
      <c r="G2" s="133"/>
      <c r="H2" s="133"/>
      <c r="I2" s="133"/>
      <c r="J2" s="133"/>
      <c r="K2" s="133"/>
      <c r="L2" s="133"/>
      <c r="M2" s="217"/>
      <c r="N2" s="217"/>
      <c r="O2" s="127"/>
      <c r="P2" s="127"/>
      <c r="Q2" s="129"/>
      <c r="R2" s="129"/>
      <c r="S2" s="129"/>
      <c r="T2" s="129"/>
      <c r="U2" s="129"/>
      <c r="V2" s="129"/>
      <c r="W2" s="127"/>
      <c r="X2" s="129"/>
      <c r="Y2" s="129"/>
      <c r="Z2" s="129"/>
      <c r="AA2" s="129"/>
      <c r="AB2" s="129"/>
      <c r="AC2" s="129"/>
      <c r="AD2" s="127"/>
      <c r="AE2" s="129"/>
    </row>
    <row r="3" spans="1:31" s="134" customFormat="1" ht="4.2">
      <c r="D3" s="135"/>
      <c r="M3" s="218"/>
      <c r="N3" s="218"/>
      <c r="Q3" s="135"/>
      <c r="R3" s="135"/>
      <c r="S3" s="135"/>
      <c r="T3" s="135"/>
      <c r="U3" s="135"/>
      <c r="V3" s="135"/>
      <c r="X3" s="135"/>
      <c r="Y3" s="135"/>
      <c r="Z3" s="135"/>
      <c r="AA3" s="135"/>
      <c r="AB3" s="135"/>
      <c r="AC3" s="135"/>
      <c r="AE3" s="135"/>
    </row>
    <row r="4" spans="1:31">
      <c r="A4" s="9"/>
      <c r="B4" s="9"/>
      <c r="C4" s="9"/>
      <c r="D4" s="9"/>
      <c r="E4" s="9"/>
      <c r="F4" s="9"/>
      <c r="G4" s="9"/>
      <c r="H4" s="9"/>
      <c r="I4" s="9"/>
      <c r="J4" s="9"/>
      <c r="K4" s="9"/>
      <c r="L4" s="9"/>
      <c r="O4" s="9"/>
      <c r="P4" s="9"/>
      <c r="Q4" s="11"/>
      <c r="R4" s="11"/>
      <c r="S4" s="11"/>
      <c r="T4" s="11"/>
      <c r="U4" s="11"/>
      <c r="V4" s="11"/>
      <c r="W4" s="9"/>
      <c r="X4" s="11"/>
      <c r="Y4" s="11"/>
      <c r="Z4" s="11"/>
      <c r="AA4" s="11"/>
      <c r="AB4" s="11"/>
      <c r="AC4" s="11"/>
      <c r="AD4" s="9"/>
      <c r="AE4" s="11"/>
    </row>
    <row r="5" spans="1:31" s="137" customFormat="1" ht="18">
      <c r="A5" s="136"/>
      <c r="C5" s="140" t="s">
        <v>198</v>
      </c>
      <c r="D5" s="138"/>
      <c r="F5" s="43"/>
      <c r="M5" s="187"/>
      <c r="N5" s="187"/>
      <c r="Q5" s="138"/>
      <c r="R5" s="138"/>
      <c r="S5" s="138"/>
      <c r="T5" s="138"/>
      <c r="U5" s="138"/>
      <c r="V5" s="138"/>
      <c r="X5" s="138"/>
      <c r="Y5" s="138"/>
      <c r="Z5" s="138"/>
      <c r="AA5" s="138"/>
      <c r="AB5" s="138"/>
      <c r="AC5" s="138"/>
      <c r="AE5" s="138"/>
    </row>
    <row r="6" spans="1:31" customFormat="1">
      <c r="C6" s="136" t="s">
        <v>199</v>
      </c>
      <c r="M6" s="283"/>
      <c r="N6" s="283"/>
      <c r="Q6" s="284"/>
      <c r="R6" s="284"/>
      <c r="S6" s="284"/>
      <c r="T6" s="284"/>
      <c r="U6" s="284"/>
      <c r="V6" s="284"/>
      <c r="X6" s="284"/>
      <c r="Y6" s="284"/>
      <c r="Z6" s="284"/>
      <c r="AA6" s="284"/>
      <c r="AB6" s="284"/>
      <c r="AC6" s="284"/>
      <c r="AE6" s="284"/>
    </row>
    <row r="7" spans="1:31" customFormat="1">
      <c r="C7" s="136" t="s">
        <v>200</v>
      </c>
      <c r="M7" s="283"/>
      <c r="N7" s="283"/>
      <c r="Q7" s="284"/>
      <c r="R7" s="284"/>
      <c r="S7" s="284"/>
      <c r="T7" s="284"/>
      <c r="U7" s="284"/>
      <c r="V7" s="284"/>
      <c r="X7" s="284"/>
      <c r="Y7" s="284"/>
      <c r="Z7" s="284"/>
      <c r="AA7" s="284"/>
      <c r="AB7" s="284"/>
      <c r="AC7" s="284"/>
      <c r="AE7" s="284"/>
    </row>
    <row r="8" spans="1:31">
      <c r="A8" s="9"/>
      <c r="B8" s="9"/>
      <c r="C8" s="136" t="s">
        <v>201</v>
      </c>
      <c r="D8" s="9"/>
      <c r="E8" s="11"/>
      <c r="F8" s="9"/>
      <c r="G8" s="9"/>
      <c r="H8" s="9"/>
      <c r="I8" s="9"/>
      <c r="K8" s="9"/>
      <c r="L8" s="9"/>
      <c r="O8" s="9"/>
      <c r="P8" s="9"/>
      <c r="Q8" s="11"/>
      <c r="R8" s="11"/>
      <c r="S8" s="11"/>
      <c r="T8" s="11"/>
      <c r="U8" s="11"/>
      <c r="V8" s="11"/>
      <c r="W8" s="9"/>
      <c r="X8" s="11"/>
      <c r="Y8" s="11"/>
      <c r="Z8" s="11"/>
      <c r="AA8" s="11"/>
      <c r="AB8" s="11"/>
      <c r="AC8" s="11"/>
      <c r="AD8" s="9"/>
      <c r="AE8" s="11"/>
    </row>
    <row r="9" spans="1:31">
      <c r="A9" s="9"/>
      <c r="B9" s="9"/>
      <c r="C9" s="4"/>
      <c r="D9" s="9"/>
      <c r="E9" s="11"/>
      <c r="F9" s="9"/>
      <c r="G9" s="9"/>
      <c r="H9" s="9"/>
      <c r="I9" s="9"/>
      <c r="K9" s="9"/>
      <c r="L9" s="9"/>
      <c r="O9" s="9"/>
      <c r="P9" s="9"/>
      <c r="Q9" s="11"/>
      <c r="R9" s="11"/>
      <c r="S9" s="11"/>
      <c r="T9" s="11"/>
      <c r="U9" s="11"/>
      <c r="V9" s="11"/>
      <c r="W9" s="9"/>
      <c r="X9" s="11"/>
      <c r="Y9" s="11"/>
      <c r="Z9" s="11"/>
      <c r="AA9" s="11"/>
      <c r="AB9" s="11"/>
      <c r="AC9" s="11"/>
      <c r="AD9" s="9"/>
      <c r="AE9" s="11"/>
    </row>
    <row r="10" spans="1:31">
      <c r="A10" s="9"/>
      <c r="B10" s="9"/>
      <c r="C10" s="449" t="s">
        <v>202</v>
      </c>
      <c r="D10" s="449"/>
      <c r="E10" s="449"/>
      <c r="F10" s="449"/>
      <c r="G10" s="449"/>
      <c r="H10" s="449"/>
      <c r="I10" s="9"/>
      <c r="K10" s="9"/>
      <c r="L10" s="9"/>
      <c r="O10" s="9"/>
      <c r="P10" s="9"/>
      <c r="Q10" s="11"/>
      <c r="R10" s="11"/>
      <c r="S10" s="11"/>
      <c r="T10" s="11"/>
      <c r="U10" s="11"/>
      <c r="V10" s="11"/>
      <c r="W10" s="9"/>
      <c r="X10" s="11"/>
      <c r="Y10" s="11"/>
      <c r="Z10" s="11"/>
      <c r="AA10" s="11"/>
      <c r="AB10" s="11"/>
      <c r="AC10" s="11"/>
      <c r="AD10" s="9"/>
      <c r="AE10" s="11"/>
    </row>
    <row r="11" spans="1:31">
      <c r="A11" s="9"/>
      <c r="B11" s="9"/>
      <c r="C11" s="285" t="str">
        <f>IF(D12=0,"Informe a resposta para cada ano"," ")</f>
        <v xml:space="preserve"> </v>
      </c>
      <c r="D11" s="189" t="s">
        <v>193</v>
      </c>
      <c r="E11" s="189" t="s">
        <v>194</v>
      </c>
      <c r="F11" s="189" t="s">
        <v>195</v>
      </c>
      <c r="G11" s="189" t="s">
        <v>197</v>
      </c>
      <c r="H11" s="189" t="s">
        <v>196</v>
      </c>
      <c r="I11" s="9"/>
      <c r="K11" s="9"/>
      <c r="L11" s="9"/>
      <c r="O11" s="9"/>
      <c r="P11" s="9"/>
      <c r="Q11" s="11"/>
      <c r="R11" s="11"/>
      <c r="S11" s="11"/>
      <c r="T11" s="11"/>
      <c r="U11" s="11"/>
      <c r="V11" s="11"/>
      <c r="W11" s="9"/>
      <c r="X11" s="11"/>
      <c r="Y11" s="11"/>
      <c r="Z11" s="11"/>
      <c r="AA11" s="11"/>
      <c r="AB11" s="11"/>
      <c r="AC11" s="11"/>
      <c r="AD11" s="9"/>
      <c r="AE11" s="11"/>
    </row>
    <row r="12" spans="1:31">
      <c r="A12" s="9"/>
      <c r="B12" s="9"/>
      <c r="C12" s="10" t="str">
        <f>IF(intervencao1=0,"Do not fill this line",intervencao1)</f>
        <v>Drug 1</v>
      </c>
      <c r="D12" s="212">
        <v>12</v>
      </c>
      <c r="E12" s="212">
        <v>12</v>
      </c>
      <c r="F12" s="212">
        <v>0</v>
      </c>
      <c r="G12" s="212">
        <v>0</v>
      </c>
      <c r="H12" s="212">
        <v>0</v>
      </c>
      <c r="I12" s="286" t="s">
        <v>204</v>
      </c>
      <c r="K12" s="9"/>
      <c r="L12" s="9"/>
      <c r="O12" s="9"/>
      <c r="P12" s="9"/>
      <c r="Q12" s="11"/>
      <c r="R12" s="11"/>
      <c r="S12" s="11"/>
      <c r="T12" s="11"/>
      <c r="U12" s="11"/>
      <c r="V12" s="11"/>
      <c r="W12" s="9"/>
      <c r="X12" s="11"/>
      <c r="Y12" s="11"/>
      <c r="Z12" s="11"/>
      <c r="AA12" s="11"/>
      <c r="AB12" s="11"/>
      <c r="AC12" s="11"/>
      <c r="AD12" s="9"/>
      <c r="AE12" s="11"/>
    </row>
    <row r="13" spans="1:31">
      <c r="A13" s="9"/>
      <c r="B13" s="9"/>
      <c r="C13" s="10" t="str">
        <f>IF(intervencao2=0,"Do not fill this line",intervencao2)</f>
        <v>Drug 2</v>
      </c>
      <c r="D13" s="212">
        <v>12</v>
      </c>
      <c r="E13" s="212">
        <v>12</v>
      </c>
      <c r="F13" s="212">
        <v>12</v>
      </c>
      <c r="G13" s="212">
        <v>12</v>
      </c>
      <c r="H13" s="212">
        <v>12</v>
      </c>
      <c r="I13" s="286" t="s">
        <v>204</v>
      </c>
      <c r="K13" s="9"/>
      <c r="L13" s="9"/>
      <c r="O13" s="9"/>
      <c r="P13" s="9"/>
      <c r="Q13" s="11"/>
      <c r="R13" s="11"/>
      <c r="S13" s="11"/>
      <c r="T13" s="11"/>
      <c r="U13" s="11"/>
      <c r="V13" s="11"/>
      <c r="W13" s="9"/>
      <c r="X13" s="11"/>
      <c r="Y13" s="11"/>
      <c r="Z13" s="11"/>
      <c r="AA13" s="11"/>
      <c r="AB13" s="11"/>
      <c r="AC13" s="11"/>
      <c r="AD13" s="9"/>
      <c r="AE13" s="11"/>
    </row>
    <row r="14" spans="1:31">
      <c r="A14" s="9"/>
      <c r="B14" s="9"/>
      <c r="C14" s="10" t="str">
        <f>IF(intervencao3=0,"Do not fill this line",intervencao3)</f>
        <v>Do not fill this line</v>
      </c>
      <c r="D14" s="212"/>
      <c r="E14" s="212"/>
      <c r="F14" s="212"/>
      <c r="G14" s="212"/>
      <c r="H14" s="212"/>
      <c r="I14" s="286" t="s">
        <v>204</v>
      </c>
      <c r="K14" s="9"/>
      <c r="L14" s="9"/>
      <c r="O14" s="9"/>
      <c r="P14" s="9"/>
      <c r="Q14" s="11"/>
      <c r="R14" s="11"/>
      <c r="S14" s="11"/>
      <c r="T14" s="11"/>
      <c r="U14" s="11"/>
      <c r="V14" s="11"/>
      <c r="W14" s="9"/>
      <c r="X14" s="11"/>
      <c r="Y14" s="11"/>
      <c r="Z14" s="11"/>
      <c r="AA14" s="11"/>
      <c r="AB14" s="11"/>
      <c r="AC14" s="11"/>
      <c r="AD14" s="9"/>
      <c r="AE14" s="11"/>
    </row>
    <row r="15" spans="1:31">
      <c r="A15" s="9"/>
      <c r="B15" s="9"/>
      <c r="C15" s="10" t="str">
        <f>IF(intervencao4=0,"Do not fill this line",intervencao4)</f>
        <v>Do not fill this line</v>
      </c>
      <c r="D15" s="212"/>
      <c r="E15" s="212"/>
      <c r="F15" s="212"/>
      <c r="G15" s="212"/>
      <c r="H15" s="212"/>
      <c r="I15" s="286" t="s">
        <v>204</v>
      </c>
      <c r="K15" s="9"/>
      <c r="L15" s="9"/>
      <c r="O15" s="9"/>
      <c r="P15" s="9"/>
      <c r="Q15" s="11"/>
      <c r="R15" s="11"/>
      <c r="S15" s="11"/>
      <c r="T15" s="11"/>
      <c r="U15" s="11"/>
      <c r="V15" s="11"/>
      <c r="W15" s="9"/>
      <c r="X15" s="11"/>
      <c r="Y15" s="11"/>
      <c r="Z15" s="11"/>
      <c r="AA15" s="11"/>
      <c r="AB15" s="11"/>
      <c r="AC15" s="11"/>
      <c r="AD15" s="9"/>
      <c r="AE15" s="11"/>
    </row>
    <row r="16" spans="1:31">
      <c r="A16" s="9"/>
      <c r="B16" s="9"/>
      <c r="C16" s="10"/>
      <c r="D16" s="9"/>
      <c r="E16" s="11"/>
      <c r="F16" s="9"/>
      <c r="G16" s="9"/>
      <c r="H16" s="9"/>
      <c r="I16" s="9"/>
      <c r="K16" s="9"/>
      <c r="L16" s="9"/>
      <c r="O16" s="9"/>
      <c r="P16" s="9"/>
      <c r="Q16" s="11"/>
      <c r="R16" s="11"/>
      <c r="S16" s="11"/>
      <c r="T16" s="11"/>
      <c r="U16" s="11"/>
      <c r="V16" s="11"/>
      <c r="W16" s="9"/>
      <c r="X16" s="11"/>
      <c r="Y16" s="11"/>
      <c r="Z16" s="11"/>
      <c r="AA16" s="11"/>
      <c r="AB16" s="11"/>
      <c r="AC16" s="11"/>
      <c r="AD16" s="9"/>
      <c r="AE16" s="11"/>
    </row>
    <row r="17" spans="2:31">
      <c r="B17" s="9"/>
      <c r="C17" s="449" t="s">
        <v>203</v>
      </c>
      <c r="D17" s="449"/>
      <c r="E17" s="449"/>
      <c r="F17" s="449"/>
      <c r="G17" s="449"/>
      <c r="H17" s="449"/>
      <c r="I17" s="9"/>
      <c r="K17" s="9"/>
      <c r="L17" s="9"/>
      <c r="O17" s="9"/>
      <c r="P17" s="9"/>
      <c r="Q17" s="11"/>
      <c r="R17" s="11"/>
      <c r="S17" s="11"/>
      <c r="T17" s="11"/>
      <c r="U17" s="11"/>
      <c r="V17" s="11"/>
      <c r="W17" s="9"/>
      <c r="X17" s="11"/>
      <c r="Y17" s="11"/>
      <c r="Z17" s="11"/>
      <c r="AA17" s="11"/>
      <c r="AB17" s="11"/>
      <c r="AC17" s="11"/>
      <c r="AD17" s="9"/>
      <c r="AE17" s="11"/>
    </row>
    <row r="18" spans="2:31">
      <c r="B18" s="9"/>
      <c r="C18" s="285" t="str">
        <f>IF(D19=0,"Informe a resposta para cada ano"," ")</f>
        <v xml:space="preserve"> </v>
      </c>
      <c r="D18" s="189" t="s">
        <v>193</v>
      </c>
      <c r="E18" s="189" t="s">
        <v>194</v>
      </c>
      <c r="F18" s="189" t="s">
        <v>195</v>
      </c>
      <c r="G18" s="189" t="s">
        <v>197</v>
      </c>
      <c r="H18" s="189" t="s">
        <v>196</v>
      </c>
      <c r="I18" s="9"/>
      <c r="K18" s="9"/>
      <c r="L18" s="9"/>
      <c r="O18" s="9"/>
      <c r="P18" s="9"/>
      <c r="Q18" s="11"/>
      <c r="R18" s="11"/>
      <c r="S18" s="11"/>
      <c r="T18" s="11"/>
      <c r="U18" s="11"/>
      <c r="V18" s="11"/>
      <c r="W18" s="9"/>
      <c r="X18" s="11"/>
      <c r="Y18" s="11"/>
      <c r="Z18" s="11"/>
      <c r="AA18" s="11"/>
      <c r="AB18" s="11"/>
      <c r="AC18" s="11"/>
      <c r="AD18" s="9"/>
      <c r="AE18" s="11"/>
    </row>
    <row r="19" spans="2:31">
      <c r="B19" s="9"/>
      <c r="C19" s="10" t="str">
        <f>IF(comparador1=0,"Do not fill this line",comparador1)</f>
        <v>BSC</v>
      </c>
      <c r="D19" s="212">
        <v>12</v>
      </c>
      <c r="E19" s="212">
        <v>12</v>
      </c>
      <c r="F19" s="212">
        <v>12</v>
      </c>
      <c r="G19" s="212">
        <v>12</v>
      </c>
      <c r="H19" s="212">
        <v>12</v>
      </c>
      <c r="I19" s="286" t="s">
        <v>204</v>
      </c>
      <c r="K19" s="9"/>
      <c r="L19" s="9"/>
      <c r="O19" s="9"/>
      <c r="P19" s="9"/>
      <c r="Q19" s="11"/>
      <c r="R19" s="11"/>
      <c r="S19" s="11"/>
      <c r="T19" s="11"/>
      <c r="U19" s="11"/>
      <c r="V19" s="11"/>
      <c r="W19" s="9"/>
      <c r="X19" s="11"/>
      <c r="Y19" s="11"/>
      <c r="Z19" s="11"/>
      <c r="AA19" s="11"/>
      <c r="AB19" s="11"/>
      <c r="AC19" s="11"/>
      <c r="AD19" s="9"/>
      <c r="AE19" s="11"/>
    </row>
    <row r="20" spans="2:31">
      <c r="B20" s="9"/>
      <c r="C20" s="10" t="str">
        <f>IF(comparador2=0,"Do not fill this line",comparador2)</f>
        <v>Do not fill this line</v>
      </c>
      <c r="D20" s="212"/>
      <c r="E20" s="212"/>
      <c r="F20" s="212"/>
      <c r="G20" s="212"/>
      <c r="H20" s="212"/>
      <c r="I20" s="286" t="s">
        <v>204</v>
      </c>
      <c r="K20" s="9"/>
      <c r="L20" s="9"/>
      <c r="O20" s="9"/>
      <c r="P20" s="9"/>
      <c r="Q20" s="11"/>
      <c r="R20" s="11"/>
      <c r="S20" s="11"/>
      <c r="T20" s="11"/>
      <c r="U20" s="11"/>
      <c r="V20" s="11"/>
      <c r="W20" s="9"/>
      <c r="X20" s="11"/>
      <c r="Y20" s="11"/>
      <c r="Z20" s="11"/>
      <c r="AA20" s="11"/>
      <c r="AB20" s="11"/>
      <c r="AC20" s="11"/>
      <c r="AD20" s="9"/>
      <c r="AE20" s="11"/>
    </row>
    <row r="21" spans="2:31">
      <c r="B21" s="9"/>
      <c r="C21" s="10" t="str">
        <f>IF(comparador3=0,"Do not fill this line",comparador3)</f>
        <v>Do not fill this line</v>
      </c>
      <c r="D21" s="212"/>
      <c r="E21" s="212"/>
      <c r="F21" s="212"/>
      <c r="G21" s="212"/>
      <c r="H21" s="212"/>
      <c r="I21" s="286" t="s">
        <v>204</v>
      </c>
      <c r="K21" s="9"/>
      <c r="L21" s="9"/>
      <c r="O21" s="9"/>
      <c r="P21" s="9"/>
      <c r="Q21" s="11"/>
      <c r="R21" s="11"/>
      <c r="S21" s="11"/>
      <c r="T21" s="11"/>
      <c r="U21" s="11"/>
      <c r="V21" s="11"/>
      <c r="W21" s="9"/>
      <c r="X21" s="11"/>
      <c r="Y21" s="11"/>
      <c r="Z21" s="11"/>
      <c r="AA21" s="11"/>
      <c r="AB21" s="11"/>
      <c r="AC21" s="11"/>
      <c r="AD21" s="9"/>
      <c r="AE21" s="11"/>
    </row>
    <row r="22" spans="2:31">
      <c r="B22" s="9"/>
      <c r="C22" s="10" t="str">
        <f>IF(comparador4=0,"Do not fill this line",comparador4)</f>
        <v>Do not fill this line</v>
      </c>
      <c r="D22" s="212"/>
      <c r="E22" s="212"/>
      <c r="F22" s="212"/>
      <c r="G22" s="212"/>
      <c r="H22" s="212"/>
      <c r="I22" s="286" t="s">
        <v>204</v>
      </c>
      <c r="K22" s="9"/>
      <c r="L22" s="9"/>
      <c r="O22" s="9"/>
      <c r="P22" s="9"/>
      <c r="Q22" s="11"/>
      <c r="R22" s="11"/>
      <c r="S22" s="11"/>
      <c r="T22" s="11"/>
      <c r="U22" s="11"/>
      <c r="V22" s="11"/>
      <c r="W22" s="9"/>
      <c r="X22" s="11"/>
      <c r="Y22" s="11"/>
      <c r="Z22" s="11"/>
      <c r="AA22" s="11"/>
      <c r="AB22" s="11"/>
      <c r="AC22" s="11"/>
      <c r="AD22" s="9"/>
      <c r="AE22" s="11"/>
    </row>
    <row r="23" spans="2:31">
      <c r="B23" s="9"/>
      <c r="C23" s="10" t="str">
        <f>IF(comparador5=0,"Do not fill this line",comparador5)</f>
        <v>Do not fill this line</v>
      </c>
      <c r="D23" s="212"/>
      <c r="E23" s="212"/>
      <c r="F23" s="212"/>
      <c r="G23" s="212"/>
      <c r="H23" s="212"/>
      <c r="I23" s="286" t="s">
        <v>204</v>
      </c>
      <c r="K23" s="9"/>
      <c r="L23" s="9"/>
      <c r="O23" s="9"/>
      <c r="P23" s="9"/>
      <c r="Q23" s="11"/>
      <c r="R23" s="11"/>
      <c r="S23" s="11"/>
      <c r="T23" s="11"/>
      <c r="U23" s="11"/>
      <c r="V23" s="11"/>
      <c r="W23" s="9"/>
      <c r="X23" s="11"/>
      <c r="Y23" s="11"/>
      <c r="Z23" s="11"/>
      <c r="AA23" s="11"/>
      <c r="AB23" s="11"/>
      <c r="AC23" s="11"/>
      <c r="AD23" s="9"/>
      <c r="AE23" s="11"/>
    </row>
    <row r="24" spans="2:31">
      <c r="B24" s="9"/>
      <c r="C24" s="10" t="str">
        <f>IF(comparador6=0,"Do not fill this line",comparador6)</f>
        <v>Do not fill this line</v>
      </c>
      <c r="D24" s="212"/>
      <c r="E24" s="212"/>
      <c r="F24" s="212"/>
      <c r="G24" s="212"/>
      <c r="H24" s="212"/>
      <c r="I24" s="286" t="s">
        <v>204</v>
      </c>
      <c r="K24" s="9"/>
      <c r="L24" s="9"/>
      <c r="O24" s="9"/>
      <c r="P24" s="9"/>
      <c r="Q24" s="11"/>
      <c r="R24" s="11"/>
      <c r="S24" s="11"/>
      <c r="T24" s="11"/>
      <c r="U24" s="11"/>
      <c r="V24" s="11"/>
      <c r="W24" s="9"/>
      <c r="X24" s="11"/>
      <c r="Y24" s="11"/>
      <c r="Z24" s="11"/>
      <c r="AA24" s="11"/>
      <c r="AB24" s="11"/>
      <c r="AC24" s="11"/>
      <c r="AD24" s="9"/>
      <c r="AE24" s="11"/>
    </row>
    <row r="25" spans="2:31">
      <c r="B25" s="9"/>
      <c r="C25" s="10" t="str">
        <f>IF(comparador7=0,"Do not fill this line",comparador7)</f>
        <v>Do not fill this line</v>
      </c>
      <c r="D25" s="212"/>
      <c r="E25" s="212"/>
      <c r="F25" s="212"/>
      <c r="G25" s="212"/>
      <c r="H25" s="212"/>
      <c r="I25" s="286" t="s">
        <v>204</v>
      </c>
      <c r="K25" s="9"/>
      <c r="L25" s="9"/>
      <c r="O25" s="9"/>
      <c r="P25" s="9"/>
      <c r="Q25" s="11"/>
      <c r="R25" s="11"/>
      <c r="S25" s="11"/>
      <c r="T25" s="11"/>
      <c r="U25" s="11"/>
      <c r="V25" s="11"/>
      <c r="W25" s="9"/>
      <c r="X25" s="11"/>
      <c r="Y25" s="11"/>
      <c r="Z25" s="11"/>
      <c r="AA25" s="11"/>
      <c r="AB25" s="11"/>
      <c r="AC25" s="11"/>
      <c r="AD25" s="9"/>
      <c r="AE25" s="11"/>
    </row>
    <row r="26" spans="2:31">
      <c r="B26" s="9"/>
      <c r="C26" s="10" t="str">
        <f>IF(comparador8=0,"Do not fill this line",comparador8)</f>
        <v>Do not fill this line</v>
      </c>
      <c r="D26" s="212"/>
      <c r="E26" s="212"/>
      <c r="F26" s="212"/>
      <c r="G26" s="212"/>
      <c r="H26" s="212"/>
      <c r="I26" s="286" t="s">
        <v>204</v>
      </c>
      <c r="K26" s="9"/>
      <c r="L26" s="9"/>
      <c r="O26" s="9"/>
      <c r="P26" s="9"/>
      <c r="Q26" s="11"/>
      <c r="R26" s="11"/>
      <c r="S26" s="11"/>
      <c r="T26" s="11"/>
      <c r="U26" s="11"/>
      <c r="V26" s="11"/>
      <c r="W26" s="9"/>
      <c r="X26" s="11"/>
      <c r="Y26" s="11"/>
      <c r="Z26" s="11"/>
      <c r="AA26" s="11"/>
      <c r="AB26" s="11"/>
      <c r="AC26" s="11"/>
      <c r="AD26" s="9"/>
      <c r="AE26" s="11"/>
    </row>
    <row r="27" spans="2:31">
      <c r="B27" s="9"/>
      <c r="C27" s="10" t="str">
        <f>IF(comparador9=0,"Do not fill this line",comparador9)</f>
        <v>Do not fill this line</v>
      </c>
      <c r="D27" s="212"/>
      <c r="E27" s="212"/>
      <c r="F27" s="212"/>
      <c r="G27" s="212"/>
      <c r="H27" s="212"/>
      <c r="I27" s="286" t="s">
        <v>204</v>
      </c>
      <c r="K27" s="9"/>
      <c r="L27" s="9"/>
      <c r="O27" s="9"/>
      <c r="P27" s="9"/>
      <c r="Q27" s="11"/>
      <c r="R27" s="11"/>
      <c r="S27" s="11"/>
      <c r="T27" s="11"/>
      <c r="U27" s="11"/>
      <c r="V27" s="11"/>
      <c r="W27" s="9"/>
      <c r="X27" s="11"/>
      <c r="Y27" s="11"/>
      <c r="Z27" s="11"/>
      <c r="AA27" s="11"/>
      <c r="AB27" s="11"/>
      <c r="AC27" s="11"/>
      <c r="AD27" s="9"/>
      <c r="AE27" s="11"/>
    </row>
    <row r="28" spans="2:31">
      <c r="B28" s="9"/>
      <c r="C28" s="10" t="str">
        <f>IF(comparador10=0,"Do not fill this line",comparador10)</f>
        <v>Do not fill this line</v>
      </c>
      <c r="D28" s="212"/>
      <c r="E28" s="212"/>
      <c r="F28" s="212"/>
      <c r="G28" s="212"/>
      <c r="H28" s="212"/>
      <c r="I28" s="286" t="s">
        <v>204</v>
      </c>
      <c r="K28" s="9"/>
      <c r="L28" s="9"/>
      <c r="O28" s="9"/>
      <c r="P28" s="9"/>
      <c r="Q28" s="11"/>
      <c r="R28" s="11"/>
      <c r="S28" s="11"/>
      <c r="T28" s="11"/>
      <c r="U28" s="11"/>
      <c r="V28" s="11"/>
      <c r="W28" s="9"/>
      <c r="X28" s="11"/>
      <c r="Y28" s="11"/>
      <c r="Z28" s="11"/>
      <c r="AA28" s="11"/>
      <c r="AB28" s="11"/>
      <c r="AC28" s="11"/>
      <c r="AD28" s="9"/>
      <c r="AE28" s="11"/>
    </row>
    <row r="29" spans="2:31">
      <c r="B29" s="9"/>
      <c r="C29" s="9"/>
      <c r="D29" s="9"/>
      <c r="E29" s="9"/>
      <c r="F29" s="9"/>
      <c r="G29" s="9"/>
      <c r="H29" s="9"/>
      <c r="I29" s="9"/>
      <c r="K29" s="9"/>
      <c r="L29" s="9"/>
      <c r="O29" s="9"/>
      <c r="P29" s="9"/>
      <c r="Q29" s="11"/>
      <c r="R29" s="11"/>
      <c r="S29" s="11"/>
      <c r="T29" s="11"/>
      <c r="U29" s="11"/>
      <c r="V29" s="11"/>
      <c r="W29" s="9"/>
      <c r="X29" s="11"/>
      <c r="Y29" s="11"/>
      <c r="Z29" s="11"/>
      <c r="AA29" s="11"/>
      <c r="AB29" s="11"/>
      <c r="AC29" s="11"/>
      <c r="AD29" s="9"/>
      <c r="AE29" s="11"/>
    </row>
    <row r="30" spans="2:31">
      <c r="B30" s="9"/>
      <c r="C30" s="9"/>
      <c r="D30" s="9"/>
      <c r="E30" s="9"/>
      <c r="F30" s="9"/>
      <c r="G30" s="9"/>
      <c r="H30" s="9"/>
      <c r="I30" s="9"/>
      <c r="K30" s="9"/>
      <c r="L30" s="9"/>
      <c r="O30" s="9"/>
      <c r="P30" s="9"/>
      <c r="Q30" s="11"/>
      <c r="R30" s="11"/>
      <c r="S30" s="11"/>
      <c r="T30" s="11"/>
      <c r="U30" s="11"/>
      <c r="V30" s="11"/>
      <c r="W30" s="9"/>
      <c r="X30" s="11"/>
      <c r="Y30" s="11"/>
      <c r="Z30" s="11"/>
      <c r="AA30" s="11"/>
      <c r="AB30" s="11"/>
      <c r="AC30" s="11"/>
      <c r="AD30" s="9"/>
      <c r="AE30" s="11"/>
    </row>
    <row r="31" spans="2:31" customFormat="1">
      <c r="C31" s="63"/>
      <c r="D31" s="7"/>
      <c r="E31" s="7"/>
      <c r="F31" s="7"/>
      <c r="G31" s="7"/>
      <c r="H31" s="7"/>
      <c r="I31" s="7"/>
      <c r="J31" s="7"/>
      <c r="K31" s="7"/>
      <c r="L31" s="7"/>
      <c r="M31" s="7"/>
      <c r="N31" s="7"/>
      <c r="O31" s="7"/>
      <c r="P31" s="7"/>
      <c r="Q31" s="287"/>
      <c r="R31" s="287"/>
      <c r="S31" s="287"/>
      <c r="T31" s="284"/>
      <c r="U31" s="284"/>
      <c r="V31" s="284"/>
      <c r="W31" s="7"/>
      <c r="X31" s="284"/>
      <c r="Y31" s="284"/>
      <c r="Z31" s="284"/>
      <c r="AA31" s="284"/>
      <c r="AB31" s="284"/>
      <c r="AC31" s="284"/>
      <c r="AE31" s="284"/>
    </row>
    <row r="32" spans="2:31" customFormat="1">
      <c r="C32" s="64"/>
      <c r="D32" s="65"/>
      <c r="E32" s="65"/>
      <c r="F32" s="65"/>
      <c r="G32" s="65"/>
      <c r="H32" s="65"/>
      <c r="I32" s="65"/>
      <c r="J32" s="65"/>
      <c r="K32" s="65"/>
      <c r="L32" s="65"/>
      <c r="M32" s="65"/>
      <c r="N32" s="65"/>
      <c r="O32" s="7"/>
      <c r="P32" s="7"/>
      <c r="Q32" s="287"/>
      <c r="R32" s="287"/>
      <c r="S32" s="287"/>
      <c r="T32" s="284"/>
      <c r="U32" s="284"/>
      <c r="V32" s="284"/>
      <c r="W32" s="7"/>
      <c r="X32" s="284"/>
      <c r="Y32" s="284"/>
      <c r="Z32" s="284"/>
      <c r="AA32" s="284"/>
      <c r="AB32" s="284"/>
      <c r="AC32" s="284"/>
      <c r="AE32" s="284"/>
    </row>
    <row r="33" spans="3:39" customFormat="1">
      <c r="C33" s="63"/>
      <c r="D33" s="7"/>
      <c r="E33" s="7"/>
      <c r="F33" s="7"/>
      <c r="G33" s="7"/>
      <c r="H33" s="7"/>
      <c r="I33" s="7"/>
      <c r="J33" s="7"/>
      <c r="K33" s="7"/>
      <c r="L33" s="7"/>
      <c r="M33" s="7"/>
      <c r="N33" s="7"/>
      <c r="O33" s="7"/>
      <c r="P33" s="7"/>
      <c r="Q33" s="287"/>
      <c r="R33" s="287"/>
      <c r="S33" s="287"/>
      <c r="T33" s="284"/>
      <c r="U33" s="284"/>
      <c r="V33" s="284"/>
      <c r="W33" s="7"/>
      <c r="X33" s="284"/>
      <c r="Y33" s="284"/>
      <c r="Z33" s="284"/>
      <c r="AA33" s="284"/>
      <c r="AB33" s="284"/>
      <c r="AC33" s="284"/>
      <c r="AE33" s="284"/>
    </row>
    <row r="34" spans="3:39">
      <c r="C34" s="9"/>
      <c r="D34" s="9"/>
      <c r="E34" s="9"/>
      <c r="F34" s="9"/>
      <c r="G34" s="9"/>
      <c r="H34" s="9"/>
      <c r="I34" s="9"/>
      <c r="K34" s="9"/>
      <c r="L34" s="9"/>
      <c r="O34" s="9"/>
      <c r="P34" s="9"/>
      <c r="Q34" s="11"/>
      <c r="R34" s="11"/>
      <c r="S34" s="11"/>
      <c r="T34" s="11"/>
      <c r="U34" s="11"/>
      <c r="V34" s="11"/>
      <c r="W34" s="9"/>
      <c r="X34" s="11"/>
      <c r="Y34" s="11"/>
      <c r="Z34" s="11"/>
      <c r="AA34" s="11"/>
      <c r="AB34" s="11"/>
      <c r="AC34" s="11"/>
      <c r="AD34" s="9"/>
      <c r="AE34" s="11"/>
      <c r="AF34" s="9"/>
      <c r="AG34" s="9"/>
      <c r="AH34" s="9"/>
      <c r="AI34" s="9"/>
      <c r="AJ34" s="9"/>
      <c r="AK34" s="9"/>
      <c r="AL34" s="9"/>
      <c r="AM34" s="9"/>
    </row>
    <row r="35" spans="3:39" customFormat="1" ht="18">
      <c r="C35" s="140" t="s">
        <v>258</v>
      </c>
      <c r="M35" s="283"/>
      <c r="N35" s="283"/>
      <c r="Q35" s="284"/>
      <c r="R35" s="284"/>
      <c r="S35" s="284"/>
      <c r="T35" s="284"/>
      <c r="U35" s="284"/>
      <c r="V35" s="284"/>
      <c r="X35" s="284"/>
      <c r="Y35" s="284"/>
      <c r="Z35" s="284"/>
      <c r="AA35" s="284"/>
      <c r="AB35" s="284"/>
      <c r="AC35" s="284"/>
      <c r="AE35" s="284"/>
    </row>
    <row r="36" spans="3:39">
      <c r="C36" t="s">
        <v>259</v>
      </c>
      <c r="D36" s="9"/>
      <c r="E36" s="9"/>
      <c r="F36" s="9"/>
      <c r="G36" s="9"/>
      <c r="H36" s="9"/>
      <c r="I36" s="9"/>
      <c r="K36" s="9"/>
      <c r="L36" s="9"/>
      <c r="O36" s="9"/>
      <c r="P36" s="9"/>
      <c r="Q36" s="11"/>
      <c r="R36" s="11"/>
      <c r="S36" s="11"/>
      <c r="T36" s="11"/>
      <c r="U36" s="11"/>
      <c r="V36" s="11"/>
      <c r="W36" s="9"/>
      <c r="X36" s="11"/>
      <c r="Y36" s="11"/>
      <c r="Z36" s="11"/>
      <c r="AA36" s="11"/>
      <c r="AB36" s="11"/>
      <c r="AC36" s="11"/>
      <c r="AD36" s="9"/>
      <c r="AE36" s="11"/>
      <c r="AF36" s="9"/>
      <c r="AG36" s="9"/>
      <c r="AH36" s="9"/>
      <c r="AI36" s="9"/>
      <c r="AJ36" s="9"/>
      <c r="AK36" s="9"/>
      <c r="AL36" s="9"/>
      <c r="AM36" s="9"/>
    </row>
    <row r="37" spans="3:39" customFormat="1">
      <c r="C37" t="s">
        <v>260</v>
      </c>
      <c r="M37" s="283"/>
      <c r="N37" s="283"/>
      <c r="Q37" s="284"/>
      <c r="R37" s="284"/>
      <c r="S37" s="284"/>
      <c r="T37" s="284"/>
      <c r="U37" s="284"/>
      <c r="V37" s="284"/>
      <c r="X37" s="284"/>
      <c r="Y37" s="284"/>
      <c r="Z37" s="284"/>
      <c r="AA37" s="284"/>
      <c r="AB37" s="284"/>
      <c r="AC37" s="284"/>
      <c r="AE37" s="284"/>
    </row>
    <row r="38" spans="3:39" customFormat="1">
      <c r="C38" s="136"/>
      <c r="M38" s="283"/>
      <c r="N38" s="283"/>
      <c r="Q38" s="284"/>
      <c r="R38" s="284"/>
      <c r="S38" s="284"/>
      <c r="T38" s="284"/>
      <c r="U38" s="284"/>
      <c r="V38" s="284"/>
      <c r="X38" s="284"/>
      <c r="Y38" s="284"/>
      <c r="Z38" s="284"/>
      <c r="AA38" s="284"/>
      <c r="AB38" s="284"/>
      <c r="AC38" s="284"/>
      <c r="AE38" s="284"/>
    </row>
    <row r="39" spans="3:39" customFormat="1">
      <c r="C39" s="187"/>
      <c r="M39" s="283"/>
      <c r="N39" s="283"/>
      <c r="Q39" s="284"/>
      <c r="R39" s="284"/>
      <c r="S39" s="284"/>
      <c r="T39" s="284"/>
      <c r="U39" s="284"/>
      <c r="V39" s="284"/>
      <c r="X39" s="284"/>
      <c r="Y39" s="284"/>
      <c r="Z39" s="284"/>
      <c r="AA39" s="284"/>
      <c r="AB39" s="284"/>
      <c r="AC39" s="284"/>
      <c r="AE39" s="284"/>
    </row>
    <row r="40" spans="3:39">
      <c r="C40" s="466" t="s">
        <v>261</v>
      </c>
      <c r="D40" s="7"/>
      <c r="E40" s="437" t="s">
        <v>299</v>
      </c>
      <c r="F40" s="467"/>
      <c r="G40" s="438"/>
      <c r="H40" s="288">
        <f>IF(E40="No",2,1)</f>
        <v>1</v>
      </c>
      <c r="I40" s="9"/>
      <c r="J40" s="7"/>
      <c r="K40" s="7"/>
      <c r="L40" s="7"/>
      <c r="M40" s="289"/>
      <c r="N40" s="289"/>
      <c r="O40" s="9"/>
      <c r="P40" s="9"/>
      <c r="Q40" s="11"/>
      <c r="R40" s="11"/>
      <c r="S40" s="11"/>
      <c r="T40" s="11"/>
      <c r="U40" s="11"/>
      <c r="V40" s="11"/>
      <c r="W40" s="9"/>
      <c r="X40" s="11"/>
      <c r="Y40" s="11"/>
      <c r="Z40" s="11"/>
      <c r="AA40" s="11"/>
      <c r="AB40" s="11"/>
      <c r="AC40" s="11"/>
      <c r="AD40" s="9"/>
      <c r="AE40" s="11"/>
      <c r="AF40" s="9"/>
      <c r="AG40" s="9"/>
      <c r="AH40" s="9"/>
      <c r="AI40" s="9"/>
      <c r="AJ40" s="9"/>
      <c r="AK40" s="9"/>
      <c r="AL40" s="9"/>
      <c r="AM40" s="9"/>
    </row>
    <row r="41" spans="3:39">
      <c r="C41" s="466"/>
      <c r="D41" s="7"/>
      <c r="E41" s="290" t="s">
        <v>314</v>
      </c>
      <c r="F41" s="7"/>
      <c r="G41" s="7"/>
      <c r="H41" s="7"/>
      <c r="I41" s="7"/>
      <c r="J41" s="7"/>
      <c r="K41" s="7"/>
      <c r="L41" s="7"/>
      <c r="M41" s="289"/>
      <c r="N41" s="289"/>
      <c r="O41" s="9"/>
      <c r="P41" s="9"/>
      <c r="Q41" s="11"/>
      <c r="R41" s="11"/>
      <c r="S41" s="11"/>
      <c r="T41" s="11"/>
      <c r="U41" s="11"/>
      <c r="V41" s="11"/>
      <c r="W41" s="9"/>
      <c r="X41" s="11"/>
      <c r="Y41" s="11"/>
      <c r="Z41" s="11"/>
      <c r="AA41" s="11"/>
      <c r="AB41" s="11"/>
      <c r="AC41" s="11"/>
      <c r="AD41" s="9"/>
      <c r="AE41" s="11"/>
      <c r="AF41" s="9"/>
      <c r="AG41" s="9"/>
      <c r="AH41" s="9"/>
      <c r="AI41" s="9"/>
      <c r="AJ41" s="9"/>
      <c r="AK41" s="9"/>
      <c r="AL41" s="9"/>
      <c r="AM41" s="9"/>
    </row>
    <row r="42" spans="3:39">
      <c r="C42" s="9"/>
      <c r="D42" s="7"/>
      <c r="E42" s="7"/>
      <c r="F42" s="7"/>
      <c r="G42" s="7"/>
      <c r="H42" s="7"/>
      <c r="I42" s="7"/>
      <c r="J42" s="7"/>
      <c r="K42" s="7"/>
      <c r="L42" s="7"/>
      <c r="M42" s="289"/>
      <c r="N42" s="289"/>
      <c r="O42" s="9"/>
      <c r="P42" s="9"/>
      <c r="Q42" s="11"/>
      <c r="R42" s="11"/>
      <c r="S42" s="11"/>
      <c r="T42" s="11"/>
      <c r="U42" s="11"/>
      <c r="V42" s="11"/>
      <c r="W42" s="9"/>
      <c r="X42" s="11"/>
      <c r="Y42" s="11"/>
      <c r="Z42" s="11"/>
      <c r="AA42" s="11"/>
      <c r="AB42" s="11"/>
      <c r="AC42" s="11"/>
      <c r="AD42" s="9"/>
      <c r="AE42" s="11"/>
      <c r="AF42" s="9"/>
      <c r="AG42" s="9"/>
      <c r="AH42" s="9"/>
      <c r="AI42" s="9"/>
      <c r="AJ42" s="9"/>
      <c r="AK42" s="9"/>
      <c r="AL42" s="9"/>
      <c r="AM42" s="9"/>
    </row>
    <row r="43" spans="3:39">
      <c r="C43" s="42"/>
      <c r="D43" s="7"/>
      <c r="E43" s="7"/>
      <c r="F43" s="7"/>
      <c r="G43" s="7"/>
      <c r="H43" s="7"/>
      <c r="I43" s="7"/>
      <c r="J43" s="7"/>
      <c r="K43" s="7"/>
      <c r="L43" s="7"/>
      <c r="M43" s="289"/>
      <c r="N43" s="289"/>
      <c r="O43" s="9"/>
      <c r="P43" s="9"/>
      <c r="Q43" s="11"/>
      <c r="R43" s="11"/>
      <c r="S43" s="11"/>
      <c r="T43" s="11"/>
      <c r="U43" s="11"/>
      <c r="V43" s="11"/>
      <c r="W43" s="9"/>
      <c r="X43" s="11"/>
      <c r="Y43" s="11"/>
      <c r="Z43" s="11"/>
      <c r="AA43" s="11"/>
      <c r="AB43" s="11"/>
      <c r="AC43" s="11"/>
      <c r="AD43" s="9"/>
      <c r="AE43" s="11"/>
      <c r="AF43" s="9"/>
      <c r="AG43" s="9"/>
      <c r="AH43" s="9"/>
      <c r="AI43" s="9"/>
      <c r="AJ43" s="9"/>
      <c r="AK43" s="9"/>
      <c r="AL43" s="9"/>
      <c r="AM43" s="9"/>
    </row>
    <row r="44" spans="3:39">
      <c r="C44" s="42"/>
      <c r="D44" s="7"/>
      <c r="E44" s="7"/>
      <c r="F44" s="7"/>
      <c r="G44" s="7"/>
      <c r="H44" s="7"/>
      <c r="I44" s="7"/>
      <c r="J44" s="7"/>
      <c r="K44" s="7"/>
      <c r="L44" s="7"/>
      <c r="M44" s="289"/>
      <c r="N44" s="289"/>
      <c r="O44" s="9"/>
      <c r="P44" s="9"/>
      <c r="Q44" s="11"/>
      <c r="R44" s="11"/>
      <c r="S44" s="11"/>
      <c r="T44" s="11"/>
      <c r="U44" s="11"/>
      <c r="V44" s="11"/>
      <c r="W44" s="9"/>
      <c r="X44" s="11"/>
      <c r="Y44" s="11"/>
      <c r="Z44" s="11"/>
      <c r="AA44" s="11"/>
      <c r="AB44" s="11"/>
      <c r="AC44" s="11"/>
      <c r="AD44" s="9"/>
      <c r="AE44" s="11"/>
      <c r="AF44" s="9"/>
      <c r="AG44" s="9"/>
      <c r="AH44" s="9"/>
      <c r="AI44" s="9"/>
      <c r="AJ44" s="9"/>
      <c r="AK44" s="9"/>
      <c r="AL44" s="9"/>
      <c r="AM44" s="9"/>
    </row>
    <row r="45" spans="3:39">
      <c r="C45" s="239"/>
      <c r="D45" s="289"/>
      <c r="E45" s="7"/>
      <c r="F45" s="7"/>
      <c r="G45" s="7"/>
      <c r="H45" s="7"/>
      <c r="I45" s="7"/>
      <c r="J45" s="7"/>
      <c r="K45" s="7"/>
      <c r="L45" s="7"/>
      <c r="M45" s="289"/>
      <c r="N45" s="289"/>
      <c r="O45" s="9"/>
      <c r="P45" s="9"/>
      <c r="Q45" s="11"/>
      <c r="R45" s="11"/>
      <c r="S45" s="11"/>
      <c r="T45" s="11"/>
      <c r="U45" s="11"/>
      <c r="V45" s="11"/>
      <c r="W45" s="9"/>
      <c r="X45" s="11"/>
      <c r="Y45" s="11"/>
      <c r="Z45" s="11"/>
      <c r="AA45" s="11"/>
      <c r="AB45" s="11"/>
      <c r="AC45" s="11"/>
      <c r="AD45" s="9"/>
      <c r="AE45" s="11"/>
      <c r="AF45" s="9"/>
      <c r="AG45" s="9"/>
      <c r="AH45" s="9"/>
      <c r="AI45" s="9"/>
      <c r="AJ45" s="9"/>
      <c r="AK45" s="9"/>
      <c r="AL45" s="9"/>
      <c r="AM45" s="9"/>
    </row>
    <row r="46" spans="3:39">
      <c r="C46" s="239"/>
      <c r="D46" s="7"/>
      <c r="E46" s="7"/>
      <c r="F46" s="7"/>
      <c r="G46" s="7"/>
      <c r="H46" s="7"/>
      <c r="I46" s="7"/>
      <c r="J46" s="7"/>
      <c r="K46" s="7"/>
      <c r="L46" s="7"/>
      <c r="M46" s="289"/>
      <c r="N46" s="289"/>
      <c r="O46" s="9"/>
      <c r="P46" s="9"/>
      <c r="Q46" s="11"/>
      <c r="R46" s="11"/>
      <c r="S46" s="11"/>
      <c r="T46" s="11"/>
      <c r="U46" s="11"/>
      <c r="V46" s="11"/>
      <c r="W46" s="9"/>
      <c r="X46" s="11"/>
      <c r="Y46" s="11"/>
      <c r="Z46" s="11"/>
      <c r="AA46" s="11"/>
      <c r="AB46" s="11"/>
      <c r="AC46" s="11"/>
      <c r="AD46" s="9"/>
      <c r="AE46" s="11"/>
      <c r="AF46" s="9"/>
      <c r="AG46" s="9"/>
      <c r="AH46" s="9"/>
      <c r="AI46" s="9"/>
      <c r="AJ46" s="9"/>
      <c r="AK46" s="9"/>
      <c r="AL46" s="9"/>
      <c r="AM46" s="9"/>
    </row>
    <row r="47" spans="3:39">
      <c r="C47" s="239"/>
      <c r="D47" s="7"/>
      <c r="E47" s="7"/>
      <c r="F47" s="7"/>
      <c r="G47" s="7"/>
      <c r="H47" s="7"/>
      <c r="I47" s="7"/>
      <c r="J47" s="7"/>
      <c r="K47" s="7"/>
      <c r="L47" s="7"/>
      <c r="M47" s="289"/>
      <c r="N47" s="289"/>
      <c r="O47" s="9"/>
      <c r="P47" s="9"/>
      <c r="Q47" s="11"/>
      <c r="R47" s="11"/>
      <c r="S47" s="11"/>
      <c r="T47" s="11"/>
      <c r="U47" s="11"/>
      <c r="V47" s="11"/>
      <c r="W47" s="9"/>
      <c r="X47" s="11"/>
      <c r="Y47" s="11"/>
      <c r="Z47" s="11"/>
      <c r="AA47" s="11"/>
      <c r="AB47" s="11"/>
      <c r="AC47" s="11"/>
      <c r="AD47" s="9"/>
      <c r="AE47" s="11"/>
      <c r="AF47" s="9"/>
      <c r="AG47" s="9"/>
      <c r="AH47" s="9"/>
      <c r="AI47" s="9"/>
      <c r="AJ47" s="9"/>
      <c r="AK47" s="9"/>
      <c r="AL47" s="9"/>
      <c r="AM47" s="9"/>
    </row>
    <row r="48" spans="3:39">
      <c r="C48" s="239"/>
      <c r="D48" s="7"/>
      <c r="E48" s="7"/>
      <c r="F48" s="7"/>
      <c r="G48" s="7"/>
      <c r="H48" s="7"/>
      <c r="I48" s="7"/>
      <c r="J48" s="7"/>
      <c r="K48" s="7"/>
      <c r="L48" s="7"/>
      <c r="M48" s="289"/>
      <c r="N48" s="289"/>
      <c r="O48" s="9"/>
      <c r="P48" s="9"/>
      <c r="Q48" s="11"/>
      <c r="R48" s="11"/>
      <c r="S48" s="11"/>
      <c r="T48" s="11"/>
      <c r="U48" s="11"/>
      <c r="V48" s="11"/>
      <c r="W48" s="9"/>
      <c r="X48" s="11"/>
      <c r="Y48" s="11"/>
      <c r="Z48" s="11"/>
      <c r="AA48" s="11"/>
      <c r="AB48" s="11"/>
      <c r="AC48" s="11"/>
      <c r="AD48" s="9"/>
      <c r="AE48" s="11"/>
      <c r="AF48" s="9"/>
      <c r="AG48" s="9"/>
      <c r="AH48" s="9"/>
      <c r="AI48" s="9"/>
      <c r="AJ48" s="9"/>
      <c r="AK48" s="9"/>
      <c r="AL48" s="9"/>
      <c r="AM48" s="9"/>
    </row>
    <row r="49" spans="3:42">
      <c r="C49" s="239"/>
      <c r="D49" s="7"/>
      <c r="E49" s="7"/>
      <c r="F49" s="7"/>
      <c r="G49" s="7"/>
      <c r="H49" s="7"/>
      <c r="I49" s="7"/>
      <c r="J49" s="7"/>
      <c r="K49" s="7"/>
      <c r="L49" s="7"/>
      <c r="M49" s="289"/>
      <c r="N49" s="289"/>
      <c r="O49" s="9"/>
      <c r="P49" s="9"/>
      <c r="Q49" s="11"/>
      <c r="R49" s="11"/>
      <c r="S49" s="11"/>
      <c r="T49" s="11"/>
      <c r="U49" s="11"/>
      <c r="V49" s="11"/>
      <c r="W49" s="9"/>
      <c r="X49" s="11"/>
      <c r="Y49" s="11"/>
      <c r="Z49" s="11"/>
      <c r="AA49" s="11"/>
      <c r="AB49" s="11"/>
      <c r="AC49" s="11"/>
      <c r="AD49" s="9"/>
      <c r="AE49" s="11"/>
      <c r="AF49" s="9"/>
      <c r="AG49" s="9"/>
      <c r="AH49" s="9"/>
      <c r="AI49" s="9"/>
      <c r="AJ49" s="9"/>
      <c r="AK49" s="9"/>
      <c r="AL49" s="9"/>
      <c r="AM49" s="9"/>
      <c r="AN49" s="9"/>
      <c r="AO49" s="9"/>
      <c r="AP49" s="9"/>
    </row>
    <row r="50" spans="3:42">
      <c r="C50" s="239"/>
      <c r="D50" s="7"/>
      <c r="E50" s="7"/>
      <c r="F50" s="7"/>
      <c r="G50" s="7"/>
      <c r="H50" s="7"/>
      <c r="I50" s="7"/>
      <c r="J50" s="7"/>
      <c r="K50" s="7"/>
      <c r="L50" s="7"/>
      <c r="M50" s="289"/>
      <c r="N50" s="289"/>
      <c r="O50" s="9"/>
      <c r="P50" s="9"/>
      <c r="Q50" s="11"/>
      <c r="R50" s="11"/>
      <c r="S50" s="11"/>
      <c r="T50" s="11"/>
      <c r="U50" s="11"/>
      <c r="V50" s="11"/>
      <c r="W50" s="9"/>
      <c r="X50" s="11"/>
      <c r="Y50" s="11"/>
      <c r="Z50" s="11"/>
      <c r="AA50" s="11"/>
      <c r="AB50" s="11"/>
      <c r="AC50" s="11"/>
      <c r="AD50" s="9"/>
      <c r="AE50" s="11"/>
      <c r="AF50" s="9"/>
      <c r="AG50" s="9"/>
      <c r="AH50" s="9"/>
      <c r="AI50" s="9"/>
      <c r="AJ50" s="9"/>
      <c r="AK50" s="9"/>
      <c r="AL50" s="9"/>
      <c r="AM50" s="9"/>
      <c r="AN50" s="9"/>
      <c r="AO50" s="9"/>
      <c r="AP50" s="9"/>
    </row>
    <row r="51" spans="3:42">
      <c r="C51" s="239"/>
      <c r="D51" s="7"/>
      <c r="E51" s="7"/>
      <c r="F51" s="7"/>
      <c r="G51" s="7"/>
      <c r="H51" s="7"/>
      <c r="I51" s="7"/>
      <c r="J51" s="7"/>
      <c r="K51" s="7"/>
      <c r="L51" s="7"/>
      <c r="M51" s="289"/>
      <c r="N51" s="289"/>
      <c r="O51" s="9"/>
      <c r="P51" s="9"/>
      <c r="Q51" s="11"/>
      <c r="R51" s="11"/>
      <c r="S51" s="11"/>
      <c r="T51" s="11"/>
      <c r="U51" s="11"/>
      <c r="V51" s="11"/>
      <c r="W51" s="9"/>
      <c r="X51" s="11"/>
      <c r="Y51" s="11"/>
      <c r="Z51" s="11"/>
      <c r="AA51" s="11"/>
      <c r="AB51" s="11"/>
      <c r="AC51" s="11"/>
      <c r="AD51" s="9"/>
      <c r="AE51" s="11"/>
      <c r="AF51" s="9"/>
      <c r="AG51" s="9"/>
      <c r="AH51" s="9"/>
      <c r="AI51" s="9"/>
      <c r="AJ51" s="9"/>
      <c r="AK51" s="9"/>
      <c r="AL51" s="9"/>
      <c r="AM51" s="9"/>
      <c r="AN51" s="9"/>
      <c r="AO51" s="9"/>
      <c r="AP51" s="9"/>
    </row>
    <row r="52" spans="3:42">
      <c r="C52" s="239"/>
      <c r="D52" s="7"/>
      <c r="E52" s="7"/>
      <c r="F52" s="7"/>
      <c r="G52" s="7"/>
      <c r="H52" s="7"/>
      <c r="I52" s="7"/>
      <c r="J52" s="7"/>
      <c r="K52" s="312" t="str">
        <f>IF(AND(desc_por_ob="Yes",SUM(V64:V78)&gt;0),"Attention! Invalid data. When using both discontinuation and death rates, they must be related events.","")</f>
        <v/>
      </c>
      <c r="L52" s="7"/>
      <c r="M52" s="289"/>
      <c r="N52" s="289"/>
      <c r="O52" s="9"/>
      <c r="P52" s="9"/>
      <c r="Q52" s="11"/>
      <c r="R52" s="11"/>
      <c r="S52" s="11"/>
      <c r="T52" s="11"/>
      <c r="U52" s="11"/>
      <c r="V52" s="11"/>
      <c r="W52" s="9"/>
      <c r="X52" s="11"/>
      <c r="Y52" s="11"/>
      <c r="Z52" s="11"/>
      <c r="AA52" s="11"/>
      <c r="AB52" s="11"/>
      <c r="AC52" s="11"/>
      <c r="AD52" s="9"/>
      <c r="AE52" s="11"/>
      <c r="AF52" s="11"/>
      <c r="AG52" s="11"/>
      <c r="AH52" s="11"/>
      <c r="AI52" s="11"/>
      <c r="AJ52" s="11"/>
      <c r="AK52" s="11"/>
      <c r="AL52" s="11"/>
      <c r="AM52" s="11"/>
      <c r="AN52" s="9"/>
      <c r="AO52" s="9"/>
      <c r="AP52" s="9"/>
    </row>
    <row r="53" spans="3:42">
      <c r="C53" s="7"/>
      <c r="D53" s="7"/>
      <c r="E53" s="7"/>
      <c r="F53" s="7"/>
      <c r="G53" s="7"/>
      <c r="H53" s="7"/>
      <c r="I53" s="7"/>
      <c r="J53" s="7"/>
      <c r="K53" s="312" t="str">
        <f>IF(AND(desc_por_ob="Yes",SUM(V65:V79)&gt;0),"The annual death rate cannot exceed the discontinuation rate, because death is a subset of total treatment discontinuation.","")</f>
        <v/>
      </c>
      <c r="L53" s="7"/>
      <c r="M53" s="289"/>
      <c r="N53" s="289"/>
      <c r="O53" s="9"/>
      <c r="P53" s="9"/>
      <c r="Q53" s="11"/>
      <c r="R53" s="11"/>
      <c r="S53" s="11"/>
      <c r="T53" s="11"/>
      <c r="U53" s="11"/>
      <c r="V53" s="11"/>
      <c r="W53" s="9"/>
      <c r="X53" s="11"/>
      <c r="Y53" s="11"/>
      <c r="Z53" s="11"/>
      <c r="AA53" s="11"/>
      <c r="AB53" s="11"/>
      <c r="AC53" s="11"/>
      <c r="AD53" s="9"/>
      <c r="AE53" s="11"/>
      <c r="AF53" s="9"/>
      <c r="AG53" s="9"/>
      <c r="AH53" s="9"/>
      <c r="AI53" s="9"/>
      <c r="AJ53" s="9"/>
      <c r="AK53" s="9"/>
      <c r="AL53" s="9"/>
      <c r="AM53" s="9"/>
      <c r="AN53" s="9"/>
      <c r="AO53" s="9"/>
      <c r="AP53" s="9"/>
    </row>
    <row r="54" spans="3:42">
      <c r="C54" s="466" t="s">
        <v>262</v>
      </c>
      <c r="D54" s="7"/>
      <c r="E54" s="437" t="s">
        <v>369</v>
      </c>
      <c r="F54" s="467"/>
      <c r="G54" s="438"/>
      <c r="H54" s="288">
        <f>IF(E54="Median usage time",1,IF(E54="Discontinuation rate",2,IF(E54="Progression-free survival",3,4)))</f>
        <v>2</v>
      </c>
      <c r="I54" s="466" t="s">
        <v>317</v>
      </c>
      <c r="J54" s="380" t="s">
        <v>299</v>
      </c>
      <c r="K54" s="482"/>
      <c r="L54" s="483"/>
      <c r="M54" s="483"/>
      <c r="N54" s="316"/>
      <c r="O54" s="316"/>
      <c r="P54" s="316"/>
      <c r="Q54" s="11"/>
      <c r="R54" s="11"/>
      <c r="S54" s="11"/>
      <c r="T54" s="11"/>
      <c r="U54" s="11"/>
      <c r="V54" s="11"/>
      <c r="W54" s="9"/>
      <c r="X54" s="11"/>
      <c r="Y54" s="11"/>
      <c r="Z54" s="11"/>
      <c r="AA54" s="11"/>
      <c r="AB54" s="11"/>
      <c r="AC54" s="11"/>
      <c r="AD54" s="9"/>
      <c r="AE54" s="11"/>
      <c r="AF54" s="9"/>
      <c r="AG54" s="9"/>
      <c r="AH54" s="9"/>
      <c r="AI54" s="9"/>
      <c r="AJ54" s="9"/>
      <c r="AK54" s="9"/>
      <c r="AL54" s="9"/>
      <c r="AM54" s="9"/>
      <c r="AN54" s="9"/>
      <c r="AO54" s="9"/>
      <c r="AP54" s="9"/>
    </row>
    <row r="55" spans="3:42">
      <c r="C55" s="466"/>
      <c r="D55" s="7"/>
      <c r="E55" s="291"/>
      <c r="F55" s="7"/>
      <c r="G55" s="7"/>
      <c r="H55" s="288"/>
      <c r="I55" s="466"/>
      <c r="J55" s="7"/>
      <c r="K55" s="290"/>
      <c r="L55" s="7"/>
      <c r="M55" s="289"/>
      <c r="N55" s="289"/>
      <c r="O55" s="9"/>
      <c r="P55" s="9"/>
      <c r="Q55" s="11"/>
      <c r="R55" s="11"/>
      <c r="S55" s="11"/>
      <c r="T55" s="11"/>
      <c r="U55" s="11"/>
      <c r="V55" s="11"/>
      <c r="W55" s="9"/>
      <c r="X55" s="11"/>
      <c r="Y55" s="11"/>
      <c r="Z55" s="11"/>
      <c r="AA55" s="11"/>
      <c r="AB55" s="11"/>
      <c r="AC55" s="11"/>
      <c r="AD55" s="9"/>
      <c r="AE55" s="11"/>
      <c r="AF55" s="9"/>
      <c r="AG55" s="9"/>
      <c r="AH55" s="9"/>
      <c r="AI55" s="9"/>
      <c r="AJ55" s="9"/>
      <c r="AK55" s="9"/>
      <c r="AL55" s="9"/>
      <c r="AM55" s="9"/>
      <c r="AN55" s="9"/>
      <c r="AO55" s="9"/>
      <c r="AP55" s="9"/>
    </row>
    <row r="56" spans="3:42">
      <c r="C56" s="48"/>
      <c r="D56" s="7"/>
      <c r="E56" s="290"/>
      <c r="F56" s="7"/>
      <c r="G56" s="7"/>
      <c r="H56" s="288"/>
      <c r="I56" s="7"/>
      <c r="J56" s="7"/>
      <c r="K56" s="290"/>
      <c r="L56" s="7"/>
      <c r="M56" s="289"/>
      <c r="N56" s="289"/>
      <c r="O56" s="9"/>
      <c r="P56" s="9"/>
      <c r="Q56" s="11"/>
      <c r="R56" s="11"/>
      <c r="S56" s="11"/>
      <c r="T56" s="11"/>
      <c r="U56" s="11"/>
      <c r="V56" s="11"/>
      <c r="W56" s="9"/>
      <c r="X56" s="11"/>
      <c r="Y56" s="11"/>
      <c r="Z56" s="11"/>
      <c r="AA56" s="11"/>
      <c r="AB56" s="11"/>
      <c r="AC56" s="11"/>
      <c r="AD56" s="9"/>
      <c r="AE56" s="11"/>
      <c r="AF56" s="9"/>
      <c r="AG56" s="9"/>
      <c r="AH56" s="9"/>
      <c r="AI56" s="9"/>
      <c r="AJ56" s="9"/>
      <c r="AK56" s="9"/>
      <c r="AL56" s="9"/>
      <c r="AM56" s="9"/>
      <c r="AN56" s="9"/>
      <c r="AO56" s="9"/>
      <c r="AP56" s="9"/>
    </row>
    <row r="57" spans="3:42">
      <c r="C57" s="7"/>
      <c r="D57" s="7"/>
      <c r="E57" s="7"/>
      <c r="F57" s="7"/>
      <c r="G57" s="7"/>
      <c r="H57" s="288"/>
      <c r="I57" s="7"/>
      <c r="J57" s="7"/>
      <c r="K57" s="290"/>
      <c r="L57" s="7"/>
      <c r="M57" s="289"/>
      <c r="N57" s="289"/>
      <c r="O57" s="9"/>
      <c r="P57" s="9"/>
      <c r="Q57" s="11"/>
      <c r="R57" s="11"/>
      <c r="S57" s="11"/>
      <c r="T57" s="11"/>
      <c r="U57" s="11"/>
      <c r="V57" s="11"/>
      <c r="W57" s="9"/>
      <c r="X57" s="11"/>
      <c r="Y57" s="11"/>
      <c r="Z57" s="11"/>
      <c r="AA57" s="11"/>
      <c r="AB57" s="11"/>
      <c r="AC57" s="11"/>
      <c r="AD57" s="9"/>
      <c r="AE57" s="11"/>
      <c r="AF57" s="9"/>
      <c r="AG57" s="9"/>
      <c r="AH57" s="9"/>
      <c r="AI57" s="9"/>
      <c r="AJ57" s="9"/>
      <c r="AK57" s="9"/>
      <c r="AL57" s="9"/>
      <c r="AM57" s="9"/>
      <c r="AN57" s="9"/>
      <c r="AO57" s="9"/>
      <c r="AP57" s="9"/>
    </row>
    <row r="58" spans="3:42">
      <c r="C58" s="466" t="s">
        <v>263</v>
      </c>
      <c r="D58" s="7"/>
      <c r="E58" s="437" t="s">
        <v>315</v>
      </c>
      <c r="F58" s="467"/>
      <c r="G58" s="438"/>
      <c r="H58" s="288">
        <f>IF(E58="Annual data",1,2)</f>
        <v>1</v>
      </c>
      <c r="I58" s="7"/>
      <c r="J58" s="7"/>
      <c r="K58" s="7"/>
      <c r="L58" s="7"/>
      <c r="M58" s="289"/>
      <c r="N58" s="289"/>
      <c r="O58" s="9"/>
      <c r="P58" s="9"/>
      <c r="Q58" s="11"/>
      <c r="R58" s="11"/>
      <c r="S58" s="11"/>
      <c r="T58" s="11"/>
      <c r="U58" s="11"/>
      <c r="V58" s="11"/>
      <c r="W58" s="9"/>
      <c r="X58" s="11"/>
      <c r="Y58" s="11"/>
      <c r="Z58" s="11"/>
      <c r="AA58" s="11"/>
      <c r="AB58" s="11"/>
      <c r="AC58" s="11"/>
      <c r="AD58" s="9"/>
      <c r="AE58" s="11"/>
      <c r="AF58" s="9"/>
      <c r="AG58" s="9"/>
      <c r="AH58" s="9"/>
      <c r="AI58" s="9"/>
      <c r="AJ58" s="9"/>
      <c r="AK58" s="9"/>
      <c r="AL58" s="9"/>
      <c r="AM58" s="9"/>
      <c r="AN58" s="9"/>
      <c r="AO58" s="9"/>
      <c r="AP58" s="9"/>
    </row>
    <row r="59" spans="3:42">
      <c r="C59" s="466"/>
      <c r="D59" s="7"/>
      <c r="E59" s="292" t="s">
        <v>265</v>
      </c>
      <c r="F59" s="7"/>
      <c r="G59" s="7"/>
      <c r="H59" s="7"/>
      <c r="I59" s="7"/>
      <c r="J59" s="7"/>
      <c r="K59" s="7"/>
      <c r="L59" s="7"/>
      <c r="M59" s="289"/>
      <c r="N59" s="289"/>
      <c r="O59" s="9"/>
      <c r="P59" s="9"/>
      <c r="Q59" s="11"/>
      <c r="R59" s="11"/>
      <c r="S59" s="11"/>
      <c r="T59" s="11"/>
      <c r="U59" s="11"/>
      <c r="V59" s="11"/>
      <c r="W59" s="9"/>
      <c r="X59" s="11"/>
      <c r="Y59" s="11"/>
      <c r="Z59" s="11"/>
      <c r="AA59" s="11"/>
      <c r="AB59" s="11"/>
      <c r="AC59" s="11"/>
      <c r="AD59" s="9"/>
      <c r="AE59" s="11"/>
      <c r="AF59" s="9"/>
      <c r="AG59" s="9"/>
      <c r="AH59" s="9"/>
      <c r="AI59" s="9"/>
      <c r="AJ59" s="9"/>
      <c r="AK59" s="9"/>
      <c r="AL59" s="11"/>
      <c r="AM59" s="9"/>
      <c r="AN59" s="9"/>
      <c r="AO59" s="9"/>
      <c r="AP59" s="9"/>
    </row>
    <row r="60" spans="3:42">
      <c r="C60" s="48"/>
      <c r="D60" s="7"/>
      <c r="E60" s="290" t="s">
        <v>264</v>
      </c>
      <c r="F60" s="7"/>
      <c r="G60" s="7"/>
      <c r="H60" s="7"/>
      <c r="I60" s="7"/>
      <c r="J60" s="7"/>
      <c r="K60" s="7"/>
      <c r="L60" s="7"/>
      <c r="M60" s="289"/>
      <c r="N60" s="289"/>
      <c r="O60" s="9"/>
      <c r="P60" s="9"/>
      <c r="Q60" s="11"/>
      <c r="R60" s="11"/>
      <c r="S60" s="11"/>
      <c r="T60" s="11"/>
      <c r="U60" s="11"/>
      <c r="V60" s="11"/>
      <c r="W60" s="9"/>
      <c r="X60" s="11"/>
      <c r="Y60" s="11"/>
      <c r="Z60" s="11"/>
      <c r="AA60" s="11"/>
      <c r="AB60" s="11"/>
      <c r="AC60" s="11"/>
      <c r="AD60" s="9"/>
      <c r="AE60" s="11"/>
      <c r="AF60" s="9"/>
      <c r="AG60" s="9"/>
      <c r="AH60" s="9"/>
      <c r="AI60" s="9"/>
      <c r="AJ60" s="9"/>
      <c r="AK60" s="9"/>
      <c r="AL60" s="11"/>
      <c r="AM60" s="9"/>
      <c r="AN60" s="9"/>
      <c r="AO60" s="9"/>
      <c r="AP60" s="9"/>
    </row>
    <row r="61" spans="3:42" ht="15" customHeight="1">
      <c r="C61" s="48"/>
      <c r="D61" s="7"/>
      <c r="E61" s="290"/>
      <c r="F61" s="7"/>
      <c r="G61" s="7"/>
      <c r="H61" s="7"/>
      <c r="I61" s="7"/>
      <c r="J61" s="7"/>
      <c r="K61" s="7"/>
      <c r="L61" s="7"/>
      <c r="M61" s="289"/>
      <c r="N61" s="289"/>
      <c r="O61" s="9"/>
      <c r="P61" s="9"/>
      <c r="Q61" s="454" t="s">
        <v>281</v>
      </c>
      <c r="R61" s="455"/>
      <c r="S61" s="455"/>
      <c r="T61" s="455"/>
      <c r="U61" s="456"/>
      <c r="V61" s="11"/>
      <c r="W61" s="9"/>
      <c r="X61" s="454" t="s">
        <v>282</v>
      </c>
      <c r="Y61" s="455"/>
      <c r="Z61" s="455"/>
      <c r="AA61" s="455"/>
      <c r="AB61" s="456"/>
      <c r="AC61" s="11"/>
      <c r="AD61" s="9"/>
      <c r="AE61" s="454" t="s">
        <v>283</v>
      </c>
      <c r="AF61" s="455"/>
      <c r="AG61" s="455"/>
      <c r="AH61" s="455"/>
      <c r="AI61" s="455"/>
      <c r="AJ61" s="9"/>
      <c r="AK61" s="9"/>
      <c r="AL61" s="454" t="s">
        <v>284</v>
      </c>
      <c r="AM61" s="455"/>
      <c r="AN61" s="455"/>
      <c r="AO61" s="455"/>
      <c r="AP61" s="455"/>
    </row>
    <row r="62" spans="3:42">
      <c r="C62" s="293" t="s">
        <v>277</v>
      </c>
      <c r="D62" s="7"/>
      <c r="E62" s="290"/>
      <c r="F62" s="7"/>
      <c r="G62" s="7"/>
      <c r="H62" s="293" t="str">
        <f>"7.2.2. Table for discontinuaiton rate and PFS"</f>
        <v>7.2.2. Table for discontinuaiton rate and PFS</v>
      </c>
      <c r="I62" s="7"/>
      <c r="J62" s="7"/>
      <c r="K62" s="7"/>
      <c r="L62" s="7"/>
      <c r="M62" s="7"/>
      <c r="N62" s="7"/>
      <c r="O62" s="7"/>
      <c r="P62" s="7"/>
      <c r="Q62" s="457"/>
      <c r="R62" s="458"/>
      <c r="S62" s="458"/>
      <c r="T62" s="458"/>
      <c r="U62" s="459"/>
      <c r="V62" s="11"/>
      <c r="W62" s="7"/>
      <c r="X62" s="457"/>
      <c r="Y62" s="458"/>
      <c r="Z62" s="458"/>
      <c r="AA62" s="458"/>
      <c r="AB62" s="459"/>
      <c r="AC62" s="11"/>
      <c r="AD62" s="9"/>
      <c r="AE62" s="457"/>
      <c r="AF62" s="458"/>
      <c r="AG62" s="458"/>
      <c r="AH62" s="458"/>
      <c r="AI62" s="458"/>
      <c r="AJ62" s="9"/>
      <c r="AK62" s="9"/>
      <c r="AL62" s="457"/>
      <c r="AM62" s="458"/>
      <c r="AN62" s="458"/>
      <c r="AO62" s="458"/>
      <c r="AP62" s="458"/>
    </row>
    <row r="63" spans="3:42">
      <c r="C63" s="431" t="str">
        <f>IF(uso=1,"Enter the average time of use",IF(uso=4,"Enter "&amp;E54,"Do not fill in this table"))</f>
        <v>Do not fill in this table</v>
      </c>
      <c r="D63" s="475" t="s">
        <v>278</v>
      </c>
      <c r="E63" s="475"/>
      <c r="F63" s="7"/>
      <c r="G63" s="7"/>
      <c r="H63" s="468" t="str">
        <f>IF(uso=1,"Do not fill in this table",IF(uso=2,"Enter the discontinuation rate","Enter the progression-free survival"))</f>
        <v>Enter the discontinuation rate</v>
      </c>
      <c r="I63" s="450"/>
      <c r="J63" s="311" t="s">
        <v>285</v>
      </c>
      <c r="K63" s="311" t="s">
        <v>286</v>
      </c>
      <c r="L63" s="311" t="s">
        <v>287</v>
      </c>
      <c r="M63" s="311" t="s">
        <v>288</v>
      </c>
      <c r="N63" s="7"/>
      <c r="O63" s="7"/>
      <c r="P63" s="7"/>
      <c r="Q63" s="450" t="s">
        <v>276</v>
      </c>
      <c r="R63" s="295" t="s">
        <v>285</v>
      </c>
      <c r="S63" s="295" t="s">
        <v>286</v>
      </c>
      <c r="T63" s="295" t="s">
        <v>287</v>
      </c>
      <c r="U63" s="295" t="s">
        <v>288</v>
      </c>
      <c r="V63" s="11"/>
      <c r="W63" s="7"/>
      <c r="X63" s="450" t="s">
        <v>276</v>
      </c>
      <c r="Y63" s="295" t="s">
        <v>285</v>
      </c>
      <c r="Z63" s="295" t="s">
        <v>286</v>
      </c>
      <c r="AA63" s="295" t="s">
        <v>287</v>
      </c>
      <c r="AB63" s="295" t="s">
        <v>288</v>
      </c>
      <c r="AC63" s="11"/>
      <c r="AD63" s="9"/>
      <c r="AE63" s="450" t="s">
        <v>276</v>
      </c>
      <c r="AF63" s="295" t="s">
        <v>285</v>
      </c>
      <c r="AG63" s="295" t="s">
        <v>286</v>
      </c>
      <c r="AH63" s="295" t="s">
        <v>287</v>
      </c>
      <c r="AI63" s="295" t="s">
        <v>288</v>
      </c>
      <c r="AJ63" s="9"/>
      <c r="AK63" s="9"/>
      <c r="AL63" s="296" t="s">
        <v>276</v>
      </c>
      <c r="AM63" s="295" t="s">
        <v>285</v>
      </c>
      <c r="AN63" s="295" t="s">
        <v>286</v>
      </c>
      <c r="AO63" s="295" t="s">
        <v>287</v>
      </c>
      <c r="AP63" s="295" t="s">
        <v>288</v>
      </c>
    </row>
    <row r="64" spans="3:42">
      <c r="C64" s="474"/>
      <c r="D64" s="474"/>
      <c r="E64" s="474"/>
      <c r="F64" s="7"/>
      <c r="G64" s="7"/>
      <c r="H64" s="468"/>
      <c r="I64" s="468"/>
      <c r="J64" s="487" t="s">
        <v>280</v>
      </c>
      <c r="K64" s="488"/>
      <c r="L64" s="488"/>
      <c r="M64" s="489"/>
      <c r="N64" s="7"/>
      <c r="O64" s="7"/>
      <c r="P64" s="7"/>
      <c r="Q64" s="451"/>
      <c r="R64" s="297"/>
      <c r="S64" s="298"/>
      <c r="T64" s="298"/>
      <c r="U64" s="298"/>
      <c r="V64" s="11"/>
      <c r="W64" s="7"/>
      <c r="X64" s="451"/>
      <c r="Y64" s="297"/>
      <c r="Z64" s="298"/>
      <c r="AA64" s="298"/>
      <c r="AB64" s="298"/>
      <c r="AC64" s="11"/>
      <c r="AD64" s="9"/>
      <c r="AE64" s="451"/>
      <c r="AF64" s="297"/>
      <c r="AG64" s="298"/>
      <c r="AH64" s="298"/>
      <c r="AI64" s="298"/>
      <c r="AJ64" s="9"/>
      <c r="AK64" s="9"/>
      <c r="AL64" s="299"/>
      <c r="AM64" s="297"/>
      <c r="AN64" s="298"/>
      <c r="AO64" s="298"/>
      <c r="AP64" s="298"/>
    </row>
    <row r="65" spans="3:43">
      <c r="C65" s="300" t="str">
        <f>IF(intervencao1=0,"Do not fill this line",intervencao1)</f>
        <v>Drug 1</v>
      </c>
      <c r="D65" s="462"/>
      <c r="E65" s="463"/>
      <c r="F65" s="7"/>
      <c r="G65" s="7"/>
      <c r="H65" s="471" t="str">
        <f>IF(intervencao1=0,"Do not fill this line",intervencao1)</f>
        <v>Drug 1</v>
      </c>
      <c r="I65" s="471"/>
      <c r="J65" s="310">
        <v>0.05</v>
      </c>
      <c r="K65" s="310">
        <v>0.1</v>
      </c>
      <c r="L65" s="310">
        <v>0.15</v>
      </c>
      <c r="M65" s="310">
        <v>0.2</v>
      </c>
      <c r="N65" s="7"/>
      <c r="O65" s="7"/>
      <c r="P65" s="7"/>
      <c r="Q65" s="227" t="str">
        <f>IF(intervencao1=0,"Do not fill this line",intervencao1)</f>
        <v>Drug 1</v>
      </c>
      <c r="R65" s="227">
        <f t="shared" ref="R65:U68" si="0">IFERROR(IF(AND(descontinua=1,OR(uso=1,uso=4)),Y65,IF(AND(descontinua=1,uso=2),AM65,IF(AND(descontinua=1,uso=3),AF65,0))),0)</f>
        <v>0.05</v>
      </c>
      <c r="S65" s="227">
        <f t="shared" si="0"/>
        <v>0.1</v>
      </c>
      <c r="T65" s="227">
        <f t="shared" si="0"/>
        <v>0.15</v>
      </c>
      <c r="U65" s="227">
        <f t="shared" si="0"/>
        <v>0.2</v>
      </c>
      <c r="V65" s="11">
        <f>IF(OR(R65&lt;R113,S65&lt;S113,T65&lt;T113,U65&lt;U113),1,0)</f>
        <v>0</v>
      </c>
      <c r="W65" s="7"/>
      <c r="X65" s="223" t="str">
        <f>IF(intervencao1=0,"Do not fill this line",intervencao1)</f>
        <v>Drug 1</v>
      </c>
      <c r="Y65" s="227" t="e">
        <f>1-AVERAGEIF(Data!AK$10:AK$21,"&gt;0",Data!AK$10:AK$21)</f>
        <v>#DIV/0!</v>
      </c>
      <c r="Z65" s="227" t="e">
        <f>1-AVERAGEIF(Data!AK$22:AK$33,"&gt;0",Data!AK$22:AK$33)</f>
        <v>#DIV/0!</v>
      </c>
      <c r="AA65" s="227" t="e">
        <f>1-AVERAGEIF(Data!AK$34:AK$45,"&gt;0",Data!AK$34:AK$45)</f>
        <v>#DIV/0!</v>
      </c>
      <c r="AB65" s="227" t="e">
        <f>1-AVERAGEIF(Data!AK$46:AK$57,"&gt;0",Data!AK$46:AK$57)</f>
        <v>#DIV/0!</v>
      </c>
      <c r="AC65" s="11"/>
      <c r="AD65" s="9"/>
      <c r="AE65" s="223" t="str">
        <f>IF(intervencao1=0,"Do not fill this line",intervencao1)</f>
        <v>Drug 1</v>
      </c>
      <c r="AF65" s="227">
        <f>1-(IFERROR(IF(AND($H$58=1,J65=""),1,IF(AND($H$58=1,J65=0),0,IF(AND($H$58=1,J65&gt;0),J65,AVERAGE(Data!S$10:S$21)))),1))</f>
        <v>0.95</v>
      </c>
      <c r="AG65" s="227">
        <f>1-IFERROR(IF(AND($H$58=1,K65=""),1,IF(AND($H$58=1,K65=0),0,IF(AND($H$58=1,K65&gt;0),K65,AVERAGE(Data!S$22:S$33)))),1)</f>
        <v>0.9</v>
      </c>
      <c r="AH65" s="227">
        <f>1-IFERROR(IF(AND($H$58=1,L65=""),1,IF(AND($H$58=1,L65=0),0,IF(AND($H$58=1,L65&gt;0),L65,AVERAGE(Data!S$34:S$45)))),1)</f>
        <v>0.85</v>
      </c>
      <c r="AI65" s="227">
        <f>1-IFERROR(IF(AND($H$58=1,M65=""),1,IF(AND($H$58=1,M65=0),0,IF(AND($H$58=1,M65&gt;0),M65,AVERAGE(Data!S$46:S$57)))),1)</f>
        <v>0.8</v>
      </c>
      <c r="AJ65" s="9"/>
      <c r="AK65" s="9"/>
      <c r="AL65" s="223" t="str">
        <f>IF(intervencao1=0,"Do not fill this line",intervencao1)</f>
        <v>Drug 1</v>
      </c>
      <c r="AM65" s="227">
        <f>IFERROR(IF($H$58=1,J65,AVERAGE(Data!C$10:C$21)),0)</f>
        <v>0.05</v>
      </c>
      <c r="AN65" s="227">
        <f>IFERROR(IF($H$58=1,K65,AVERAGE(Data!C$22:C$33)),0)</f>
        <v>0.1</v>
      </c>
      <c r="AO65" s="227">
        <f>IFERROR(IF($H$58=1,L65,AVERAGE(Data!C$34:C$45)),0)</f>
        <v>0.15</v>
      </c>
      <c r="AP65" s="227">
        <f>IFERROR(IF($H$58=1,M65,AVERAGE(Data!C$46:C$57)),0)</f>
        <v>0.2</v>
      </c>
      <c r="AQ65" s="9"/>
    </row>
    <row r="66" spans="3:43">
      <c r="C66" s="300" t="str">
        <f>IF(intervencao2=0,"Do not fill this line",intervencao2)</f>
        <v>Drug 2</v>
      </c>
      <c r="D66" s="462"/>
      <c r="E66" s="463"/>
      <c r="F66" s="7"/>
      <c r="G66" s="7"/>
      <c r="H66" s="471" t="str">
        <f>IF(intervencao2=0,"Do not fill this line",intervencao2)</f>
        <v>Drug 2</v>
      </c>
      <c r="I66" s="471"/>
      <c r="J66" s="230">
        <v>0.02</v>
      </c>
      <c r="K66" s="230">
        <v>0.04</v>
      </c>
      <c r="L66" s="230">
        <v>0.08</v>
      </c>
      <c r="M66" s="230">
        <v>0.1</v>
      </c>
      <c r="N66" s="7"/>
      <c r="O66" s="7"/>
      <c r="P66" s="7"/>
      <c r="Q66" s="223" t="str">
        <f>IF(intervencao2=0,"Do not fill this line",intervencao2)</f>
        <v>Drug 2</v>
      </c>
      <c r="R66" s="227">
        <f t="shared" si="0"/>
        <v>0.02</v>
      </c>
      <c r="S66" s="227">
        <f t="shared" si="0"/>
        <v>0.04</v>
      </c>
      <c r="T66" s="227">
        <f t="shared" si="0"/>
        <v>0.08</v>
      </c>
      <c r="U66" s="227">
        <f t="shared" si="0"/>
        <v>0.1</v>
      </c>
      <c r="V66" s="11">
        <f t="shared" ref="V66:V79" si="1">IF(OR(R66&lt;R114,S66&lt;S114,T66&lt;T114,U66&lt;U114),1,0)</f>
        <v>0</v>
      </c>
      <c r="W66" s="7"/>
      <c r="X66" s="223" t="str">
        <f>IF(intervencao2=0,"Do not fill this line",intervencao2)</f>
        <v>Drug 2</v>
      </c>
      <c r="Y66" s="227" t="e">
        <f>1-AVERAGEIF(Data!AL$10:AL$21,"&gt;0",Data!AL$10:AL$21)</f>
        <v>#DIV/0!</v>
      </c>
      <c r="Z66" s="227" t="e">
        <f>1-AVERAGEIF(Data!AL$22:AL$33,"&gt;0",Data!AL$22:AL$33)</f>
        <v>#DIV/0!</v>
      </c>
      <c r="AA66" s="227" t="e">
        <f>1-AVERAGEIF(Data!AL$34:AL$45,"&gt;0",Data!AL$34:AL$45)</f>
        <v>#DIV/0!</v>
      </c>
      <c r="AB66" s="227" t="e">
        <f>1-AVERAGEIF(Data!AL$46:AL$57,"&gt;0",Data!AL$46:AL$57)</f>
        <v>#DIV/0!</v>
      </c>
      <c r="AC66" s="11"/>
      <c r="AD66" s="9"/>
      <c r="AE66" s="223" t="str">
        <f>IF(intervencao2=0,"Do not fill this line",intervencao2)</f>
        <v>Drug 2</v>
      </c>
      <c r="AF66" s="227">
        <f>1-IFERROR(IF(AND($H$58=1,J66=""),1,IF(AND($H$58=1,J66=0),0,IF(AND($H$58=1,J66&gt;0),J66,AVERAGEIF(Data!T$10:T$21,"&gt;0",Data!T$10:T$21)))),1)</f>
        <v>0.98</v>
      </c>
      <c r="AG66" s="227">
        <f>1-IFERROR(IF(AND($H$58=1,K66=""),1,IF(AND($H$58=1,K66=0),0,IF(AND($H$58=1,K66&gt;0),K66,AVERAGEIF(Data!T$22:T$33,"&gt;0",Data!T$22:T$33)))),1)</f>
        <v>0.96</v>
      </c>
      <c r="AH66" s="227">
        <f>1-IFERROR(IF(AND($H$58=1,L66=""),1,IF(AND($H$58=1,L66=0),0,IF(AND($H$58=1,L66&gt;0),L66,AVERAGEIF(Data!T$34:T$45,"&gt;0",Data!T$34:T$45)))),1)</f>
        <v>0.92</v>
      </c>
      <c r="AI66" s="227">
        <f>1-IFERROR(IF(AND($H$58=1,M66=""),1,IF(AND($H$58=1,M66=0),0,IF(AND($H$58=1,M66&gt;0),M66,AVERAGEIF(Data!T$46:T$57,"&lt;&gt;",Data!T$46:T$57)))),1)</f>
        <v>0.9</v>
      </c>
      <c r="AJ66" s="9"/>
      <c r="AK66" s="9"/>
      <c r="AL66" s="223" t="str">
        <f>IF(intervencao2=0,"Do not fill this line",intervencao2)</f>
        <v>Drug 2</v>
      </c>
      <c r="AM66" s="227">
        <f>IFERROR(IF($H$58=1,J66,AVERAGEIF(Data!D$10:D$21,"&gt;0",Data!D$10:D$21)),0)</f>
        <v>0.02</v>
      </c>
      <c r="AN66" s="227">
        <f>IFERROR(IF($H$58=1,K66,AVERAGEIF(Data!D$22:D$33,"&gt;0",Data!D$22:D$33)),0)</f>
        <v>0.04</v>
      </c>
      <c r="AO66" s="227">
        <f>IFERROR(IF($H$58=1,L66,AVERAGEIF(Data!D$34:D$45,"&gt;0",Data!D$34:D$45)),0)</f>
        <v>0.08</v>
      </c>
      <c r="AP66" s="227">
        <f>IFERROR(IF($H$58=1,M66,AVERAGEIF(Data!D$46:D$57,"&gt;0",Data!D$46:D$57)),0)</f>
        <v>0.1</v>
      </c>
      <c r="AQ66" s="9"/>
    </row>
    <row r="67" spans="3:43">
      <c r="C67" s="300" t="str">
        <f>IF(intervencao3=0,"Do not fill this line",intervencao3)</f>
        <v>Do not fill this line</v>
      </c>
      <c r="D67" s="462"/>
      <c r="E67" s="463"/>
      <c r="F67" s="7"/>
      <c r="G67" s="7"/>
      <c r="H67" s="471" t="str">
        <f>IF(intervencao3=0,"Do not fill this line",intervencao3)</f>
        <v>Do not fill this line</v>
      </c>
      <c r="I67" s="471"/>
      <c r="J67" s="230"/>
      <c r="K67" s="230"/>
      <c r="L67" s="230"/>
      <c r="M67" s="230"/>
      <c r="N67" s="7"/>
      <c r="O67" s="7"/>
      <c r="P67" s="7"/>
      <c r="Q67" s="223" t="str">
        <f>IF(intervencao3=0,"Do not fill this line",intervencao3)</f>
        <v>Do not fill this line</v>
      </c>
      <c r="R67" s="227">
        <f t="shared" si="0"/>
        <v>0</v>
      </c>
      <c r="S67" s="227">
        <f t="shared" si="0"/>
        <v>0</v>
      </c>
      <c r="T67" s="227">
        <f t="shared" si="0"/>
        <v>0</v>
      </c>
      <c r="U67" s="227">
        <f t="shared" si="0"/>
        <v>0</v>
      </c>
      <c r="V67" s="11">
        <f t="shared" si="1"/>
        <v>0</v>
      </c>
      <c r="W67" s="7"/>
      <c r="X67" s="223" t="str">
        <f>IF(intervencao3=0,"Do not fill this line",intervencao3)</f>
        <v>Do not fill this line</v>
      </c>
      <c r="Y67" s="301" t="e">
        <f>1-AVERAGEIF(Data!AM$10:AM$21,"&gt;0",Data!AM$10:AM$21)</f>
        <v>#DIV/0!</v>
      </c>
      <c r="Z67" s="227" t="e">
        <f>1-AVERAGEIF(Data!AM$22:AM$33,"&gt;0",Data!AM$22:AM$33)</f>
        <v>#DIV/0!</v>
      </c>
      <c r="AA67" s="227" t="e">
        <f>1-AVERAGEIF(Data!AM$34:AM$45,"&gt;0",Data!AM$34:AM$45)</f>
        <v>#DIV/0!</v>
      </c>
      <c r="AB67" s="227" t="e">
        <f>1-AVERAGEIF(Data!AM$46:AM$57,"&gt;0",Data!AM$46:AM$57)</f>
        <v>#DIV/0!</v>
      </c>
      <c r="AC67" s="11"/>
      <c r="AD67" s="9"/>
      <c r="AE67" s="223" t="str">
        <f>IF(intervencao3=0,"Do not fill this line",intervencao3)</f>
        <v>Do not fill this line</v>
      </c>
      <c r="AF67" s="227">
        <f>1-IFERROR(IF(AND($H$58=1,J67=""),1,IF(AND($H$58=1,J67=0),0,IF(AND($H$58=1,J67&gt;0),J67,AVERAGEIF(Data!U$10:U$21,"&gt;0",Data!U$10:U$21)))),1)</f>
        <v>0</v>
      </c>
      <c r="AG67" s="227">
        <f>1-IFERROR(IF(AND($H$58=1,K67=""),1,IF(AND($H$58=1,K67=0),0,IF(AND($H$58=1,K67&gt;0),K67,AVERAGEIF(Data!U$22:U$33,"&gt;0",Data!U$22:U$33)))),1)</f>
        <v>0</v>
      </c>
      <c r="AH67" s="227">
        <f>1-IFERROR(IF(AND($H$58=1,L67=""),1,IF(AND($H$58=1,L67=0),0,IF(AND($H$58=1,L67&gt;0),L67,AVERAGEIF(Data!U$34:U$45,"&gt;0",Data!U$34:U$45)))),1)</f>
        <v>0</v>
      </c>
      <c r="AI67" s="227">
        <f>1-IFERROR(IF(AND($H$58=1,M67=""),1,IF(AND($H$58=1,M67=0),0,IF(AND($H$58=1,M67&gt;0),M67,AVERAGEIF(Data!U$46:U$57,"&gt;0",Data!U$46:U$57)))),1)</f>
        <v>0</v>
      </c>
      <c r="AJ67" s="9"/>
      <c r="AK67" s="9"/>
      <c r="AL67" s="223" t="str">
        <f>IF(intervencao3=0,"Do not fill this line",intervencao3)</f>
        <v>Do not fill this line</v>
      </c>
      <c r="AM67" s="227">
        <f>IFERROR(IF($H$58=1,J67,AVERAGEIF(Data!E$10:E$21,"&gt;0",Data!E$10:E$21)),0)</f>
        <v>0</v>
      </c>
      <c r="AN67" s="227">
        <f>IFERROR(IF($H$58=1,K67,AVERAGEIF(Data!E$22:E$33,"&gt;0",Data!E$22:E$33)),0)</f>
        <v>0</v>
      </c>
      <c r="AO67" s="227">
        <f>IFERROR(IF($H$58=1,L67,AVERAGEIF(Data!E$34:E$45,"&gt;0",Data!E$34:E$45)),0)</f>
        <v>0</v>
      </c>
      <c r="AP67" s="227">
        <f>IFERROR(IF($H$58=1,M67,AVERAGEIF(Data!E$46:E$57,"&gt;0",Data!E$46:E$57)),0)</f>
        <v>0</v>
      </c>
      <c r="AQ67" s="9"/>
    </row>
    <row r="68" spans="3:43">
      <c r="C68" s="300" t="str">
        <f>IF(intervencao4=0,"Do not fill this line",intervencao4)</f>
        <v>Do not fill this line</v>
      </c>
      <c r="D68" s="462"/>
      <c r="E68" s="463"/>
      <c r="F68" s="7"/>
      <c r="G68" s="7"/>
      <c r="H68" s="471" t="str">
        <f>IF(intervencao4=0,"Do not fill this line",intervencao4)</f>
        <v>Do not fill this line</v>
      </c>
      <c r="I68" s="471"/>
      <c r="J68" s="309"/>
      <c r="K68" s="309"/>
      <c r="L68" s="309"/>
      <c r="M68" s="309"/>
      <c r="N68" s="7"/>
      <c r="O68" s="7"/>
      <c r="P68" s="7"/>
      <c r="Q68" s="223" t="str">
        <f>IF(intervencao4=0,"Do not fill this line",intervencao4)</f>
        <v>Do not fill this line</v>
      </c>
      <c r="R68" s="227">
        <f t="shared" si="0"/>
        <v>0</v>
      </c>
      <c r="S68" s="227">
        <f t="shared" si="0"/>
        <v>0</v>
      </c>
      <c r="T68" s="227">
        <f t="shared" si="0"/>
        <v>0</v>
      </c>
      <c r="U68" s="227">
        <f t="shared" si="0"/>
        <v>0</v>
      </c>
      <c r="V68" s="11">
        <f t="shared" si="1"/>
        <v>0</v>
      </c>
      <c r="W68" s="7"/>
      <c r="X68" s="223" t="str">
        <f>IF(intervencao4=0,"Do not fill this line",intervencao4)</f>
        <v>Do not fill this line</v>
      </c>
      <c r="Y68" s="301" t="e">
        <f>1-AVERAGEIF(Data!AN$10:AN$21,"&gt;0",Data!AN$10:AN$21)</f>
        <v>#DIV/0!</v>
      </c>
      <c r="Z68" s="227" t="e">
        <f>1-AVERAGEIF(Data!AN$22:AN$33,"&gt;0",Data!AN$22:AN$33)</f>
        <v>#DIV/0!</v>
      </c>
      <c r="AA68" s="227" t="e">
        <f>1-AVERAGEIF(Data!AN$34:AN$45,"&gt;0",Data!AN$34:AN$45)</f>
        <v>#DIV/0!</v>
      </c>
      <c r="AB68" s="227" t="e">
        <f>1-AVERAGEIF(Data!AN$46:AN$57,"&gt;0",Data!AN$46:AN$57)</f>
        <v>#DIV/0!</v>
      </c>
      <c r="AC68" s="11"/>
      <c r="AD68" s="9"/>
      <c r="AE68" s="223" t="str">
        <f>IF(intervencao4=0,"Do not fill this line",intervencao4)</f>
        <v>Do not fill this line</v>
      </c>
      <c r="AF68" s="227">
        <f>1-IFERROR(IF(AND($H$58=1,J68=""),1,IF(AND($H$58=1,J68=0),0,IF(AND($H$58=1,J68&gt;0),J68,AVERAGEIF(Data!V$10:V$21,"&gt;0",Data!V$10:V$21)))),1)</f>
        <v>0</v>
      </c>
      <c r="AG68" s="227">
        <f>1-IFERROR(IF(AND($H$58=1,K68=""),1,IF(AND($H$58=1,K68=0),0,IF(AND($H$58=1,K68&gt;0),K68,AVERAGEIF(Data!V$22:V$33,"&gt;0",Data!V$22:V$33)))),1)</f>
        <v>0</v>
      </c>
      <c r="AH68" s="227">
        <f>1-IFERROR(IF(AND($H$58=1,L68=""),1,IF(AND($H$58=1,L68=0),0,IF(AND($H$58=1,L68&gt;0),L68,AVERAGEIF(Data!V$34:V$45,"&gt;0",Data!V$34:V$45)))),1)</f>
        <v>0</v>
      </c>
      <c r="AI68" s="227">
        <f>1-IFERROR(IF(AND($H$58=1,M68=""),1,IF(AND($H$58=1,M68=0),0,IF(AND($H$58=1,M68&gt;0),M68,AVERAGEIF(Data!V$46:V$57,"&gt;0",Data!V$46:V$57)))),1)</f>
        <v>0</v>
      </c>
      <c r="AJ68" s="9"/>
      <c r="AK68" s="9"/>
      <c r="AL68" s="223" t="str">
        <f>IF(intervencao4=0,"Do not fill this line",intervencao4)</f>
        <v>Do not fill this line</v>
      </c>
      <c r="AM68" s="227">
        <f>IFERROR(IF($H$58=1,J68,AVERAGEIF(Data!F$10:F$21,"&gt;0",Data!F$10:F$21)),0)</f>
        <v>0</v>
      </c>
      <c r="AN68" s="227">
        <f>IFERROR(IF($H$58=1,K68,AVERAGEIF(Data!F$22:F$33,"&gt;0",Data!F$22:F$33)),0)</f>
        <v>0</v>
      </c>
      <c r="AO68" s="227">
        <f>IFERROR(IF($H$58=1,L68,AVERAGEIF(Data!F$34:F$45,"&gt;0",Data!F$34:F$45)),0)</f>
        <v>0</v>
      </c>
      <c r="AP68" s="227">
        <f>IFERROR(IF($H$58=1,M68,AVERAGEIF(Data!F$46:F$57,"&gt;0",Data!F$46:F$57)),0)</f>
        <v>0</v>
      </c>
      <c r="AQ68" s="9"/>
    </row>
    <row r="69" spans="3:43">
      <c r="C69" s="294" t="str">
        <f>IF(uso=1,"Enter the average time of use",IF(uso=4,"Enter "&amp;E54,"Do not fill in this table"))</f>
        <v>Do not fill in this table</v>
      </c>
      <c r="D69" s="472" t="s">
        <v>278</v>
      </c>
      <c r="E69" s="473"/>
      <c r="F69" s="7"/>
      <c r="G69" s="7"/>
      <c r="H69" s="460" t="str">
        <f>H63</f>
        <v>Enter the discontinuation rate</v>
      </c>
      <c r="I69" s="468"/>
      <c r="J69" s="484" t="s">
        <v>279</v>
      </c>
      <c r="K69" s="485"/>
      <c r="L69" s="485"/>
      <c r="M69" s="486"/>
      <c r="N69" s="7"/>
      <c r="O69" s="7"/>
      <c r="P69" s="7"/>
      <c r="Q69" s="302" t="str">
        <f>Q63</f>
        <v>Do not fill in this table</v>
      </c>
      <c r="R69" s="303"/>
      <c r="S69" s="304"/>
      <c r="T69" s="304"/>
      <c r="U69" s="304"/>
      <c r="V69" s="11"/>
      <c r="W69" s="7"/>
      <c r="X69" s="302" t="str">
        <f>X63</f>
        <v>Do not fill in this table</v>
      </c>
      <c r="Y69" s="303"/>
      <c r="Z69" s="304"/>
      <c r="AA69" s="304"/>
      <c r="AB69" s="304"/>
      <c r="AC69" s="11"/>
      <c r="AD69" s="9"/>
      <c r="AE69" s="302" t="str">
        <f>AE63</f>
        <v>Do not fill in this table</v>
      </c>
      <c r="AF69" s="303"/>
      <c r="AG69" s="304"/>
      <c r="AH69" s="304"/>
      <c r="AI69" s="304"/>
      <c r="AJ69" s="9"/>
      <c r="AK69" s="9"/>
      <c r="AL69" s="302" t="s">
        <v>276</v>
      </c>
      <c r="AM69" s="303"/>
      <c r="AN69" s="304"/>
      <c r="AO69" s="304"/>
      <c r="AP69" s="304"/>
      <c r="AQ69" s="9"/>
    </row>
    <row r="70" spans="3:43">
      <c r="C70" s="300" t="str">
        <f>IF(comparador1=0,"Do not fill this line",comparador1)</f>
        <v>BSC</v>
      </c>
      <c r="D70" s="462"/>
      <c r="E70" s="463"/>
      <c r="F70" s="7"/>
      <c r="G70" s="7"/>
      <c r="H70" s="471" t="str">
        <f>IF(comparador1=0,"Do not fill this line",comparador1)</f>
        <v>BSC</v>
      </c>
      <c r="I70" s="471"/>
      <c r="J70" s="310">
        <v>0</v>
      </c>
      <c r="K70" s="310">
        <v>0</v>
      </c>
      <c r="L70" s="310">
        <v>0</v>
      </c>
      <c r="M70" s="310">
        <v>0</v>
      </c>
      <c r="N70" s="7"/>
      <c r="O70" s="7"/>
      <c r="P70" s="7"/>
      <c r="Q70" s="227" t="str">
        <f>IF(comparador1=0,"Do not fill this line",comparador1)</f>
        <v>BSC</v>
      </c>
      <c r="R70" s="227">
        <f t="shared" ref="R70:R79" si="2">IFERROR(IF(AND(descontinua=1,OR(uso=1,uso=4)),Y70,IF(AND(descontinua=1,uso=2),AM70,IF(AND(descontinua=1,uso=3),AF70,0))),0)</f>
        <v>0</v>
      </c>
      <c r="S70" s="227">
        <f t="shared" ref="S70:S79" si="3">IFERROR(IF(AND(descontinua=1,OR(uso=1,uso=4)),Z70,IF(AND(descontinua=1,uso=2),AN70,IF(AND(descontinua=1,uso=3),AG70,0))),0)</f>
        <v>0</v>
      </c>
      <c r="T70" s="227">
        <f t="shared" ref="T70:T79" si="4">IFERROR(IF(AND(descontinua=1,OR(uso=1,uso=4)),AA70,IF(AND(descontinua=1,uso=2),AO70,IF(AND(descontinua=1,uso=3),AH70,0))),0)</f>
        <v>0</v>
      </c>
      <c r="U70" s="227">
        <f t="shared" ref="U70:U79" si="5">IFERROR(IF(AND(descontinua=1,OR(uso=1,uso=4)),AB70,IF(AND(descontinua=1,uso=2),AP70,IF(AND(descontinua=1,uso=3),AI70,0))),0)</f>
        <v>0</v>
      </c>
      <c r="V70" s="11">
        <f t="shared" si="1"/>
        <v>0</v>
      </c>
      <c r="W70" s="7"/>
      <c r="X70" s="223" t="str">
        <f>IF(comparador1=0,"Do not fill this line",comparador1)</f>
        <v>BSC</v>
      </c>
      <c r="Y70" s="227" t="e">
        <f>1-AVERAGEIF(Data!AO$10:AO$21,"&gt;0",Data!AO$10:AO$21)</f>
        <v>#DIV/0!</v>
      </c>
      <c r="Z70" s="227" t="e">
        <f>1-AVERAGEIF(Data!AO$22:AO$33,"&gt;0",Data!AO$22:AO$33)</f>
        <v>#DIV/0!</v>
      </c>
      <c r="AA70" s="227" t="e">
        <f>1-AVERAGEIF(Data!AO$34:AO$45,"&gt;0",Data!AO$34:AO$45)</f>
        <v>#DIV/0!</v>
      </c>
      <c r="AB70" s="227" t="e">
        <f>1-AVERAGEIF(Data!AO$46:AO$57,"&gt;0",Data!AO$46:AO$57)</f>
        <v>#DIV/0!</v>
      </c>
      <c r="AC70" s="11"/>
      <c r="AD70" s="9"/>
      <c r="AE70" s="223" t="str">
        <f>IF(comparador1=0,"Do not fill this line",comparador1)</f>
        <v>BSC</v>
      </c>
      <c r="AF70" s="227">
        <f>1-IFERROR(IF(AND($H$58=1,J70=""),1,IF(AND($H$58=1,J70=0),0,IF(AND($H$58=1,J70&gt;0),J70,AVERAGEIF(Data!W$10:W$21,"&gt;0",Data!W$10:W$21)))),1)</f>
        <v>1</v>
      </c>
      <c r="AG70" s="227">
        <f>1-IFERROR(IF(AND($H$58=1,K70=""),1,IF(AND($H$58=1,K70=0),0,IF(AND($H$58=1,K70&gt;0),K70,AVERAGEIF(Data!W$22:W$33,"&gt;0",Data!W$22:W$33)))),1)</f>
        <v>1</v>
      </c>
      <c r="AH70" s="227">
        <f>1-IFERROR(IF(AND($H$58=1,L70=""),1,IF(AND($H$58=1,L70=0),0,IF(AND($H$58=1,L70&gt;0),L70,AVERAGEIF(Data!W$34:W$45,"&gt;0",Data!W$34:W$45)))),1)</f>
        <v>1</v>
      </c>
      <c r="AI70" s="227">
        <f>1-IFERROR(IF(AND($H$58=1,M70=""),1,IF(AND($H$58=1,M70=0),0,IF(AND($H$58=1,M70&gt;0),M70,AVERAGEIF(Data!W$46:W$57,"&gt;0",Data!W$46:W$57)))),1)</f>
        <v>1</v>
      </c>
      <c r="AJ70" s="9"/>
      <c r="AK70" s="9"/>
      <c r="AL70" s="223" t="str">
        <f>IF(comparador1=0,"Do not fill this line",comparador1)</f>
        <v>BSC</v>
      </c>
      <c r="AM70" s="227">
        <f>IFERROR(IF($H$58=1,J70,AVERAGEIF(Data!G$10:G$21,"&gt;0",Data!G$10:G$21)),0)</f>
        <v>0</v>
      </c>
      <c r="AN70" s="227">
        <f>IFERROR(IF($H$58=1,K70,AVERAGEIF(Data!G$22:G$33,"&gt;0",Data!G$22:G$33)),0)</f>
        <v>0</v>
      </c>
      <c r="AO70" s="227">
        <f>IFERROR(IF($H$58=1,L70,AVERAGEIF(Data!G$34:G$45,"&gt;0",Data!G$34:G$45)),0)</f>
        <v>0</v>
      </c>
      <c r="AP70" s="227">
        <f>IFERROR(IF($H$58=1,M70,AVERAGEIF(Data!G$46:G$57,"&gt;0",Data!G$46:G$57)),0)</f>
        <v>0</v>
      </c>
      <c r="AQ70" s="9"/>
    </row>
    <row r="71" spans="3:43">
      <c r="C71" s="300" t="str">
        <f>IF(comparador2=0,"Do not fill this line",comparador2)</f>
        <v>Do not fill this line</v>
      </c>
      <c r="D71" s="462"/>
      <c r="E71" s="463"/>
      <c r="F71" s="7"/>
      <c r="G71" s="7"/>
      <c r="H71" s="471" t="str">
        <f>IF(comparador2=0,"Do not fill this line",comparador2)</f>
        <v>Do not fill this line</v>
      </c>
      <c r="I71" s="471"/>
      <c r="J71" s="230"/>
      <c r="K71" s="230"/>
      <c r="L71" s="230"/>
      <c r="M71" s="230"/>
      <c r="N71" s="7"/>
      <c r="O71" s="7"/>
      <c r="P71" s="7"/>
      <c r="Q71" s="227" t="str">
        <f>IF(comparador2=0,"Do not fill this line",comparador2)</f>
        <v>Do not fill this line</v>
      </c>
      <c r="R71" s="227">
        <f t="shared" si="2"/>
        <v>0</v>
      </c>
      <c r="S71" s="227">
        <f t="shared" si="3"/>
        <v>0</v>
      </c>
      <c r="T71" s="227">
        <f t="shared" si="4"/>
        <v>0</v>
      </c>
      <c r="U71" s="227">
        <f t="shared" si="5"/>
        <v>0</v>
      </c>
      <c r="V71" s="11">
        <f t="shared" si="1"/>
        <v>0</v>
      </c>
      <c r="W71" s="7"/>
      <c r="X71" s="223" t="str">
        <f>IF(comparador2=0,"Do not fill this line",comparador2)</f>
        <v>Do not fill this line</v>
      </c>
      <c r="Y71" s="227" t="e">
        <f>1-AVERAGEIF(Data!AP$10:AP$21,"&gt;0",Data!AP$10:AP$21)</f>
        <v>#DIV/0!</v>
      </c>
      <c r="Z71" s="227" t="e">
        <f>1-AVERAGEIF(Data!AP$22:AP$33,"&gt;0",Data!AP$22:AP$33)</f>
        <v>#DIV/0!</v>
      </c>
      <c r="AA71" s="227" t="e">
        <f>1-AVERAGEIF(Data!AP$34:AP$45,"&gt;0",Data!AP$34:AP$45)</f>
        <v>#DIV/0!</v>
      </c>
      <c r="AB71" s="227" t="e">
        <f>1-AVERAGEIF(Data!AP$46:AP$57,"&gt;0",Data!AP$46:AP$57)</f>
        <v>#DIV/0!</v>
      </c>
      <c r="AC71" s="11"/>
      <c r="AD71" s="9"/>
      <c r="AE71" s="223" t="str">
        <f>IF(comparador2=0,"Do not fill this line",comparador2)</f>
        <v>Do not fill this line</v>
      </c>
      <c r="AF71" s="227">
        <f>1-IFERROR(IF(AND($H$58=1,J71=""),1,IF(AND($H$58=1,J71=0),0,IF(AND($H$58=1,J71&gt;0),J71,AVERAGEIF(Data!X$10:X$21,"&gt;0",Data!X$10:X$21)))),1)</f>
        <v>0</v>
      </c>
      <c r="AG71" s="227">
        <f>1-IFERROR(IF(AND($H$58=1,K71=""),1,IF(AND($H$58=1,K71=0),0,IF(AND($H$58=1,K71&gt;0),K71,AVERAGEIF(Data!X$22:X$33,"&gt;0",Data!X$22:X$33)))),1)</f>
        <v>0</v>
      </c>
      <c r="AH71" s="227">
        <f>1-IFERROR(IF(AND($H$58=1,L71=""),1,IF(AND($H$58=1,L71=0),0,IF(AND($H$58=1,L71&gt;0),L71,AVERAGEIF(Data!X$34:X$45,"&gt;0",Data!X$34:X$45)))),1)</f>
        <v>0</v>
      </c>
      <c r="AI71" s="227">
        <f>1-IFERROR(IF(AND($H$58=1,M71=""),1,IF(AND($H$58=1,M71=0),0,IF(AND($H$58=1,M71&gt;0),M71,AVERAGEIF(Data!X$46:X$57,"&gt;0",Data!X$46:X$57)))),1)</f>
        <v>0</v>
      </c>
      <c r="AJ71" s="9"/>
      <c r="AK71" s="9"/>
      <c r="AL71" s="223" t="str">
        <f>IF(comparador2=0,"Do not fill this line",comparador2)</f>
        <v>Do not fill this line</v>
      </c>
      <c r="AM71" s="227">
        <f>IFERROR(IF($H$58=1,J71,AVERAGEIF(Data!H$10:H$21,"&gt;0",Data!H$10:H$21)),0)</f>
        <v>0</v>
      </c>
      <c r="AN71" s="227">
        <f>IFERROR(IF($H$58=1,K71,AVERAGEIF(Data!H$22:H$33,"&gt;0",Data!H$22:H$33)),0)</f>
        <v>0</v>
      </c>
      <c r="AO71" s="227">
        <f>IFERROR(IF($H$58=1,L71,AVERAGEIF(Data!H$34:H$45,"&gt;0",Data!H$34:H$45)),0)</f>
        <v>0</v>
      </c>
      <c r="AP71" s="227">
        <f>IFERROR(IF($H$58=1,M71,AVERAGEIF(Data!H$46:H$57,"&gt;0",Data!H$46:H$57)),0)</f>
        <v>0</v>
      </c>
      <c r="AQ71" s="9"/>
    </row>
    <row r="72" spans="3:43">
      <c r="C72" s="300" t="str">
        <f>IF(comparador3=0,"Do not fill this line",comparador3)</f>
        <v>Do not fill this line</v>
      </c>
      <c r="D72" s="462"/>
      <c r="E72" s="463"/>
      <c r="F72" s="7"/>
      <c r="G72" s="7"/>
      <c r="H72" s="471" t="str">
        <f>IF(comparador3=0,"Do not fill this line",comparador3)</f>
        <v>Do not fill this line</v>
      </c>
      <c r="I72" s="471"/>
      <c r="J72" s="230"/>
      <c r="K72" s="230"/>
      <c r="L72" s="230"/>
      <c r="M72" s="230"/>
      <c r="N72" s="7"/>
      <c r="O72" s="7"/>
      <c r="P72" s="7"/>
      <c r="Q72" s="227" t="str">
        <f>IF(comparador3=0,"Do not fill this line",comparador3)</f>
        <v>Do not fill this line</v>
      </c>
      <c r="R72" s="227">
        <f t="shared" si="2"/>
        <v>0</v>
      </c>
      <c r="S72" s="227">
        <f t="shared" si="3"/>
        <v>0</v>
      </c>
      <c r="T72" s="227">
        <f t="shared" si="4"/>
        <v>0</v>
      </c>
      <c r="U72" s="227">
        <f t="shared" si="5"/>
        <v>0</v>
      </c>
      <c r="V72" s="11">
        <f t="shared" si="1"/>
        <v>0</v>
      </c>
      <c r="W72" s="7"/>
      <c r="X72" s="223" t="str">
        <f>IF(comparador3=0,"Do not fill this line",comparador3)</f>
        <v>Do not fill this line</v>
      </c>
      <c r="Y72" s="227" t="e">
        <f>1-AVERAGEIF(Data!AQ$10:AQ$21,"&gt;0",Data!AQ$10:AQ$21)</f>
        <v>#DIV/0!</v>
      </c>
      <c r="Z72" s="227" t="e">
        <f>1-AVERAGEIF(Data!AQ$22:AQ$33,"&gt;0",Data!AQ$22:AQ$33)</f>
        <v>#DIV/0!</v>
      </c>
      <c r="AA72" s="227" t="e">
        <f>1-AVERAGEIF(Data!AQ$34:AQ$45,"&gt;0",Data!AQ$34:AQ$45)</f>
        <v>#DIV/0!</v>
      </c>
      <c r="AB72" s="227" t="e">
        <f>1-AVERAGEIF(Data!AQ$46:AQ$57,"&gt;0",Data!AQ$46:AQ$57)</f>
        <v>#DIV/0!</v>
      </c>
      <c r="AC72" s="11"/>
      <c r="AD72" s="9"/>
      <c r="AE72" s="223" t="str">
        <f>IF(comparador3=0,"Do not fill this line",comparador3)</f>
        <v>Do not fill this line</v>
      </c>
      <c r="AF72" s="227">
        <f>1-IFERROR(IF(AND($H$58=1,J72=""),1,IF(AND($H$58=1,J72=0),0,IF(AND($H$58=1,J72&gt;0),J72,AVERAGEIF(Data!Y$10:Y$21,"&gt;0",Data!Y$10:Y$21)))),1)</f>
        <v>0</v>
      </c>
      <c r="AG72" s="227">
        <f>1-IFERROR(IF(AND($H$58=1,K72=""),1,IF(AND($H$58=1,K72=0),0,IF(AND($H$58=1,K72&gt;0),K72,AVERAGEIF(Data!Y$22:Y$33,"&gt;0",Data!Y$22:Y$33)))),1)</f>
        <v>0</v>
      </c>
      <c r="AH72" s="227">
        <f>1-IFERROR(IF(AND($H$58=1,L72=""),1,IF(AND($H$58=1,L72=0),0,IF(AND($H$58=1,L72&gt;0),L72,AVERAGEIF(Data!Y$34:Y$45,"&gt;0",Data!Y$34:Y$45)))),1)</f>
        <v>0</v>
      </c>
      <c r="AI72" s="227">
        <f>1-IFERROR(IF(AND($H$58=1,M72=""),1,IF(AND($H$58=1,M72=0),0,IF(AND($H$58=1,M72&gt;0),M72,AVERAGEIF(Data!Y$46:Y$57,"&gt;0",Data!Y$46:Y$57)))),1)</f>
        <v>0</v>
      </c>
      <c r="AJ72" s="9"/>
      <c r="AK72" s="9"/>
      <c r="AL72" s="223" t="str">
        <f>IF(comparador3=0,"Do not fill this line",comparador3)</f>
        <v>Do not fill this line</v>
      </c>
      <c r="AM72" s="227">
        <f>IFERROR(IF($H$58=1,J72,AVERAGEIF(Data!I$10:I$21,"&gt;0",Data!I$10:I$21)),0)</f>
        <v>0</v>
      </c>
      <c r="AN72" s="227">
        <f>IFERROR(IF($H$58=1,K72,AVERAGEIF(Data!I$22:I$33,"&gt;0",Data!I$22:I$33)),0)</f>
        <v>0</v>
      </c>
      <c r="AO72" s="227">
        <f>IFERROR(IF($H$58=1,L72,AVERAGEIF(Data!I$34:I$45,"&gt;0",Data!I$34:I$45)),0)</f>
        <v>0</v>
      </c>
      <c r="AP72" s="227">
        <f>IFERROR(IF($H$58=1,M72,AVERAGEIF(Data!I$46:I$57,"&gt;0",Data!I$46:I$57)),0)</f>
        <v>0</v>
      </c>
      <c r="AQ72" s="9"/>
    </row>
    <row r="73" spans="3:43">
      <c r="C73" s="300" t="str">
        <f>IF(comparador4=0,"Do not fill this line",comparador4)</f>
        <v>Do not fill this line</v>
      </c>
      <c r="D73" s="462"/>
      <c r="E73" s="463"/>
      <c r="F73" s="7"/>
      <c r="G73" s="7"/>
      <c r="H73" s="471" t="str">
        <f>IF(comparador4=0,"Do not fill this line",comparador4)</f>
        <v>Do not fill this line</v>
      </c>
      <c r="I73" s="471"/>
      <c r="J73" s="230"/>
      <c r="K73" s="230"/>
      <c r="L73" s="230"/>
      <c r="M73" s="230"/>
      <c r="N73" s="7"/>
      <c r="O73" s="7"/>
      <c r="P73" s="7"/>
      <c r="Q73" s="227" t="str">
        <f>IF(comparador4=0,"Do not fill this line",comparador4)</f>
        <v>Do not fill this line</v>
      </c>
      <c r="R73" s="227">
        <f t="shared" si="2"/>
        <v>0</v>
      </c>
      <c r="S73" s="227">
        <f t="shared" si="3"/>
        <v>0</v>
      </c>
      <c r="T73" s="227">
        <f t="shared" si="4"/>
        <v>0</v>
      </c>
      <c r="U73" s="227">
        <f t="shared" si="5"/>
        <v>0</v>
      </c>
      <c r="V73" s="11">
        <f t="shared" si="1"/>
        <v>0</v>
      </c>
      <c r="W73" s="7"/>
      <c r="X73" s="223" t="str">
        <f>IF(comparador4=0,"Do not fill this line",comparador4)</f>
        <v>Do not fill this line</v>
      </c>
      <c r="Y73" s="227" t="e">
        <f>1-AVERAGEIF(Data!AR$10:AR$21,"&gt;0",Data!AR$10:AR$21)</f>
        <v>#DIV/0!</v>
      </c>
      <c r="Z73" s="227" t="e">
        <f>1-AVERAGEIF(Data!AR$22:AR$33,"&gt;0",Data!AR$22:AR$33)</f>
        <v>#DIV/0!</v>
      </c>
      <c r="AA73" s="227" t="e">
        <f>1-AVERAGEIF(Data!AR$34:AR$45,"&gt;0",Data!AR$34:AR$45)</f>
        <v>#DIV/0!</v>
      </c>
      <c r="AB73" s="227" t="e">
        <f>1-AVERAGEIF(Data!AR$46:AR$57,"&gt;0",Data!AR$46:AR$57)</f>
        <v>#DIV/0!</v>
      </c>
      <c r="AC73" s="11"/>
      <c r="AD73" s="9"/>
      <c r="AE73" s="223" t="str">
        <f>IF(comparador4=0,"Do not fill this line",comparador4)</f>
        <v>Do not fill this line</v>
      </c>
      <c r="AF73" s="227">
        <f>1-IFERROR(IF(AND($H$58=1,J73=""),1,IF(AND($H$58=1,J73=0),0,IF(AND($H$58=1,J73&gt;0),J73,AVERAGEIF(Data!Z$10:Z$21,"&gt;0",Data!Z$10:Z$21)))),1)</f>
        <v>0</v>
      </c>
      <c r="AG73" s="227">
        <f>1-IFERROR(IF(AND($H$58=1,K73=""),1,IF(AND($H$58=1,K73=0),0,IF(AND($H$58=1,K73&gt;0),K73,AVERAGEIF(Data!Z$22:Z$33,"&gt;0",Data!Z$22:Z$33)))),1)</f>
        <v>0</v>
      </c>
      <c r="AH73" s="227">
        <f>1-IFERROR(IF(AND($H$58=1,L73=""),1,IF(AND($H$58=1,L73=0),0,IF(AND($H$58=1,L73&gt;0),L73,AVERAGEIF(Data!Z$34:Z$45,"&gt;0",Data!Z$34:Z$45)))),1)</f>
        <v>0</v>
      </c>
      <c r="AI73" s="227">
        <f>1-IFERROR(IF(AND($H$58=1,M73=""),1,IF(AND($H$58=1,M73=0),0,IF(AND($H$58=1,M73&gt;0),M73,AVERAGEIF(Data!Z$46:Z$57,"&gt;0",Data!Z$46:Z$57)))),1)</f>
        <v>0</v>
      </c>
      <c r="AJ73" s="9"/>
      <c r="AK73" s="9"/>
      <c r="AL73" s="223" t="str">
        <f>IF(comparador4=0,"Do not fill this line",comparador4)</f>
        <v>Do not fill this line</v>
      </c>
      <c r="AM73" s="227">
        <f>IFERROR(IF($H$58=1,J73,AVERAGEIF(Data!J$10:J$21,"&gt;0",Data!J$10:J$21)),0)</f>
        <v>0</v>
      </c>
      <c r="AN73" s="227">
        <f>IFERROR(IF($H$58=1,K73,AVERAGEIF(Data!J$22:J$33,"&gt;0",Data!J$22:J$33)),0)</f>
        <v>0</v>
      </c>
      <c r="AO73" s="227">
        <f>IFERROR(IF($H$58=1,L73,AVERAGEIF(Data!J$34:J$45,"&gt;0",Data!J$34:J$45)),0)</f>
        <v>0</v>
      </c>
      <c r="AP73" s="227">
        <f>IFERROR(IF($H$58=1,M73,AVERAGEIF(Data!J$46:J$57,"&gt;0",Data!J$46:J$57)),0)</f>
        <v>0</v>
      </c>
      <c r="AQ73" s="9"/>
    </row>
    <row r="74" spans="3:43">
      <c r="C74" s="300" t="str">
        <f>IF(comparador5=0,"Do not fill this line",comparador5)</f>
        <v>Do not fill this line</v>
      </c>
      <c r="D74" s="462"/>
      <c r="E74" s="463"/>
      <c r="F74" s="7"/>
      <c r="G74" s="7"/>
      <c r="H74" s="471" t="str">
        <f>IF(comparador5=0,"Do not fill this line",comparador5)</f>
        <v>Do not fill this line</v>
      </c>
      <c r="I74" s="471"/>
      <c r="J74" s="230"/>
      <c r="K74" s="230"/>
      <c r="L74" s="230"/>
      <c r="M74" s="230"/>
      <c r="N74" s="7"/>
      <c r="O74" s="7"/>
      <c r="P74" s="7"/>
      <c r="Q74" s="227" t="str">
        <f>IF(comparador5=0,"Do not fill this line",comparador5)</f>
        <v>Do not fill this line</v>
      </c>
      <c r="R74" s="227">
        <f t="shared" si="2"/>
        <v>0</v>
      </c>
      <c r="S74" s="227">
        <f t="shared" si="3"/>
        <v>0</v>
      </c>
      <c r="T74" s="227">
        <f t="shared" si="4"/>
        <v>0</v>
      </c>
      <c r="U74" s="227">
        <f t="shared" si="5"/>
        <v>0</v>
      </c>
      <c r="V74" s="11">
        <f t="shared" si="1"/>
        <v>0</v>
      </c>
      <c r="W74" s="7"/>
      <c r="X74" s="223" t="str">
        <f>IF(comparador5=0,"Do not fill this line",comparador5)</f>
        <v>Do not fill this line</v>
      </c>
      <c r="Y74" s="227" t="e">
        <f>1-AVERAGEIF(Data!AS$10:AS$21,"&gt;0",Data!AS$10:AS$21)</f>
        <v>#DIV/0!</v>
      </c>
      <c r="Z74" s="227" t="e">
        <f>1-AVERAGEIF(Data!AS$22:AS$33,"&gt;0",Data!AS$22:AS$33)</f>
        <v>#DIV/0!</v>
      </c>
      <c r="AA74" s="227" t="e">
        <f>1-AVERAGEIF(Data!AS$34:AS$45,"&gt;0",Data!AS$34:AS$45)</f>
        <v>#DIV/0!</v>
      </c>
      <c r="AB74" s="227" t="e">
        <f>1-AVERAGEIF(Data!AS$46:AS$57,"&gt;0",Data!AS$46:AS$57)</f>
        <v>#DIV/0!</v>
      </c>
      <c r="AC74" s="11"/>
      <c r="AD74" s="9"/>
      <c r="AE74" s="223" t="str">
        <f>IF(comparador5=0,"Do not fill this line",comparador5)</f>
        <v>Do not fill this line</v>
      </c>
      <c r="AF74" s="227">
        <f>1-IFERROR(IF(AND($H$58=1,J74=""),1,IF(AND($H$58=1,J74=0),0,IF(AND($H$58=1,J74&gt;0),J74,AVERAGEIF(Data!AA$10:AA$21,"&gt;0",Data!AA$10:AA$21)))),1)</f>
        <v>0</v>
      </c>
      <c r="AG74" s="227">
        <f>1-IFERROR(IF(AND($H$58=1,K74=""),1,IF(AND($H$58=1,K74=0),0,IF(AND($H$58=1,K74&gt;0),K74,AVERAGEIF(Data!AA$22:AA$33,"&gt;0",Data!AA$22:AA$33)))),1)</f>
        <v>0</v>
      </c>
      <c r="AH74" s="227">
        <f>1-IFERROR(IF(AND($H$58=1,L74=""),1,IF(AND($H$58=1,L74=0),0,IF(AND($H$58=1,L74&gt;0),L74,AVERAGEIF(Data!AA$34:AA$45,"&gt;0",Data!AA$34:AA$45)))),1)</f>
        <v>0</v>
      </c>
      <c r="AI74" s="227">
        <f>1-IFERROR(IF(AND($H$58=1,M74=""),1,IF(AND($H$58=1,M74=0),0,IF(AND($H$58=1,M74&gt;0),M74,AVERAGEIF(Data!AA$46:AA$57,"&gt;0",Data!AA$46:AA$57)))),1)</f>
        <v>0</v>
      </c>
      <c r="AJ74" s="9"/>
      <c r="AK74" s="9"/>
      <c r="AL74" s="223" t="str">
        <f>IF(comparador5=0,"Do not fill this line",comparador5)</f>
        <v>Do not fill this line</v>
      </c>
      <c r="AM74" s="227">
        <f>IFERROR(IF($H$58=1,J74,AVERAGEIF(Data!K$10:K$21,"&gt;0",Data!K$10:K$21)),0)</f>
        <v>0</v>
      </c>
      <c r="AN74" s="227">
        <f>IFERROR(IF($H$58=1,K74,AVERAGEIF(Data!K$22:K$33,"&gt;0",Data!K$22:K$33)),0)</f>
        <v>0</v>
      </c>
      <c r="AO74" s="227">
        <f>IFERROR(IF($H$58=1,L74,AVERAGEIF(Data!K$34:K$45,"&gt;0",Data!K$34:K$45)),0)</f>
        <v>0</v>
      </c>
      <c r="AP74" s="227">
        <f>IFERROR(IF($H$58=1,M74,AVERAGEIF(Data!K$46:K$57,"&gt;0",Data!K$46:K$57)),0)</f>
        <v>0</v>
      </c>
      <c r="AQ74" s="9"/>
    </row>
    <row r="75" spans="3:43">
      <c r="C75" s="300" t="str">
        <f>IF(comparador6=0,"Do not fill this line",comparador6)</f>
        <v>Do not fill this line</v>
      </c>
      <c r="D75" s="462"/>
      <c r="E75" s="463"/>
      <c r="F75" s="7"/>
      <c r="G75" s="7"/>
      <c r="H75" s="471" t="str">
        <f>IF(comparador6=0,"Do not fill this line",comparador6)</f>
        <v>Do not fill this line</v>
      </c>
      <c r="I75" s="471"/>
      <c r="J75" s="230"/>
      <c r="K75" s="230"/>
      <c r="L75" s="230"/>
      <c r="M75" s="230"/>
      <c r="N75" s="7"/>
      <c r="O75" s="7"/>
      <c r="P75" s="7"/>
      <c r="Q75" s="227" t="str">
        <f>IF(comparador6=0,"Do not fill this line",comparador6)</f>
        <v>Do not fill this line</v>
      </c>
      <c r="R75" s="227">
        <f t="shared" si="2"/>
        <v>0</v>
      </c>
      <c r="S75" s="227">
        <f t="shared" si="3"/>
        <v>0</v>
      </c>
      <c r="T75" s="227">
        <f t="shared" si="4"/>
        <v>0</v>
      </c>
      <c r="U75" s="227">
        <f t="shared" si="5"/>
        <v>0</v>
      </c>
      <c r="V75" s="11">
        <f t="shared" si="1"/>
        <v>0</v>
      </c>
      <c r="W75" s="7"/>
      <c r="X75" s="223" t="str">
        <f>IF(comparador6=0,"Do not fill this line",comparador6)</f>
        <v>Do not fill this line</v>
      </c>
      <c r="Y75" s="227" t="e">
        <f>1-AVERAGEIF(Data!AT$10:AT$21,"&gt;0",Data!AT$10:AT$21)</f>
        <v>#DIV/0!</v>
      </c>
      <c r="Z75" s="227" t="e">
        <f>1-AVERAGEIF(Data!AT$22:AT$33,"&gt;0",Data!AT$22:AT$33)</f>
        <v>#DIV/0!</v>
      </c>
      <c r="AA75" s="227" t="e">
        <f>1-AVERAGEIF(Data!AT$34:AT$45,"&gt;0",Data!AT$34:AT$45)</f>
        <v>#DIV/0!</v>
      </c>
      <c r="AB75" s="227" t="e">
        <f>1-AVERAGEIF(Data!AT$46:AT$57,"&gt;0",Data!AT$46:AT$57)</f>
        <v>#DIV/0!</v>
      </c>
      <c r="AC75" s="11"/>
      <c r="AD75" s="9"/>
      <c r="AE75" s="223" t="str">
        <f>IF(comparador6=0,"Do not fill this line",comparador6)</f>
        <v>Do not fill this line</v>
      </c>
      <c r="AF75" s="227">
        <f>1-IFERROR(IF(AND($H$58=1,J75=""),1,IF(AND($H$58=1,J75=0),0,IF(AND($H$58=1,J75&gt;0),J75,AVERAGEIF(Data!AB$10:AB$21,"&gt;0",Data!AB$10:AB$21)))),1)</f>
        <v>0</v>
      </c>
      <c r="AG75" s="227">
        <f>1-IFERROR(IF(AND($H$58=1,K75=""),1,IF(AND($H$58=1,K75=0),0,IF(AND($H$58=1,K75&gt;0),K75,AVERAGEIF(Data!AB$22:AB$33,"&gt;0",Data!AB$22:AB$33)))),1)</f>
        <v>0</v>
      </c>
      <c r="AH75" s="227">
        <f>1-IFERROR(IF(AND($H$58=1,L75=""),1,IF(AND($H$58=1,L75=0),0,IF(AND($H$58=1,L75&gt;0),L75,AVERAGEIF(Data!AB$34:AB$45,"&gt;0",Data!AB$34:AB$45)))),1)</f>
        <v>0</v>
      </c>
      <c r="AI75" s="227">
        <f>1-IFERROR(IF(AND($H$58=1,M75=""),1,IF(AND($H$58=1,M75=0),0,IF(AND($H$58=1,M75&gt;0),M75,AVERAGEIF(Data!AB$46:AB$57,"&gt;0",Data!AB$46:AB$57)))),1)</f>
        <v>0</v>
      </c>
      <c r="AJ75" s="9"/>
      <c r="AK75" s="9"/>
      <c r="AL75" s="223" t="str">
        <f>IF(comparador6=0,"Do not fill this line",comparador6)</f>
        <v>Do not fill this line</v>
      </c>
      <c r="AM75" s="227">
        <f>IFERROR(IF($H$58=1,J75,AVERAGEIF(Data!L$10:L$21,"&gt;0",Data!L$10:L$21)),0)</f>
        <v>0</v>
      </c>
      <c r="AN75" s="227">
        <f>IFERROR(IF($H$58=1,K75,AVERAGEIF(Data!L$22:L$33,"&gt;0",Data!L$22:L$33)),0)</f>
        <v>0</v>
      </c>
      <c r="AO75" s="227">
        <f>IFERROR(IF($H$58=1,L75,AVERAGEIF(Data!L$34:L$45,"&gt;0",Data!L$34:L$45)),0)</f>
        <v>0</v>
      </c>
      <c r="AP75" s="227">
        <f>IFERROR(IF($H$58=1,M75,AVERAGEIF(Data!L$46:L$57,"&gt;0",Data!L$46:L$57)),0)</f>
        <v>0</v>
      </c>
      <c r="AQ75" s="9"/>
    </row>
    <row r="76" spans="3:43">
      <c r="C76" s="300" t="str">
        <f>IF(comparador7=0,"Do not fill this line",comparador7)</f>
        <v>Do not fill this line</v>
      </c>
      <c r="D76" s="462"/>
      <c r="E76" s="463"/>
      <c r="F76" s="7"/>
      <c r="G76" s="7"/>
      <c r="H76" s="471" t="str">
        <f>IF(comparador7=0,"Do not fill this line",comparador7)</f>
        <v>Do not fill this line</v>
      </c>
      <c r="I76" s="471"/>
      <c r="J76" s="230"/>
      <c r="K76" s="230"/>
      <c r="L76" s="230"/>
      <c r="M76" s="230"/>
      <c r="N76" s="7"/>
      <c r="O76" s="7"/>
      <c r="P76" s="7"/>
      <c r="Q76" s="227" t="str">
        <f>IF(comparador7=0,"Do not fill this line",comparador7)</f>
        <v>Do not fill this line</v>
      </c>
      <c r="R76" s="227">
        <f t="shared" si="2"/>
        <v>0</v>
      </c>
      <c r="S76" s="227">
        <f t="shared" si="3"/>
        <v>0</v>
      </c>
      <c r="T76" s="227">
        <f t="shared" si="4"/>
        <v>0</v>
      </c>
      <c r="U76" s="227">
        <f t="shared" si="5"/>
        <v>0</v>
      </c>
      <c r="V76" s="11">
        <f t="shared" si="1"/>
        <v>0</v>
      </c>
      <c r="W76" s="7"/>
      <c r="X76" s="223" t="str">
        <f>IF(comparador7=0,"Do not fill this line",comparador7)</f>
        <v>Do not fill this line</v>
      </c>
      <c r="Y76" s="227" t="e">
        <f>1-AVERAGEIF(Data!AU$10:AU$21,"&gt;0",Data!AU$10:AU$21)</f>
        <v>#DIV/0!</v>
      </c>
      <c r="Z76" s="227" t="e">
        <f>1-AVERAGEIF(Data!AU$22:AU$33,"&gt;0",Data!AU$22:AU$33)</f>
        <v>#DIV/0!</v>
      </c>
      <c r="AA76" s="227" t="e">
        <f>1-AVERAGEIF(Data!AU$34:AU$45,"&gt;0",Data!AU$34:AU$45)</f>
        <v>#DIV/0!</v>
      </c>
      <c r="AB76" s="227" t="e">
        <f>1-AVERAGEIF(Data!AU$46:AU$57,"&gt;0",Data!AU$46:AU$57)</f>
        <v>#DIV/0!</v>
      </c>
      <c r="AC76" s="11"/>
      <c r="AD76" s="9"/>
      <c r="AE76" s="223" t="str">
        <f>IF(comparador7=0,"Do not fill this line",comparador7)</f>
        <v>Do not fill this line</v>
      </c>
      <c r="AF76" s="227">
        <f>1-IFERROR(IF(AND($H$58=1,J76=""),1,IF(AND($H$58=1,J76=0),0,IF(AND($H$58=1,J76&gt;0),J76,AVERAGEIF(Data!AC$10:AC$21,"&gt;0",Data!AC$10:AC$21)))),1)</f>
        <v>0</v>
      </c>
      <c r="AG76" s="227">
        <f>1-IFERROR(IF(AND($H$58=1,K76=""),1,IF(AND($H$58=1,K76=0),0,IF(AND($H$58=1,K76&gt;0),K76,AVERAGEIF(Data!AC$22:AC$33,"&gt;0",Data!AC$22:AC$33)))),1)</f>
        <v>0</v>
      </c>
      <c r="AH76" s="227">
        <f>1-IFERROR(IF(AND($H$58=1,L76=""),1,IF(AND($H$58=1,L76=0),0,IF(AND($H$58=1,L76&gt;0),L76,AVERAGEIF(Data!AC$34:AC$45,"&gt;0",Data!AC$34:AC$45)))),1)</f>
        <v>0</v>
      </c>
      <c r="AI76" s="227">
        <f>1-IFERROR(IF(AND($H$58=1,M76=""),1,IF(AND($H$58=1,M76=0),0,IF(AND($H$58=1,M76&gt;0),M76,AVERAGEIF(Data!AC$46:AC$57,"&gt;0",Data!AC$46:AC$57)))),1)</f>
        <v>0</v>
      </c>
      <c r="AJ76" s="9"/>
      <c r="AK76" s="9"/>
      <c r="AL76" s="223" t="str">
        <f>IF(comparador7=0,"Do not fill this line",comparador7)</f>
        <v>Do not fill this line</v>
      </c>
      <c r="AM76" s="227">
        <f>IFERROR(IF($H$58=1,J76,AVERAGEIF(Data!M$10:M$21,"&gt;0",Data!M$10:M$21)),0)</f>
        <v>0</v>
      </c>
      <c r="AN76" s="227">
        <f>IFERROR(IF($H$58=1,K76,AVERAGEIF(Data!M$22:M$33,"&gt;0",Data!M$22:M$33)),0)</f>
        <v>0</v>
      </c>
      <c r="AO76" s="227">
        <f>IFERROR(IF($H$58=1,L76,AVERAGEIF(Data!M$34:M$45,"&gt;0",Data!M$34:M$45)),0)</f>
        <v>0</v>
      </c>
      <c r="AP76" s="227">
        <f>IFERROR(IF($H$58=1,M76,AVERAGEIF(Data!M$46:M$57,"&gt;0",Data!M$46:M$57)),0)</f>
        <v>0</v>
      </c>
      <c r="AQ76" s="9"/>
    </row>
    <row r="77" spans="3:43">
      <c r="C77" s="300" t="str">
        <f>IF(comparador8=0,"Do not fill this line",comparador8)</f>
        <v>Do not fill this line</v>
      </c>
      <c r="D77" s="462"/>
      <c r="E77" s="463"/>
      <c r="F77" s="7"/>
      <c r="G77" s="7"/>
      <c r="H77" s="471" t="str">
        <f>IF(comparador8=0,"Do not fill this line",comparador8)</f>
        <v>Do not fill this line</v>
      </c>
      <c r="I77" s="471"/>
      <c r="J77" s="230"/>
      <c r="K77" s="230"/>
      <c r="L77" s="230"/>
      <c r="M77" s="230"/>
      <c r="N77" s="7"/>
      <c r="O77" s="7"/>
      <c r="P77" s="7"/>
      <c r="Q77" s="227" t="str">
        <f>IF(comparador8=0,"Do not fill this line",comparador8)</f>
        <v>Do not fill this line</v>
      </c>
      <c r="R77" s="227">
        <f t="shared" si="2"/>
        <v>0</v>
      </c>
      <c r="S77" s="227">
        <f t="shared" si="3"/>
        <v>0</v>
      </c>
      <c r="T77" s="227">
        <f t="shared" si="4"/>
        <v>0</v>
      </c>
      <c r="U77" s="227">
        <f t="shared" si="5"/>
        <v>0</v>
      </c>
      <c r="V77" s="11">
        <f t="shared" si="1"/>
        <v>0</v>
      </c>
      <c r="W77" s="7"/>
      <c r="X77" s="223" t="str">
        <f>IF(comparador8=0,"Do not fill this line",comparador8)</f>
        <v>Do not fill this line</v>
      </c>
      <c r="Y77" s="227" t="e">
        <f>1-AVERAGEIF(Data!AV$10:AV$21,"&gt;0",Data!AV$10:AV$21)</f>
        <v>#DIV/0!</v>
      </c>
      <c r="Z77" s="227" t="e">
        <f>1-AVERAGEIF(Data!AV$22:AV$33,"&gt;0",Data!AV$22:AV$33)</f>
        <v>#DIV/0!</v>
      </c>
      <c r="AA77" s="227" t="e">
        <f>1-AVERAGEIF(Data!AV$34:AV$45,"&gt;0",Data!AV$34:AV$45)</f>
        <v>#DIV/0!</v>
      </c>
      <c r="AB77" s="227" t="e">
        <f>1-AVERAGEIF(Data!AV$46:AV$57,"&gt;0",Data!AV$46:AV$57)</f>
        <v>#DIV/0!</v>
      </c>
      <c r="AC77" s="11"/>
      <c r="AD77" s="9"/>
      <c r="AE77" s="223" t="str">
        <f>IF(comparador8=0,"Do not fill this line",comparador8)</f>
        <v>Do not fill this line</v>
      </c>
      <c r="AF77" s="227">
        <f>1-IFERROR(IF(AND($H$58=1,J77=""),1,IF(AND($H$58=1,J77=0),0,IF(AND($H$58=1,J77&gt;0),J77,AVERAGEIF(Data!AD$10:AD$21,"&gt;0",Data!AD$10:AD$21)))),1)</f>
        <v>0</v>
      </c>
      <c r="AG77" s="227">
        <f>1-IFERROR(IF(AND($H$58=1,K77=""),1,IF(AND($H$58=1,K77=0),0,IF(AND($H$58=1,K77&gt;0),K77,AVERAGEIF(Data!AD$22:AD$33,"&gt;0",Data!AD$22:AD$33)))),1)</f>
        <v>0</v>
      </c>
      <c r="AH77" s="227">
        <f>1-IFERROR(IF(AND($H$58=1,L77=""),1,IF(AND($H$58=1,L77=0),0,IF(AND($H$58=1,L77&gt;0),L77,AVERAGEIF(Data!AD$34:AD$45,"&gt;0",Data!AD$34:AD$45)))),1)</f>
        <v>0</v>
      </c>
      <c r="AI77" s="227">
        <f>1-IFERROR(IF(AND($H$58=1,M77=""),1,IF(AND($H$58=1,M77=0),0,IF(AND($H$58=1,M77&gt;0),M77,AVERAGEIF(Data!AD$46:AD$57,"&gt;0",Data!AD$46:AD$57)))),1)</f>
        <v>0</v>
      </c>
      <c r="AJ77" s="9"/>
      <c r="AK77" s="9"/>
      <c r="AL77" s="223" t="str">
        <f>IF(comparador8=0,"Do not fill this line",comparador8)</f>
        <v>Do not fill this line</v>
      </c>
      <c r="AM77" s="227">
        <f>IFERROR(IF($H$58=1,J77,AVERAGEIF(Data!N$10:N$21,"&gt;0",Data!N$10:N$21)),0)</f>
        <v>0</v>
      </c>
      <c r="AN77" s="227">
        <f>IFERROR(IF($H$58=1,K77,AVERAGEIF(Data!N$22:N$33,"&gt;0",Data!N$22:N$33)),0)</f>
        <v>0</v>
      </c>
      <c r="AO77" s="227">
        <f>IFERROR(IF($H$58=1,L77,AVERAGEIF(Data!N$34:N$45,"&gt;0",Data!N$34:N$45)),0)</f>
        <v>0</v>
      </c>
      <c r="AP77" s="227">
        <f>IFERROR(IF($H$58=1,M77,AVERAGEIF(Data!N$46:N$57,"&gt;0",Data!N$46:N$57)),0)</f>
        <v>0</v>
      </c>
      <c r="AQ77" s="9"/>
    </row>
    <row r="78" spans="3:43">
      <c r="C78" s="300" t="str">
        <f>IF(comparador9=0,"Do not fill this line",comparador9)</f>
        <v>Do not fill this line</v>
      </c>
      <c r="D78" s="462"/>
      <c r="E78" s="463"/>
      <c r="F78" s="7"/>
      <c r="G78" s="7"/>
      <c r="H78" s="471" t="str">
        <f>IF(comparador9=0,"Do not fill this line",comparador9)</f>
        <v>Do not fill this line</v>
      </c>
      <c r="I78" s="471"/>
      <c r="J78" s="230"/>
      <c r="K78" s="230"/>
      <c r="L78" s="230"/>
      <c r="M78" s="230"/>
      <c r="N78" s="7"/>
      <c r="O78" s="7"/>
      <c r="P78" s="7"/>
      <c r="Q78" s="227" t="str">
        <f>IF(comparador9=0,"Do not fill this line",comparador9)</f>
        <v>Do not fill this line</v>
      </c>
      <c r="R78" s="227">
        <f t="shared" si="2"/>
        <v>0</v>
      </c>
      <c r="S78" s="227">
        <f t="shared" si="3"/>
        <v>0</v>
      </c>
      <c r="T78" s="227">
        <f t="shared" si="4"/>
        <v>0</v>
      </c>
      <c r="U78" s="227">
        <f t="shared" si="5"/>
        <v>0</v>
      </c>
      <c r="V78" s="11">
        <f t="shared" si="1"/>
        <v>0</v>
      </c>
      <c r="W78" s="7"/>
      <c r="X78" s="223" t="str">
        <f>IF(comparador9=0,"Do not fill this line",comparador9)</f>
        <v>Do not fill this line</v>
      </c>
      <c r="Y78" s="227" t="e">
        <f>1-AVERAGEIF(Data!AW$10:AW$21,"&gt;0",Data!AW$10:AW$21)</f>
        <v>#DIV/0!</v>
      </c>
      <c r="Z78" s="227" t="e">
        <f>1-AVERAGEIF(Data!AW$22:AW$33,"&gt;0",Data!AW$22:AW$33)</f>
        <v>#DIV/0!</v>
      </c>
      <c r="AA78" s="227" t="e">
        <f>1-AVERAGEIF(Data!AW$34:AW$45,"&gt;0",Data!AW$34:AW$45)</f>
        <v>#DIV/0!</v>
      </c>
      <c r="AB78" s="227" t="e">
        <f>1-AVERAGEIF(Data!AW$46:AW$57,"&gt;0",Data!AW$46:AW$57)</f>
        <v>#DIV/0!</v>
      </c>
      <c r="AC78" s="11"/>
      <c r="AD78" s="9"/>
      <c r="AE78" s="223" t="str">
        <f>IF(comparador9=0,"Do not fill this line",comparador9)</f>
        <v>Do not fill this line</v>
      </c>
      <c r="AF78" s="227">
        <f>1-IFERROR(IF(AND($H$58=1,J78=""),1,IF(AND($H$58=1,J78=0),0,IF(AND($H$58=1,J78&gt;0),J78,AVERAGEIF(Data!AE$10:AE$21,"&gt;0",Data!AE$10:AE$21)))),1)</f>
        <v>0</v>
      </c>
      <c r="AG78" s="227">
        <f>1-IFERROR(IF(AND($H$58=1,K78=""),1,IF(AND($H$58=1,K78=0),0,IF(AND($H$58=1,K78&gt;0),K78,AVERAGEIF(Data!AE$22:AE$33,"&gt;0",Data!AE$22:AE$33)))),1)</f>
        <v>0</v>
      </c>
      <c r="AH78" s="227">
        <f>1-IFERROR(IF(AND($H$58=1,L78=""),1,IF(AND($H$58=1,L78=0),0,IF(AND($H$58=1,L78&gt;0),L78,AVERAGEIF(Data!AE$34:AE$45,"&gt;0",Data!AE$34:AE$45)))),1)</f>
        <v>0</v>
      </c>
      <c r="AI78" s="227">
        <f>1-IFERROR(IF(AND($H$58=1,M78=""),1,IF(AND($H$58=1,M78=0),0,IF(AND($H$58=1,M78&gt;0),M78,AVERAGEIF(Data!AE$46:AE$57,"&gt;0",Data!AE$46:AE$57)))),1)</f>
        <v>0</v>
      </c>
      <c r="AJ78" s="9"/>
      <c r="AK78" s="9"/>
      <c r="AL78" s="223" t="str">
        <f>IF(comparador9=0,"Do not fill this line",comparador9)</f>
        <v>Do not fill this line</v>
      </c>
      <c r="AM78" s="227">
        <f>IFERROR(IF($H$58=1,J78,AVERAGEIF(Data!O$10:O$21,"&gt;0",Data!O$10:O$21)),0)</f>
        <v>0</v>
      </c>
      <c r="AN78" s="227">
        <f>IFERROR(IF($H$58=1,K78,AVERAGEIF(Data!O$22:O$33,"&gt;0",Data!O$22:O$33)),0)</f>
        <v>0</v>
      </c>
      <c r="AO78" s="227">
        <f>IFERROR(IF($H$58=1,L78,AVERAGEIF(Data!O$34:O$45,"&gt;0",Data!O$34:O$45)),0)</f>
        <v>0</v>
      </c>
      <c r="AP78" s="227">
        <f>IFERROR(IF($H$58=1,M78,AVERAGEIF(Data!O$46:O$57,"&gt;0",Data!O$46:O$57)),0)</f>
        <v>0</v>
      </c>
      <c r="AQ78" s="9"/>
    </row>
    <row r="79" spans="3:43">
      <c r="C79" s="300" t="str">
        <f>IF(comparador10=0,"Do not fill this line",comparador10)</f>
        <v>Do not fill this line</v>
      </c>
      <c r="D79" s="462"/>
      <c r="E79" s="463"/>
      <c r="F79" s="7"/>
      <c r="G79" s="7"/>
      <c r="H79" s="471" t="str">
        <f>IF(comparador10=0,"Do not fill this line",comparador10)</f>
        <v>Do not fill this line</v>
      </c>
      <c r="I79" s="471"/>
      <c r="J79" s="230"/>
      <c r="K79" s="230"/>
      <c r="L79" s="230"/>
      <c r="M79" s="230"/>
      <c r="N79" s="7"/>
      <c r="O79" s="7"/>
      <c r="P79" s="7"/>
      <c r="Q79" s="227" t="str">
        <f>IF(comparador10=0,"Do not fill this line",comparador10)</f>
        <v>Do not fill this line</v>
      </c>
      <c r="R79" s="227">
        <f t="shared" si="2"/>
        <v>0</v>
      </c>
      <c r="S79" s="227">
        <f t="shared" si="3"/>
        <v>0</v>
      </c>
      <c r="T79" s="227">
        <f t="shared" si="4"/>
        <v>0</v>
      </c>
      <c r="U79" s="227">
        <f t="shared" si="5"/>
        <v>0</v>
      </c>
      <c r="V79" s="11">
        <f t="shared" si="1"/>
        <v>0</v>
      </c>
      <c r="W79" s="7"/>
      <c r="X79" s="223" t="str">
        <f>IF(comparador10=0,"Do not fill this line",comparador10)</f>
        <v>Do not fill this line</v>
      </c>
      <c r="Y79" s="227" t="e">
        <f>1-AVERAGEIF(Data!AX$10:AX$21,"&gt;0",Data!AX$10:AX$21)</f>
        <v>#DIV/0!</v>
      </c>
      <c r="Z79" s="227" t="e">
        <f>1-AVERAGEIF(Data!AX$22:AX$33,"&gt;0",Data!AX$22:AX$33)</f>
        <v>#DIV/0!</v>
      </c>
      <c r="AA79" s="227" t="e">
        <f>1-AVERAGEIF(Data!AX$34:AX$45,"&gt;0",Data!AX$34:AX$45)</f>
        <v>#DIV/0!</v>
      </c>
      <c r="AB79" s="227" t="e">
        <f>1-AVERAGEIF(Data!AX$46:AX$57,"&gt;0",Data!AX$46:AX$57)</f>
        <v>#DIV/0!</v>
      </c>
      <c r="AC79" s="11"/>
      <c r="AD79" s="9"/>
      <c r="AE79" s="223" t="str">
        <f>IF(comparador10=0,"Do not fill this line",comparador10)</f>
        <v>Do not fill this line</v>
      </c>
      <c r="AF79" s="227">
        <f>1-IFERROR(IF(AND($H$58=1,J79=""),1,IF(AND($H$58=1,J79=0),0,IF(AND($H$58=1,J79&gt;0),J79,AVERAGEIF(Data!AF$10:AF$21,"&gt;0",Data!AF$10:AF$21)))),1)</f>
        <v>0</v>
      </c>
      <c r="AG79" s="227">
        <f>1-IFERROR(IF(AND($H$58=1,K79=""),1,IF(AND($H$58=1,K79=0),0,IF(AND($H$58=1,K79&gt;0),K79,AVERAGEIF(Data!AF$22:AF$33,"&gt;0",Data!AF$22:AF$33)))),1)</f>
        <v>0</v>
      </c>
      <c r="AH79" s="227">
        <f>1-IFERROR(IF(AND($H$58=1,L79=""),1,IF(AND($H$58=1,L79=0),0,IF(AND($H$58=1,L79&gt;0),L79,AVERAGEIF(Data!AF$34:AF$45,"&gt;0",Data!AF$34:AF$45)))),1)</f>
        <v>0</v>
      </c>
      <c r="AI79" s="227">
        <f>1-IFERROR(IF(AND($H$58=1,M79=""),1,IF(AND($H$58=1,M79=0),0,IF(AND($H$58=1,M79&gt;0),M79,AVERAGEIF(Data!AF$46:AF$57,"&gt;0",Data!AF$46:AF$57)))),1)</f>
        <v>0</v>
      </c>
      <c r="AJ79" s="9"/>
      <c r="AK79" s="9"/>
      <c r="AL79" s="223" t="str">
        <f>IF(comparador10=0,"Do not fill this line",comparador10)</f>
        <v>Do not fill this line</v>
      </c>
      <c r="AM79" s="227">
        <f>IFERROR(IF($H$58=1,J79,AVERAGEIF(Data!P$10:P$21,"&gt;0",Data!P$10:P$21)),0)</f>
        <v>0</v>
      </c>
      <c r="AN79" s="227">
        <f>IFERROR(IF($H$58=1,K79,AVERAGEIF(Data!P$22:P$33,"&gt;0",Data!P$22:P$33)),0)</f>
        <v>0</v>
      </c>
      <c r="AO79" s="227">
        <f>IFERROR(IF($H$58=1,L79,AVERAGEIF(Data!P$34:P$45,"&gt;0",Data!P$34:P$45)),0)</f>
        <v>0</v>
      </c>
      <c r="AP79" s="227">
        <f>IFERROR(IF($H$58=1,M79,AVERAGEIF(Data!P$46:P$57,"&gt;0",Data!P$46:P$57)),0)</f>
        <v>0</v>
      </c>
      <c r="AQ79" s="9"/>
    </row>
    <row r="80" spans="3:43">
      <c r="C80" s="379" t="str">
        <f>IF(uso=4,"Atention!",IF(uso=1,"Atention!",""))</f>
        <v/>
      </c>
      <c r="D80" s="6"/>
      <c r="E80" s="6"/>
      <c r="F80" s="7"/>
      <c r="G80" s="7"/>
      <c r="H80" s="2"/>
      <c r="I80" s="7"/>
      <c r="J80" s="7"/>
      <c r="K80" s="7"/>
      <c r="L80" s="7"/>
      <c r="M80" s="7"/>
      <c r="N80" s="7"/>
      <c r="O80" s="7"/>
      <c r="P80" s="7"/>
      <c r="Q80" s="191"/>
      <c r="R80" s="191"/>
      <c r="S80" s="11"/>
      <c r="T80" s="11"/>
      <c r="U80" s="11"/>
      <c r="V80" s="11"/>
      <c r="W80" s="7"/>
      <c r="X80" s="11"/>
      <c r="Y80" s="11"/>
      <c r="Z80" s="11"/>
      <c r="AA80" s="11"/>
      <c r="AB80" s="11"/>
      <c r="AC80" s="11"/>
      <c r="AD80" s="9"/>
      <c r="AE80" s="11"/>
      <c r="AF80" s="9"/>
      <c r="AG80" s="9"/>
      <c r="AH80" s="9"/>
      <c r="AI80" s="9"/>
      <c r="AJ80" s="9"/>
      <c r="AK80" s="9"/>
      <c r="AL80" s="9"/>
      <c r="AM80" s="9"/>
      <c r="AN80" s="9"/>
      <c r="AO80" s="9"/>
      <c r="AP80" s="9"/>
      <c r="AQ80" s="9"/>
    </row>
    <row r="81" spans="3:43" ht="15" customHeight="1">
      <c r="C81" s="480" t="str">
        <f>IF(uso=4,_xlfn._LONGTEXT("Median survival should be used only as a last resort - when no other data are available - since it has a significant limitation: the inability to identify the best curve fit. By assuming a constant rate, it may underestimate or overestimate the duration o","f the patient's treatment over time."),IF(uso=1,_xlfn._LONGTEXT("Median time should be used only as a last resort - when no other data are available - since it has a significant limitation: the inability to identify the best curve fit. By assuming a constant rate, it may underestimate or overestimate the duration of th","e patient's treatment over time."),""))</f>
        <v/>
      </c>
      <c r="D81" s="480"/>
      <c r="E81" s="480"/>
      <c r="F81" s="480"/>
      <c r="G81" s="480"/>
      <c r="H81" s="480"/>
      <c r="I81" s="7"/>
      <c r="J81" s="7"/>
      <c r="K81" s="7"/>
      <c r="L81" s="7"/>
      <c r="M81" s="7"/>
      <c r="N81" s="7"/>
      <c r="O81" s="7"/>
      <c r="P81" s="7"/>
      <c r="Q81" s="191"/>
      <c r="R81" s="191"/>
      <c r="S81" s="11"/>
      <c r="T81" s="11"/>
      <c r="U81" s="11"/>
      <c r="V81" s="11"/>
      <c r="W81" s="7"/>
      <c r="X81" s="11"/>
      <c r="Y81" s="11"/>
      <c r="Z81" s="11"/>
      <c r="AA81" s="11"/>
      <c r="AB81" s="11"/>
      <c r="AC81" s="11"/>
      <c r="AD81" s="9"/>
      <c r="AE81" s="11"/>
      <c r="AF81" s="9"/>
      <c r="AG81" s="9"/>
      <c r="AH81" s="9"/>
      <c r="AI81" s="9"/>
      <c r="AJ81" s="9"/>
      <c r="AK81" s="9"/>
      <c r="AL81" s="9"/>
      <c r="AM81" s="9"/>
      <c r="AN81" s="9"/>
      <c r="AO81" s="9"/>
      <c r="AP81" s="9"/>
      <c r="AQ81" s="9"/>
    </row>
    <row r="82" spans="3:43">
      <c r="C82" s="480"/>
      <c r="D82" s="480"/>
      <c r="E82" s="480"/>
      <c r="F82" s="480"/>
      <c r="G82" s="480"/>
      <c r="H82" s="480"/>
      <c r="I82" s="9"/>
      <c r="K82" s="9"/>
      <c r="L82" s="9"/>
      <c r="O82" s="9"/>
      <c r="P82" s="9"/>
      <c r="Q82" s="11"/>
      <c r="R82" s="11"/>
      <c r="S82" s="11"/>
      <c r="T82" s="11"/>
      <c r="U82" s="11"/>
      <c r="V82" s="11"/>
      <c r="W82" s="9"/>
      <c r="X82" s="11"/>
      <c r="Y82" s="11"/>
      <c r="Z82" s="11"/>
      <c r="AA82" s="11"/>
      <c r="AB82" s="11"/>
      <c r="AC82" s="11"/>
      <c r="AD82" s="9"/>
      <c r="AE82" s="11"/>
      <c r="AF82" s="9"/>
      <c r="AG82" s="9"/>
      <c r="AH82" s="9"/>
      <c r="AI82" s="9"/>
      <c r="AJ82" s="9"/>
      <c r="AK82" s="9"/>
      <c r="AL82" s="9"/>
      <c r="AM82" s="9"/>
      <c r="AN82" s="9"/>
      <c r="AO82" s="9"/>
      <c r="AP82" s="9"/>
      <c r="AQ82" s="9"/>
    </row>
    <row r="83" spans="3:43" customFormat="1">
      <c r="C83" s="481"/>
      <c r="D83" s="481"/>
      <c r="E83" s="481"/>
      <c r="F83" s="481"/>
      <c r="G83" s="481"/>
      <c r="H83" s="481"/>
      <c r="I83" s="7"/>
      <c r="J83" s="7"/>
      <c r="K83" s="7"/>
      <c r="L83" s="7"/>
      <c r="M83" s="7"/>
      <c r="N83" s="7"/>
      <c r="O83" s="7"/>
      <c r="P83" s="7"/>
      <c r="Q83" s="287"/>
      <c r="R83" s="287"/>
      <c r="S83" s="287"/>
      <c r="T83" s="284"/>
      <c r="U83" s="284"/>
      <c r="V83" s="284"/>
      <c r="W83" s="7"/>
      <c r="X83" s="284"/>
      <c r="Y83" s="284"/>
      <c r="Z83" s="284"/>
      <c r="AA83" s="284"/>
      <c r="AB83" s="284"/>
      <c r="AC83" s="284"/>
      <c r="AE83" s="284"/>
      <c r="AJ83" s="9"/>
      <c r="AQ83" s="9"/>
    </row>
    <row r="84" spans="3:43" customFormat="1">
      <c r="C84" s="64"/>
      <c r="D84" s="65"/>
      <c r="E84" s="65"/>
      <c r="F84" s="65"/>
      <c r="G84" s="65"/>
      <c r="H84" s="65"/>
      <c r="I84" s="65"/>
      <c r="J84" s="65"/>
      <c r="K84" s="65"/>
      <c r="L84" s="65"/>
      <c r="M84" s="65"/>
      <c r="N84" s="65"/>
      <c r="O84" s="7"/>
      <c r="P84" s="7"/>
      <c r="Q84" s="287"/>
      <c r="R84" s="287"/>
      <c r="S84" s="287"/>
      <c r="T84" s="284"/>
      <c r="U84" s="284"/>
      <c r="V84" s="284"/>
      <c r="W84" s="7"/>
      <c r="X84" s="284"/>
      <c r="Y84" s="284"/>
      <c r="Z84" s="284"/>
      <c r="AA84" s="284"/>
      <c r="AB84" s="284"/>
      <c r="AC84" s="284"/>
      <c r="AE84" s="284"/>
      <c r="AJ84" s="9"/>
      <c r="AQ84" s="9"/>
    </row>
    <row r="85" spans="3:43" customFormat="1">
      <c r="C85" s="63"/>
      <c r="D85" s="7"/>
      <c r="E85" s="7"/>
      <c r="F85" s="7"/>
      <c r="G85" s="7"/>
      <c r="H85" s="7"/>
      <c r="I85" s="7"/>
      <c r="J85" s="7"/>
      <c r="K85" s="7"/>
      <c r="L85" s="7"/>
      <c r="M85" s="7"/>
      <c r="N85" s="7"/>
      <c r="O85" s="7"/>
      <c r="P85" s="7"/>
      <c r="Q85" s="287"/>
      <c r="R85" s="287"/>
      <c r="S85" s="287"/>
      <c r="T85" s="284"/>
      <c r="U85" s="284"/>
      <c r="V85" s="284"/>
      <c r="W85" s="7"/>
      <c r="X85" s="284"/>
      <c r="Y85" s="284"/>
      <c r="Z85" s="284"/>
      <c r="AA85" s="284"/>
      <c r="AB85" s="284"/>
      <c r="AC85" s="284"/>
      <c r="AE85" s="284"/>
    </row>
    <row r="86" spans="3:43" customFormat="1">
      <c r="C86" s="63"/>
      <c r="D86" s="7"/>
      <c r="E86" s="7"/>
      <c r="F86" s="7"/>
      <c r="G86" s="7"/>
      <c r="H86" s="7"/>
      <c r="I86" s="7"/>
      <c r="J86" s="7"/>
      <c r="K86" s="7"/>
      <c r="L86" s="7"/>
      <c r="M86" s="7"/>
      <c r="N86" s="7"/>
      <c r="O86" s="7"/>
      <c r="P86" s="7"/>
      <c r="Q86" s="287"/>
      <c r="R86" s="287"/>
      <c r="S86" s="287"/>
      <c r="T86" s="284"/>
      <c r="U86" s="284"/>
      <c r="V86" s="284"/>
      <c r="W86" s="7"/>
      <c r="X86" s="284"/>
      <c r="Y86" s="284"/>
      <c r="Z86" s="284"/>
      <c r="AA86" s="284"/>
      <c r="AB86" s="284"/>
      <c r="AC86" s="284"/>
      <c r="AE86" s="284"/>
    </row>
    <row r="87" spans="3:43" customFormat="1" ht="18">
      <c r="C87" s="140" t="s">
        <v>289</v>
      </c>
      <c r="M87" s="283"/>
      <c r="N87" s="283"/>
      <c r="Q87" s="284"/>
      <c r="R87" s="284"/>
      <c r="S87" s="284"/>
      <c r="T87" s="284"/>
      <c r="U87" s="284"/>
      <c r="V87" s="284"/>
      <c r="X87" s="284"/>
      <c r="Y87" s="284"/>
      <c r="Z87" s="284"/>
      <c r="AA87" s="284"/>
      <c r="AB87" s="284"/>
      <c r="AC87" s="284"/>
      <c r="AE87" s="284"/>
    </row>
    <row r="88" spans="3:43" customFormat="1">
      <c r="C88" t="s">
        <v>290</v>
      </c>
      <c r="M88" s="283"/>
      <c r="N88" s="283"/>
      <c r="Q88" s="284"/>
      <c r="R88" s="284"/>
      <c r="S88" s="284"/>
      <c r="T88" s="284"/>
      <c r="U88" s="284"/>
      <c r="V88" s="284"/>
      <c r="X88" s="284"/>
      <c r="Y88" s="284"/>
      <c r="Z88" s="284"/>
      <c r="AA88" s="284"/>
      <c r="AB88" s="284"/>
      <c r="AC88" s="284"/>
      <c r="AE88" s="284"/>
    </row>
    <row r="89" spans="3:43">
      <c r="C89" s="136"/>
      <c r="D89" s="9"/>
      <c r="E89" s="9"/>
      <c r="F89" s="9"/>
      <c r="G89" s="9"/>
      <c r="H89" s="9"/>
      <c r="I89" s="9"/>
      <c r="K89" s="9"/>
      <c r="L89" s="9"/>
      <c r="O89" s="9"/>
      <c r="P89" s="9"/>
      <c r="Q89" s="11"/>
      <c r="R89" s="11"/>
      <c r="S89" s="11"/>
      <c r="T89" s="11"/>
      <c r="U89" s="11"/>
      <c r="V89" s="11"/>
      <c r="W89" s="9"/>
      <c r="X89" s="11"/>
      <c r="Y89" s="11"/>
      <c r="Z89" s="11"/>
      <c r="AA89" s="11"/>
      <c r="AB89" s="11"/>
      <c r="AC89" s="11"/>
      <c r="AD89" s="9"/>
      <c r="AE89" s="11"/>
      <c r="AF89" s="9"/>
      <c r="AG89" s="9"/>
      <c r="AH89" s="9"/>
      <c r="AI89" s="9"/>
      <c r="AJ89" s="9"/>
      <c r="AK89" s="9"/>
      <c r="AL89" s="9"/>
      <c r="AM89" s="9"/>
      <c r="AN89" s="9"/>
      <c r="AO89" s="9"/>
      <c r="AP89" s="9"/>
      <c r="AQ89" s="9"/>
    </row>
    <row r="90" spans="3:43">
      <c r="C90" s="136"/>
      <c r="D90" s="9"/>
      <c r="E90" s="9"/>
      <c r="F90" s="9"/>
      <c r="G90" s="9"/>
      <c r="H90" s="288"/>
      <c r="I90" s="9"/>
      <c r="K90" s="9"/>
      <c r="L90" s="9"/>
      <c r="O90" s="9"/>
      <c r="P90" s="9"/>
      <c r="Q90" s="11"/>
      <c r="R90" s="11"/>
      <c r="S90" s="11"/>
      <c r="T90" s="11"/>
      <c r="U90" s="11"/>
      <c r="V90" s="11"/>
      <c r="W90" s="9"/>
      <c r="X90" s="11"/>
      <c r="Y90" s="11"/>
      <c r="Z90" s="11"/>
      <c r="AA90" s="11"/>
      <c r="AB90" s="11"/>
      <c r="AC90" s="11"/>
      <c r="AD90" s="9"/>
      <c r="AE90" s="11"/>
      <c r="AF90" s="9"/>
      <c r="AG90" s="9"/>
      <c r="AH90" s="9"/>
      <c r="AI90" s="9"/>
      <c r="AJ90" s="9"/>
      <c r="AK90" s="9"/>
      <c r="AL90" s="9"/>
      <c r="AM90" s="9"/>
      <c r="AN90" s="9"/>
      <c r="AO90" s="9"/>
      <c r="AP90" s="9"/>
      <c r="AQ90" s="9"/>
    </row>
    <row r="91" spans="3:43">
      <c r="C91" s="466" t="s">
        <v>291</v>
      </c>
      <c r="D91" s="7"/>
      <c r="E91" s="437" t="s">
        <v>299</v>
      </c>
      <c r="F91" s="467"/>
      <c r="G91" s="438"/>
      <c r="H91" s="288">
        <f>IF(E91="No",2,1)</f>
        <v>1</v>
      </c>
      <c r="I91" s="9"/>
      <c r="J91" s="7"/>
      <c r="K91" s="7"/>
      <c r="L91" s="7"/>
      <c r="M91" s="289"/>
      <c r="N91" s="289"/>
      <c r="O91" s="9"/>
      <c r="P91" s="9"/>
      <c r="Q91" s="11"/>
      <c r="R91" s="11"/>
      <c r="S91" s="11"/>
      <c r="T91" s="11"/>
      <c r="U91" s="11"/>
      <c r="V91" s="11"/>
      <c r="W91" s="9"/>
      <c r="X91" s="11"/>
      <c r="Y91" s="11"/>
      <c r="Z91" s="11"/>
      <c r="AA91" s="11"/>
      <c r="AB91" s="11"/>
      <c r="AC91" s="11"/>
      <c r="AD91" s="9"/>
      <c r="AE91" s="11"/>
      <c r="AF91" s="9"/>
      <c r="AG91" s="9"/>
      <c r="AH91" s="9"/>
      <c r="AI91" s="9"/>
      <c r="AJ91" s="9"/>
      <c r="AK91" s="9"/>
      <c r="AL91" s="9"/>
      <c r="AM91" s="9"/>
      <c r="AN91" s="9"/>
      <c r="AO91" s="9"/>
      <c r="AP91" s="9"/>
      <c r="AQ91" s="9"/>
    </row>
    <row r="92" spans="3:43">
      <c r="C92" s="466"/>
      <c r="D92" s="7"/>
      <c r="E92" s="290" t="s">
        <v>292</v>
      </c>
      <c r="F92" s="7"/>
      <c r="G92" s="7"/>
      <c r="H92" s="288"/>
      <c r="I92" s="7"/>
      <c r="J92" s="7"/>
      <c r="K92" s="7"/>
      <c r="L92" s="7"/>
      <c r="M92" s="289"/>
      <c r="N92" s="289"/>
      <c r="O92" s="9"/>
      <c r="P92" s="9"/>
      <c r="Q92" s="11"/>
      <c r="R92" s="11"/>
      <c r="S92" s="11"/>
      <c r="T92" s="11"/>
      <c r="U92" s="11"/>
      <c r="V92" s="11"/>
      <c r="W92" s="9"/>
      <c r="X92" s="11"/>
      <c r="Y92" s="11"/>
      <c r="Z92" s="11"/>
      <c r="AA92" s="11"/>
      <c r="AB92" s="11"/>
      <c r="AC92" s="11"/>
      <c r="AD92" s="9"/>
      <c r="AE92" s="11"/>
      <c r="AF92" s="9"/>
      <c r="AG92" s="9"/>
      <c r="AH92" s="9"/>
      <c r="AI92" s="9"/>
      <c r="AJ92" s="9"/>
      <c r="AK92" s="9"/>
      <c r="AL92" s="9"/>
      <c r="AM92" s="9"/>
      <c r="AN92" s="9"/>
      <c r="AO92" s="9"/>
      <c r="AP92" s="9"/>
      <c r="AQ92" s="9"/>
    </row>
    <row r="93" spans="3:43">
      <c r="C93" s="9"/>
      <c r="D93" s="7"/>
      <c r="E93" s="7"/>
      <c r="F93" s="7"/>
      <c r="G93" s="7"/>
      <c r="H93" s="288"/>
      <c r="I93" s="7"/>
      <c r="J93" s="7"/>
      <c r="K93" s="7"/>
      <c r="L93" s="7"/>
      <c r="M93" s="289"/>
      <c r="N93" s="289"/>
      <c r="O93" s="9"/>
      <c r="P93" s="9"/>
      <c r="Q93" s="11"/>
      <c r="R93" s="11"/>
      <c r="S93" s="11"/>
      <c r="T93" s="11"/>
      <c r="U93" s="11"/>
      <c r="V93" s="11"/>
      <c r="W93" s="9"/>
      <c r="X93" s="11"/>
      <c r="Y93" s="11"/>
      <c r="Z93" s="11"/>
      <c r="AA93" s="11"/>
      <c r="AB93" s="11"/>
      <c r="AC93" s="11"/>
      <c r="AD93" s="9"/>
      <c r="AE93" s="11"/>
      <c r="AF93" s="9"/>
      <c r="AG93" s="9"/>
      <c r="AH93" s="9"/>
      <c r="AI93" s="9"/>
      <c r="AJ93" s="9"/>
      <c r="AK93" s="9"/>
      <c r="AL93" s="9"/>
      <c r="AM93" s="9"/>
      <c r="AN93" s="9"/>
      <c r="AO93" s="9"/>
      <c r="AP93" s="9"/>
      <c r="AQ93" s="9"/>
    </row>
    <row r="94" spans="3:43">
      <c r="C94" s="9"/>
      <c r="D94" s="7"/>
      <c r="E94" s="7"/>
      <c r="F94" s="7"/>
      <c r="G94" s="7"/>
      <c r="H94" s="288"/>
      <c r="I94" s="7"/>
      <c r="J94" s="7"/>
      <c r="K94" s="7"/>
      <c r="L94" s="7"/>
      <c r="M94" s="289"/>
      <c r="N94" s="289"/>
      <c r="O94" s="9"/>
      <c r="P94" s="9"/>
      <c r="Q94" s="11"/>
      <c r="R94" s="11"/>
      <c r="S94" s="11"/>
      <c r="T94" s="11"/>
      <c r="U94" s="11"/>
      <c r="V94" s="11"/>
      <c r="W94" s="9"/>
      <c r="X94" s="11"/>
      <c r="Y94" s="11"/>
      <c r="Z94" s="11"/>
      <c r="AA94" s="11"/>
      <c r="AB94" s="11"/>
      <c r="AC94" s="11"/>
      <c r="AD94" s="9"/>
      <c r="AE94" s="11"/>
      <c r="AF94" s="9"/>
      <c r="AG94" s="9"/>
      <c r="AH94" s="9"/>
      <c r="AI94" s="9"/>
      <c r="AJ94" s="9"/>
      <c r="AK94" s="9"/>
      <c r="AL94" s="9"/>
      <c r="AM94" s="9"/>
      <c r="AN94" s="9"/>
      <c r="AO94" s="9"/>
      <c r="AP94" s="9"/>
      <c r="AQ94" s="9"/>
    </row>
    <row r="95" spans="3:43">
      <c r="C95" s="42"/>
      <c r="D95" s="7"/>
      <c r="E95" s="7"/>
      <c r="F95" s="7"/>
      <c r="G95" s="7"/>
      <c r="H95" s="288"/>
      <c r="I95" s="7"/>
      <c r="J95" s="289"/>
      <c r="K95" s="7"/>
      <c r="L95" s="7"/>
      <c r="M95" s="289"/>
      <c r="N95" s="289"/>
      <c r="O95" s="9"/>
      <c r="P95" s="9"/>
      <c r="Q95" s="11"/>
      <c r="R95" s="11"/>
      <c r="S95" s="11"/>
      <c r="T95" s="11"/>
      <c r="U95" s="11"/>
      <c r="V95" s="11"/>
      <c r="W95" s="9"/>
      <c r="X95" s="11"/>
      <c r="Y95" s="11"/>
      <c r="Z95" s="11"/>
      <c r="AA95" s="11"/>
      <c r="AB95" s="11"/>
      <c r="AC95" s="11"/>
      <c r="AD95" s="9"/>
      <c r="AE95" s="11"/>
      <c r="AF95" s="9"/>
      <c r="AG95" s="9"/>
      <c r="AH95" s="9"/>
      <c r="AI95" s="9"/>
      <c r="AJ95" s="9"/>
      <c r="AK95" s="9"/>
      <c r="AL95" s="9"/>
      <c r="AM95" s="9"/>
      <c r="AN95" s="9"/>
      <c r="AO95" s="9"/>
      <c r="AP95" s="9"/>
      <c r="AQ95" s="9"/>
    </row>
    <row r="96" spans="3:43">
      <c r="C96" s="42"/>
      <c r="D96" s="7"/>
      <c r="E96" s="7"/>
      <c r="F96" s="7"/>
      <c r="G96" s="7"/>
      <c r="H96" s="288"/>
      <c r="I96" s="7"/>
      <c r="J96" s="7"/>
      <c r="K96" s="7"/>
      <c r="L96" s="7"/>
      <c r="M96" s="289"/>
      <c r="N96" s="289"/>
      <c r="O96" s="9"/>
      <c r="P96" s="9"/>
      <c r="Q96" s="11"/>
      <c r="R96" s="11"/>
      <c r="S96" s="11"/>
      <c r="T96" s="11"/>
      <c r="U96" s="11"/>
      <c r="V96" s="11"/>
      <c r="W96" s="9"/>
      <c r="X96" s="11"/>
      <c r="Y96" s="11"/>
      <c r="Z96" s="11"/>
      <c r="AA96" s="11"/>
      <c r="AB96" s="11"/>
      <c r="AC96" s="11"/>
      <c r="AD96" s="9"/>
      <c r="AE96" s="11"/>
      <c r="AF96" s="9"/>
      <c r="AG96" s="9"/>
      <c r="AH96" s="9"/>
      <c r="AI96" s="9"/>
      <c r="AJ96" s="9"/>
      <c r="AK96" s="9"/>
      <c r="AL96" s="9"/>
      <c r="AM96" s="9"/>
      <c r="AN96" s="9"/>
      <c r="AO96" s="9"/>
      <c r="AP96" s="9"/>
      <c r="AQ96" s="9"/>
    </row>
    <row r="97" spans="3:43">
      <c r="C97" s="239"/>
      <c r="D97" s="289"/>
      <c r="E97" s="7"/>
      <c r="F97" s="7"/>
      <c r="G97" s="7"/>
      <c r="H97" s="288"/>
      <c r="I97" s="7"/>
      <c r="J97" s="7"/>
      <c r="K97" s="7"/>
      <c r="L97" s="7"/>
      <c r="M97" s="289"/>
      <c r="N97" s="289"/>
      <c r="O97" s="9"/>
      <c r="P97" s="9"/>
      <c r="Q97" s="11"/>
      <c r="R97" s="11"/>
      <c r="S97" s="11"/>
      <c r="T97" s="11"/>
      <c r="U97" s="11"/>
      <c r="V97" s="11"/>
      <c r="W97" s="9"/>
      <c r="X97" s="11"/>
      <c r="Y97" s="11"/>
      <c r="Z97" s="11"/>
      <c r="AA97" s="11"/>
      <c r="AB97" s="11"/>
      <c r="AC97" s="11"/>
      <c r="AD97" s="9"/>
      <c r="AE97" s="11"/>
      <c r="AF97" s="9"/>
      <c r="AG97" s="9"/>
      <c r="AH97" s="9"/>
      <c r="AI97" s="9"/>
      <c r="AJ97" s="9"/>
      <c r="AK97" s="9"/>
      <c r="AL97" s="9"/>
      <c r="AM97" s="9"/>
      <c r="AN97" s="9"/>
      <c r="AO97" s="9"/>
      <c r="AP97" s="9"/>
      <c r="AQ97" s="9"/>
    </row>
    <row r="98" spans="3:43">
      <c r="C98" s="239"/>
      <c r="D98" s="289"/>
      <c r="E98" s="7"/>
      <c r="F98" s="7"/>
      <c r="G98" s="7"/>
      <c r="H98" s="288"/>
      <c r="I98" s="7"/>
      <c r="J98" s="7"/>
      <c r="K98" s="7"/>
      <c r="L98" s="7"/>
      <c r="M98" s="289"/>
      <c r="N98" s="289"/>
      <c r="O98" s="9"/>
      <c r="P98" s="9"/>
      <c r="Q98" s="11"/>
      <c r="R98" s="11"/>
      <c r="S98" s="11"/>
      <c r="T98" s="11"/>
      <c r="U98" s="11"/>
      <c r="V98" s="11"/>
      <c r="W98" s="9"/>
      <c r="X98" s="11"/>
      <c r="Y98" s="11"/>
      <c r="Z98" s="11"/>
      <c r="AA98" s="11"/>
      <c r="AB98" s="11"/>
      <c r="AC98" s="11"/>
      <c r="AD98" s="9"/>
      <c r="AE98" s="11"/>
      <c r="AF98" s="9"/>
      <c r="AG98" s="9"/>
      <c r="AH98" s="9"/>
      <c r="AI98" s="9"/>
      <c r="AJ98" s="9"/>
      <c r="AK98" s="9"/>
      <c r="AL98" s="9"/>
      <c r="AM98" s="9"/>
      <c r="AN98" s="9"/>
      <c r="AO98" s="9"/>
      <c r="AP98" s="9"/>
      <c r="AQ98" s="9"/>
    </row>
    <row r="99" spans="3:43">
      <c r="C99" s="239"/>
      <c r="D99" s="289"/>
      <c r="E99" s="7"/>
      <c r="F99" s="7"/>
      <c r="G99" s="7"/>
      <c r="H99" s="288"/>
      <c r="I99" s="7"/>
      <c r="J99" s="7"/>
      <c r="K99" s="7"/>
      <c r="L99" s="7"/>
      <c r="M99" s="289"/>
      <c r="N99" s="289"/>
      <c r="O99" s="9"/>
      <c r="P99" s="9"/>
      <c r="Q99" s="11"/>
      <c r="R99" s="11"/>
      <c r="S99" s="11"/>
      <c r="T99" s="11"/>
      <c r="U99" s="11"/>
      <c r="V99" s="11"/>
      <c r="W99" s="9"/>
      <c r="X99" s="11"/>
      <c r="Y99" s="11"/>
      <c r="Z99" s="11"/>
      <c r="AA99" s="11"/>
      <c r="AB99" s="11"/>
      <c r="AC99" s="11"/>
      <c r="AD99" s="9"/>
      <c r="AE99" s="11"/>
      <c r="AF99" s="9"/>
      <c r="AG99" s="9"/>
      <c r="AH99" s="9"/>
      <c r="AI99" s="9"/>
      <c r="AJ99" s="9"/>
      <c r="AK99" s="9"/>
      <c r="AL99" s="9"/>
      <c r="AM99" s="9"/>
      <c r="AN99" s="9"/>
      <c r="AO99" s="9"/>
      <c r="AP99" s="9"/>
      <c r="AQ99" s="9"/>
    </row>
    <row r="100" spans="3:43">
      <c r="C100" s="239"/>
      <c r="D100" s="7"/>
      <c r="E100" s="7"/>
      <c r="F100" s="7"/>
      <c r="G100" s="7"/>
      <c r="H100" s="288"/>
      <c r="I100" s="7"/>
      <c r="J100" s="7"/>
      <c r="K100" s="7"/>
      <c r="L100" s="7"/>
      <c r="M100" s="289"/>
      <c r="N100" s="289"/>
      <c r="O100" s="9"/>
      <c r="P100" s="9"/>
      <c r="Q100" s="11"/>
      <c r="R100" s="11"/>
      <c r="S100" s="11"/>
      <c r="T100" s="11"/>
      <c r="U100" s="11"/>
      <c r="V100" s="11"/>
      <c r="W100" s="9"/>
      <c r="X100" s="11"/>
      <c r="Y100" s="11"/>
      <c r="Z100" s="11"/>
      <c r="AA100" s="11"/>
      <c r="AB100" s="11"/>
      <c r="AC100" s="11"/>
      <c r="AD100" s="9"/>
      <c r="AE100" s="11"/>
      <c r="AF100" s="9"/>
      <c r="AG100" s="9"/>
      <c r="AH100" s="9"/>
      <c r="AI100" s="9"/>
      <c r="AJ100" s="9"/>
      <c r="AK100" s="9"/>
      <c r="AL100" s="9"/>
      <c r="AM100" s="9"/>
      <c r="AN100" s="9"/>
      <c r="AO100" s="9"/>
      <c r="AP100" s="9"/>
      <c r="AQ100" s="9"/>
    </row>
    <row r="101" spans="3:43">
      <c r="C101" s="239"/>
      <c r="D101" s="7"/>
      <c r="E101" s="7"/>
      <c r="F101" s="7"/>
      <c r="G101" s="7"/>
      <c r="H101" s="288"/>
      <c r="I101" s="7"/>
      <c r="J101" s="7"/>
      <c r="K101" s="7"/>
      <c r="L101" s="7"/>
      <c r="M101" s="289"/>
      <c r="N101" s="289"/>
      <c r="O101" s="9"/>
      <c r="P101" s="9"/>
      <c r="Q101" s="11"/>
      <c r="R101" s="11"/>
      <c r="S101" s="11"/>
      <c r="T101" s="11"/>
      <c r="U101" s="11"/>
      <c r="V101" s="11"/>
      <c r="W101" s="9"/>
      <c r="X101" s="11"/>
      <c r="Y101" s="11"/>
      <c r="Z101" s="11"/>
      <c r="AA101" s="11"/>
      <c r="AB101" s="11"/>
      <c r="AC101" s="11"/>
      <c r="AD101" s="9"/>
      <c r="AE101" s="11"/>
      <c r="AF101" s="9"/>
      <c r="AG101" s="9"/>
      <c r="AH101" s="9"/>
      <c r="AI101" s="9"/>
      <c r="AJ101" s="9"/>
      <c r="AK101" s="9"/>
      <c r="AL101" s="9"/>
      <c r="AM101" s="9"/>
      <c r="AN101" s="9"/>
      <c r="AO101" s="9"/>
      <c r="AP101" s="9"/>
      <c r="AQ101" s="9"/>
    </row>
    <row r="102" spans="3:43">
      <c r="C102" s="418" t="s">
        <v>293</v>
      </c>
      <c r="D102" s="7"/>
      <c r="E102" s="437" t="s">
        <v>370</v>
      </c>
      <c r="F102" s="467"/>
      <c r="G102" s="438"/>
      <c r="H102" s="288">
        <f>IF(E102="Median survival",1,IF(E102="Cumulative mortality rate",2,3))</f>
        <v>3</v>
      </c>
      <c r="I102" s="9"/>
      <c r="J102" s="7"/>
      <c r="K102" s="7"/>
      <c r="L102" s="7"/>
      <c r="M102" s="289"/>
      <c r="N102" s="289"/>
      <c r="O102" s="9"/>
      <c r="P102" s="9"/>
      <c r="Q102" s="11"/>
      <c r="R102" s="11"/>
      <c r="S102" s="11"/>
      <c r="T102" s="11"/>
      <c r="U102" s="11"/>
      <c r="V102" s="11"/>
      <c r="W102" s="9"/>
      <c r="X102" s="11"/>
      <c r="Y102" s="11"/>
      <c r="Z102" s="11"/>
      <c r="AA102" s="11"/>
      <c r="AB102" s="11"/>
      <c r="AC102" s="11"/>
      <c r="AD102" s="9"/>
      <c r="AE102" s="11"/>
      <c r="AF102" s="9"/>
      <c r="AG102" s="9"/>
      <c r="AH102" s="9"/>
      <c r="AI102" s="9"/>
      <c r="AJ102" s="9"/>
      <c r="AK102" s="9"/>
      <c r="AL102" s="9"/>
      <c r="AM102" s="9"/>
      <c r="AN102" s="9"/>
      <c r="AO102" s="9"/>
      <c r="AP102" s="9"/>
      <c r="AQ102" s="9"/>
    </row>
    <row r="103" spans="3:43">
      <c r="C103" s="418"/>
      <c r="D103" s="7"/>
      <c r="E103" s="290"/>
      <c r="F103" s="7"/>
      <c r="G103" s="7"/>
      <c r="H103" s="288"/>
      <c r="I103" s="7"/>
      <c r="J103" s="7"/>
      <c r="K103" s="7"/>
      <c r="L103" s="7"/>
      <c r="M103" s="289"/>
      <c r="N103" s="289"/>
      <c r="O103" s="9"/>
      <c r="P103" s="9"/>
      <c r="Q103" s="11"/>
      <c r="R103" s="11"/>
      <c r="S103" s="11"/>
      <c r="T103" s="11"/>
      <c r="U103" s="11"/>
      <c r="V103" s="11"/>
      <c r="W103" s="9"/>
      <c r="X103" s="11"/>
      <c r="Y103" s="11"/>
      <c r="Z103" s="11"/>
      <c r="AA103" s="11"/>
      <c r="AB103" s="11"/>
      <c r="AC103" s="11"/>
      <c r="AD103" s="9"/>
      <c r="AE103" s="11"/>
      <c r="AF103" s="9"/>
      <c r="AG103" s="9"/>
      <c r="AH103" s="9"/>
      <c r="AI103" s="9"/>
      <c r="AJ103" s="9"/>
      <c r="AK103" s="9"/>
      <c r="AL103" s="9"/>
      <c r="AM103" s="9"/>
      <c r="AN103" s="9"/>
      <c r="AO103" s="9"/>
      <c r="AP103" s="9"/>
      <c r="AQ103" s="9"/>
    </row>
    <row r="104" spans="3:43">
      <c r="C104" s="48"/>
      <c r="D104" s="7"/>
      <c r="E104" s="290"/>
      <c r="F104" s="7"/>
      <c r="G104" s="7"/>
      <c r="H104" s="288"/>
      <c r="I104" s="7"/>
      <c r="J104" s="7"/>
      <c r="K104" s="7"/>
      <c r="L104" s="7"/>
      <c r="M104" s="289"/>
      <c r="N104" s="289"/>
      <c r="O104" s="9"/>
      <c r="P104" s="9"/>
      <c r="Q104" s="11"/>
      <c r="R104" s="11"/>
      <c r="S104" s="11"/>
      <c r="T104" s="11"/>
      <c r="U104" s="11"/>
      <c r="V104" s="11"/>
      <c r="W104" s="9"/>
      <c r="X104" s="11"/>
      <c r="Y104" s="11"/>
      <c r="Z104" s="11"/>
      <c r="AA104" s="11"/>
      <c r="AB104" s="11"/>
      <c r="AC104" s="11"/>
      <c r="AD104" s="9"/>
      <c r="AE104" s="11"/>
      <c r="AF104" s="9"/>
      <c r="AG104" s="9"/>
      <c r="AH104" s="9"/>
      <c r="AI104" s="9"/>
      <c r="AJ104" s="9"/>
      <c r="AK104" s="9"/>
      <c r="AL104" s="9"/>
      <c r="AM104" s="9"/>
      <c r="AN104" s="9"/>
      <c r="AO104" s="9"/>
      <c r="AP104" s="9"/>
      <c r="AQ104" s="9"/>
    </row>
    <row r="105" spans="3:43">
      <c r="C105" s="7"/>
      <c r="D105" s="7"/>
      <c r="E105" s="7"/>
      <c r="F105" s="7"/>
      <c r="G105" s="7"/>
      <c r="H105" s="288"/>
      <c r="I105" s="7"/>
      <c r="J105" s="7"/>
      <c r="K105" s="7"/>
      <c r="L105" s="7"/>
      <c r="M105" s="289"/>
      <c r="N105" s="289"/>
      <c r="O105" s="9"/>
      <c r="P105" s="9"/>
      <c r="Q105" s="11"/>
      <c r="R105" s="11"/>
      <c r="S105" s="11"/>
      <c r="T105" s="11"/>
      <c r="U105" s="11"/>
      <c r="V105" s="11"/>
      <c r="W105" s="9"/>
      <c r="X105" s="11"/>
      <c r="Y105" s="11"/>
      <c r="Z105" s="11"/>
      <c r="AA105" s="11"/>
      <c r="AB105" s="11"/>
      <c r="AC105" s="11"/>
      <c r="AD105" s="9"/>
      <c r="AE105" s="11"/>
      <c r="AF105" s="9"/>
      <c r="AG105" s="9"/>
      <c r="AH105" s="9"/>
      <c r="AI105" s="9"/>
      <c r="AJ105" s="9"/>
      <c r="AK105" s="9"/>
      <c r="AL105" s="9"/>
      <c r="AM105" s="9"/>
      <c r="AN105" s="9"/>
      <c r="AO105" s="9"/>
      <c r="AP105" s="9"/>
      <c r="AQ105" s="9"/>
    </row>
    <row r="106" spans="3:43">
      <c r="C106" s="466" t="s">
        <v>294</v>
      </c>
      <c r="D106" s="7"/>
      <c r="E106" s="437" t="s">
        <v>315</v>
      </c>
      <c r="F106" s="467"/>
      <c r="G106" s="438"/>
      <c r="H106" s="288">
        <f>IF(E106="Annual data",1,2)</f>
        <v>1</v>
      </c>
      <c r="I106" s="7"/>
      <c r="J106" s="7"/>
      <c r="K106" s="7"/>
      <c r="L106" s="7"/>
      <c r="M106" s="289"/>
      <c r="N106" s="289"/>
      <c r="O106" s="9"/>
      <c r="P106" s="9"/>
      <c r="Q106" s="11"/>
      <c r="R106" s="11"/>
      <c r="S106" s="11"/>
      <c r="T106" s="11"/>
      <c r="U106" s="11"/>
      <c r="V106" s="11"/>
      <c r="W106" s="9"/>
      <c r="X106" s="11"/>
      <c r="Y106" s="11"/>
      <c r="Z106" s="11"/>
      <c r="AA106" s="11"/>
      <c r="AB106" s="11"/>
      <c r="AC106" s="11"/>
      <c r="AD106" s="9"/>
      <c r="AE106" s="11"/>
      <c r="AF106" s="9"/>
      <c r="AG106" s="9"/>
      <c r="AH106" s="9"/>
      <c r="AI106" s="9"/>
      <c r="AJ106" s="9"/>
      <c r="AK106" s="9"/>
      <c r="AL106" s="9"/>
      <c r="AM106" s="9"/>
      <c r="AN106" s="9"/>
      <c r="AO106" s="9"/>
      <c r="AP106" s="9"/>
      <c r="AQ106" s="9"/>
    </row>
    <row r="107" spans="3:43">
      <c r="C107" s="466"/>
      <c r="D107" s="7"/>
      <c r="E107" s="292" t="s">
        <v>295</v>
      </c>
      <c r="F107" s="7"/>
      <c r="G107" s="7"/>
      <c r="H107" s="7"/>
      <c r="I107" s="7"/>
      <c r="J107" s="7"/>
      <c r="K107" s="7"/>
      <c r="L107" s="7"/>
      <c r="M107" s="289"/>
      <c r="N107" s="289"/>
      <c r="O107" s="9"/>
      <c r="P107" s="9"/>
      <c r="Q107" s="11"/>
      <c r="R107" s="11"/>
      <c r="S107" s="11"/>
      <c r="T107" s="11"/>
      <c r="U107" s="11"/>
      <c r="V107" s="11"/>
      <c r="W107" s="9"/>
      <c r="X107" s="11"/>
      <c r="Y107" s="11"/>
      <c r="Z107" s="11"/>
      <c r="AA107" s="11"/>
      <c r="AB107" s="11"/>
      <c r="AC107" s="11"/>
      <c r="AD107" s="9"/>
      <c r="AE107" s="11"/>
      <c r="AF107" s="9"/>
      <c r="AG107" s="9"/>
      <c r="AH107" s="9"/>
      <c r="AI107" s="9"/>
      <c r="AJ107" s="9"/>
      <c r="AK107" s="9"/>
      <c r="AL107" s="11"/>
      <c r="AM107" s="9"/>
      <c r="AN107" s="9"/>
      <c r="AO107" s="9"/>
      <c r="AP107" s="9"/>
      <c r="AQ107" s="9"/>
    </row>
    <row r="108" spans="3:43">
      <c r="C108" s="48"/>
      <c r="D108" s="7"/>
      <c r="E108" s="290" t="s">
        <v>296</v>
      </c>
      <c r="F108" s="7"/>
      <c r="G108" s="7"/>
      <c r="H108" s="7"/>
      <c r="I108" s="7"/>
      <c r="J108" s="7"/>
      <c r="K108" s="7"/>
      <c r="L108" s="7"/>
      <c r="M108" s="289"/>
      <c r="N108" s="289"/>
      <c r="O108" s="9"/>
      <c r="P108" s="9"/>
      <c r="Q108" s="11"/>
      <c r="R108" s="11"/>
      <c r="S108" s="11"/>
      <c r="T108" s="11"/>
      <c r="U108" s="11"/>
      <c r="V108" s="11"/>
      <c r="W108" s="9"/>
      <c r="X108" s="11"/>
      <c r="Y108" s="11"/>
      <c r="Z108" s="11"/>
      <c r="AA108" s="11"/>
      <c r="AB108" s="11"/>
      <c r="AC108" s="11"/>
      <c r="AD108" s="9"/>
      <c r="AE108" s="11"/>
      <c r="AF108" s="9"/>
      <c r="AG108" s="9"/>
      <c r="AH108" s="9"/>
      <c r="AI108" s="9"/>
      <c r="AJ108" s="9"/>
      <c r="AK108" s="9"/>
      <c r="AL108" s="11"/>
      <c r="AM108" s="9"/>
      <c r="AN108" s="9"/>
      <c r="AO108" s="9"/>
      <c r="AP108" s="9"/>
      <c r="AQ108" s="9"/>
    </row>
    <row r="109" spans="3:43" ht="15" customHeight="1">
      <c r="C109" s="7"/>
      <c r="D109" s="7"/>
      <c r="E109" s="7"/>
      <c r="F109" s="7"/>
      <c r="G109" s="7"/>
      <c r="H109" s="288"/>
      <c r="I109" s="7"/>
      <c r="J109" s="7"/>
      <c r="K109" s="7"/>
      <c r="L109" s="7"/>
      <c r="M109" s="289"/>
      <c r="N109" s="289"/>
      <c r="O109" s="9"/>
      <c r="P109" s="9"/>
      <c r="Q109" s="454" t="s">
        <v>300</v>
      </c>
      <c r="R109" s="455"/>
      <c r="S109" s="455"/>
      <c r="T109" s="455"/>
      <c r="U109" s="456"/>
      <c r="V109" s="11"/>
      <c r="W109" s="9"/>
      <c r="X109" s="454" t="s">
        <v>301</v>
      </c>
      <c r="Y109" s="455"/>
      <c r="Z109" s="455"/>
      <c r="AA109" s="455"/>
      <c r="AB109" s="456"/>
      <c r="AC109" s="11"/>
      <c r="AD109" s="9"/>
      <c r="AE109" s="454" t="s">
        <v>302</v>
      </c>
      <c r="AF109" s="455"/>
      <c r="AG109" s="455"/>
      <c r="AH109" s="455"/>
      <c r="AI109" s="456"/>
      <c r="AJ109" s="9"/>
      <c r="AK109" s="9"/>
      <c r="AL109" s="454" t="s">
        <v>303</v>
      </c>
      <c r="AM109" s="455"/>
      <c r="AN109" s="455"/>
      <c r="AO109" s="455"/>
      <c r="AP109" s="456"/>
      <c r="AQ109" s="9"/>
    </row>
    <row r="110" spans="3:43">
      <c r="C110" s="293" t="s">
        <v>297</v>
      </c>
      <c r="D110" s="7"/>
      <c r="E110" s="290"/>
      <c r="F110" s="7"/>
      <c r="G110" s="7"/>
      <c r="H110" s="293" t="s">
        <v>298</v>
      </c>
      <c r="I110" s="7"/>
      <c r="J110" s="7"/>
      <c r="K110" s="7"/>
      <c r="L110" s="7"/>
      <c r="M110" s="289"/>
      <c r="N110" s="289"/>
      <c r="O110" s="9"/>
      <c r="P110" s="9"/>
      <c r="Q110" s="457"/>
      <c r="R110" s="458"/>
      <c r="S110" s="458"/>
      <c r="T110" s="458"/>
      <c r="U110" s="459"/>
      <c r="V110" s="11"/>
      <c r="W110" s="9"/>
      <c r="X110" s="457"/>
      <c r="Y110" s="458"/>
      <c r="Z110" s="458"/>
      <c r="AA110" s="458"/>
      <c r="AB110" s="459"/>
      <c r="AC110" s="11"/>
      <c r="AD110" s="9"/>
      <c r="AE110" s="457"/>
      <c r="AF110" s="458"/>
      <c r="AG110" s="458"/>
      <c r="AH110" s="458"/>
      <c r="AI110" s="459"/>
      <c r="AJ110" s="9"/>
      <c r="AK110" s="9"/>
      <c r="AL110" s="457"/>
      <c r="AM110" s="458"/>
      <c r="AN110" s="458"/>
      <c r="AO110" s="458"/>
      <c r="AP110" s="459"/>
      <c r="AQ110" s="9"/>
    </row>
    <row r="111" spans="3:43" ht="15" customHeight="1">
      <c r="C111" s="468" t="str">
        <f>IF($H$102=1,"Enter the median survival","Do not fill in this table")</f>
        <v>Do not fill in this table</v>
      </c>
      <c r="D111" s="470" t="s">
        <v>278</v>
      </c>
      <c r="E111" s="470"/>
      <c r="F111" s="9"/>
      <c r="G111" s="9"/>
      <c r="H111" s="468" t="str">
        <f>IF($H$102=1,"Do not fill in this table",E102)</f>
        <v>Overall survival</v>
      </c>
      <c r="I111" s="450"/>
      <c r="J111" s="295" t="s">
        <v>285</v>
      </c>
      <c r="K111" s="295" t="s">
        <v>286</v>
      </c>
      <c r="L111" s="295" t="s">
        <v>287</v>
      </c>
      <c r="M111" s="295" t="s">
        <v>288</v>
      </c>
      <c r="N111" s="289"/>
      <c r="O111" s="9"/>
      <c r="P111" s="9"/>
      <c r="Q111" s="450" t="s">
        <v>276</v>
      </c>
      <c r="R111" s="295" t="s">
        <v>285</v>
      </c>
      <c r="S111" s="295" t="s">
        <v>286</v>
      </c>
      <c r="T111" s="295" t="s">
        <v>287</v>
      </c>
      <c r="U111" s="295" t="s">
        <v>288</v>
      </c>
      <c r="V111" s="11"/>
      <c r="W111" s="9"/>
      <c r="X111" s="450" t="s">
        <v>276</v>
      </c>
      <c r="Y111" s="295" t="s">
        <v>285</v>
      </c>
      <c r="Z111" s="295" t="s">
        <v>286</v>
      </c>
      <c r="AA111" s="295" t="s">
        <v>287</v>
      </c>
      <c r="AB111" s="295" t="s">
        <v>288</v>
      </c>
      <c r="AC111" s="11"/>
      <c r="AD111" s="9"/>
      <c r="AE111" s="450" t="s">
        <v>276</v>
      </c>
      <c r="AF111" s="295" t="s">
        <v>285</v>
      </c>
      <c r="AG111" s="295" t="s">
        <v>286</v>
      </c>
      <c r="AH111" s="295" t="s">
        <v>287</v>
      </c>
      <c r="AI111" s="295" t="s">
        <v>288</v>
      </c>
      <c r="AJ111" s="9"/>
      <c r="AK111" s="9"/>
      <c r="AL111" s="450" t="s">
        <v>276</v>
      </c>
      <c r="AM111" s="295" t="s">
        <v>285</v>
      </c>
      <c r="AN111" s="295" t="s">
        <v>286</v>
      </c>
      <c r="AO111" s="295" t="s">
        <v>287</v>
      </c>
      <c r="AP111" s="295" t="s">
        <v>288</v>
      </c>
      <c r="AQ111" s="9"/>
    </row>
    <row r="112" spans="3:43" ht="15" customHeight="1">
      <c r="C112" s="469"/>
      <c r="D112" s="469"/>
      <c r="E112" s="469"/>
      <c r="F112" s="9"/>
      <c r="G112" s="9"/>
      <c r="H112" s="468"/>
      <c r="I112" s="450"/>
      <c r="J112" s="478" t="s">
        <v>280</v>
      </c>
      <c r="K112" s="479"/>
      <c r="L112" s="479"/>
      <c r="M112" s="479"/>
      <c r="N112" s="289"/>
      <c r="O112" s="9"/>
      <c r="P112" s="9"/>
      <c r="Q112" s="451"/>
      <c r="R112" s="297"/>
      <c r="S112" s="298"/>
      <c r="T112" s="298"/>
      <c r="U112" s="298"/>
      <c r="V112" s="11"/>
      <c r="W112" s="9"/>
      <c r="X112" s="451"/>
      <c r="Y112" s="297"/>
      <c r="Z112" s="298"/>
      <c r="AA112" s="298"/>
      <c r="AB112" s="298"/>
      <c r="AC112" s="11"/>
      <c r="AD112" s="9"/>
      <c r="AE112" s="451"/>
      <c r="AF112" s="297"/>
      <c r="AG112" s="298"/>
      <c r="AH112" s="298"/>
      <c r="AI112" s="298"/>
      <c r="AJ112" s="9"/>
      <c r="AK112" s="9"/>
      <c r="AL112" s="451"/>
      <c r="AM112" s="297"/>
      <c r="AN112" s="298"/>
      <c r="AO112" s="298"/>
      <c r="AP112" s="298"/>
      <c r="AQ112" s="9"/>
    </row>
    <row r="113" spans="3:43">
      <c r="C113" s="300" t="str">
        <f>IF(intervencao1=0,"Do not fill this line",intervencao1)</f>
        <v>Drug 1</v>
      </c>
      <c r="D113" s="462"/>
      <c r="E113" s="463"/>
      <c r="F113" s="9"/>
      <c r="G113" s="9"/>
      <c r="H113" s="452" t="str">
        <f>IF(intervencao1=0,"Do not fill this line",intervencao1)</f>
        <v>Drug 1</v>
      </c>
      <c r="I113" s="453"/>
      <c r="J113" s="230">
        <v>1</v>
      </c>
      <c r="K113" s="230">
        <v>0.99</v>
      </c>
      <c r="L113" s="230">
        <v>0.98</v>
      </c>
      <c r="M113" s="230">
        <v>0.97</v>
      </c>
      <c r="N113" s="289"/>
      <c r="O113" s="9"/>
      <c r="P113" s="9"/>
      <c r="Q113" s="300" t="str">
        <f>IF(intervencao1=0,"Do not fill this line",intervencao1)</f>
        <v>Drug 1</v>
      </c>
      <c r="R113" s="227">
        <f t="shared" ref="R113:U116" si="6">IFERROR(IF(AND(obito=1,$H$102=1),Y113,IF(AND(obito=1,$H$102=2),AM113,IF(AND(obito=1,$H$102=3),AF113,0))),0)</f>
        <v>0</v>
      </c>
      <c r="S113" s="227">
        <f t="shared" si="6"/>
        <v>1.0000000000000009E-2</v>
      </c>
      <c r="T113" s="227">
        <f t="shared" si="6"/>
        <v>2.0000000000000018E-2</v>
      </c>
      <c r="U113" s="227">
        <f t="shared" si="6"/>
        <v>3.0000000000000027E-2</v>
      </c>
      <c r="V113" s="11"/>
      <c r="W113" s="9"/>
      <c r="X113" s="223" t="str">
        <f>IF(intervencao1=0,"Do not fill this line",intervencao1)</f>
        <v>Drug 1</v>
      </c>
      <c r="Y113" s="227" t="e">
        <f>1-AVERAGEIF(Data!AK$110:AK$121,"&gt;0",Data!AK$110:AK$121)</f>
        <v>#DIV/0!</v>
      </c>
      <c r="Z113" s="227" t="e">
        <f>1-AVERAGEIF(Data!AK$122:AK$133,"&gt;0",Data!AK$122:AK$133)</f>
        <v>#DIV/0!</v>
      </c>
      <c r="AA113" s="227" t="e">
        <f>1-AVERAGEIF(Data!AK$134:AK$145,"&gt;0",Data!AK$134:AK$145)</f>
        <v>#DIV/0!</v>
      </c>
      <c r="AB113" s="227" t="e">
        <f>1-AVERAGEIF(Data!AK$146:AK$157,"&gt;0",Data!AK$146:AK$157)</f>
        <v>#DIV/0!</v>
      </c>
      <c r="AC113" s="11"/>
      <c r="AD113" s="9"/>
      <c r="AE113" s="223" t="str">
        <f>IF(intervencao1=0,"Do not fill this line",intervencao1)</f>
        <v>Drug 1</v>
      </c>
      <c r="AF113" s="227">
        <f>1-IFERROR(IF(AND($H$106=1,J113=""),1,IF(AND($H$106=1,J113=0),0,IF(AND($H$106=1,J113&gt;0),J113,AVERAGEIF(Data!S$110:S$121,"&gt;0",Data!S$110:S$121)))),1)</f>
        <v>0</v>
      </c>
      <c r="AG113" s="227">
        <f>1-IFERROR(IF(AND($H$106=1,K113=""),1,IF(AND($H$106=1,K113=0),0,IF(AND($H$106=1,K113&gt;0),K113,AVERAGEIF(Data!S$122:S$133,"&gt;0",Data!S$122:S$133)))),1)</f>
        <v>1.0000000000000009E-2</v>
      </c>
      <c r="AH113" s="227">
        <f>1-IFERROR(IF(AND($H$106=1,L113=""),1,IF(AND($H$106=1,L113=0),0,IF(AND($H$106=1,L113&gt;0),L113,AVERAGEIF(Data!S$134:S$145,"&gt;0",Data!S$134:S$145)))),1)</f>
        <v>2.0000000000000018E-2</v>
      </c>
      <c r="AI113" s="227">
        <f>1-IFERROR(IF(AND($H$106=1,M113=""),1,IF(AND($H$106=1,M113=0),0,IF(AND($H$106=1,M113&gt;0),M113,AVERAGEIF(Data!S$146:S$157,"&gt;0",Data!S$146:S$157)))),1)</f>
        <v>3.0000000000000027E-2</v>
      </c>
      <c r="AJ113" s="9"/>
      <c r="AK113" s="9"/>
      <c r="AL113" s="223" t="str">
        <f>IF(intervencao1=0,"Do not fill this line",intervencao1)</f>
        <v>Drug 1</v>
      </c>
      <c r="AM113" s="227">
        <f>IFERROR(IF(H106=1,J113,AVERAGEIF(Data!C$110:C$121,"&gt;0",Data!C$110:C$121)),0)</f>
        <v>1</v>
      </c>
      <c r="AN113" s="227">
        <f>IFERROR(IF(H106=1,K113,AVERAGEIF(Data!C$122:C$133,"&gt;0",Data!C$122:C$133)),0)</f>
        <v>0.99</v>
      </c>
      <c r="AO113" s="227">
        <f>IFERROR(IF(H106=1,L113,AVERAGEIF(Data!C$134:C$145,"&gt;0",Data!C$134:C$145)),0)</f>
        <v>0.98</v>
      </c>
      <c r="AP113" s="227">
        <f>IFERROR(IF(H106=1,M113,AVERAGEIF(Data!C$146:C$157,"&gt;0",Data!C$146:C$157)),0)</f>
        <v>0.97</v>
      </c>
      <c r="AQ113" s="9"/>
    </row>
    <row r="114" spans="3:43">
      <c r="C114" s="300" t="str">
        <f>IF(intervencao2=0,"Do not fill this line",intervencao2)</f>
        <v>Drug 2</v>
      </c>
      <c r="D114" s="462"/>
      <c r="E114" s="463"/>
      <c r="F114" s="9"/>
      <c r="G114" s="9"/>
      <c r="H114" s="452" t="str">
        <f>IF(intervencao2=0,"Do not fill this line",intervencao2)</f>
        <v>Drug 2</v>
      </c>
      <c r="I114" s="453"/>
      <c r="J114" s="230">
        <v>1</v>
      </c>
      <c r="K114" s="230">
        <v>0.99</v>
      </c>
      <c r="L114" s="230">
        <v>0.98</v>
      </c>
      <c r="M114" s="230">
        <v>0.97</v>
      </c>
      <c r="N114" s="289"/>
      <c r="O114" s="9"/>
      <c r="P114" s="9"/>
      <c r="Q114" s="300" t="str">
        <f>IF(intervencao2=0,"Do not fill this line",intervencao2)</f>
        <v>Drug 2</v>
      </c>
      <c r="R114" s="227">
        <f t="shared" si="6"/>
        <v>0</v>
      </c>
      <c r="S114" s="227">
        <f t="shared" si="6"/>
        <v>1.0000000000000009E-2</v>
      </c>
      <c r="T114" s="227">
        <f t="shared" si="6"/>
        <v>2.0000000000000018E-2</v>
      </c>
      <c r="U114" s="227">
        <f t="shared" si="6"/>
        <v>3.0000000000000027E-2</v>
      </c>
      <c r="V114" s="11"/>
      <c r="W114" s="9"/>
      <c r="X114" s="223" t="str">
        <f>IF(intervencao2=0,"Do not fill this line",intervencao2)</f>
        <v>Drug 2</v>
      </c>
      <c r="Y114" s="227" t="e">
        <f>1-AVERAGEIF(Data!AL$110:AL$121,"&gt;0",Data!AL$110:AL$121)</f>
        <v>#DIV/0!</v>
      </c>
      <c r="Z114" s="227" t="e">
        <f>1-AVERAGEIF(Data!AL$122:AL$133,"&gt;0",Data!AL$122:AL$133)</f>
        <v>#DIV/0!</v>
      </c>
      <c r="AA114" s="227" t="e">
        <f>1-AVERAGEIF(Data!AL$134:AL$145,"&gt;0",Data!AL$134:AL$145)</f>
        <v>#DIV/0!</v>
      </c>
      <c r="AB114" s="227" t="e">
        <f>1-AVERAGEIF(Data!AL$146:AL$157,"&gt;0",Data!AL$146:AL$157)</f>
        <v>#DIV/0!</v>
      </c>
      <c r="AC114" s="11"/>
      <c r="AD114" s="9"/>
      <c r="AE114" s="223" t="str">
        <f>IF(intervencao2=0,"Do not fill this line",intervencao2)</f>
        <v>Drug 2</v>
      </c>
      <c r="AF114" s="227">
        <f>1-IFERROR(IF(AND($H$106=1,J114=""),1,IF(AND($H$106=1,J114=0),0,IF(AND($H$106=1,J114&gt;0),J114,AVERAGEIF(Data!T$110:T$121,"&gt;0",Data!T$110:T$121)))),1)</f>
        <v>0</v>
      </c>
      <c r="AG114" s="227">
        <f>1-IFERROR(IF(AND($H$106=1,K114=""),1,IF(AND($H$106=1,K114=0),0,IF(AND($H$106=1,K114&gt;0),K114,AVERAGEIF(Data!T$122:T$133,"&gt;0",Data!T$122:T$133)))),1)</f>
        <v>1.0000000000000009E-2</v>
      </c>
      <c r="AH114" s="227">
        <f>1-IFERROR(IF(AND($H$106=1,L114=""),1,IF(AND($H$106=1,L114=0),0,IF(AND($H$106=1,L114&gt;0),L114,AVERAGEIF(Data!T$134:T$145,"&gt;0",Data!T$134:T$145)))),1)</f>
        <v>2.0000000000000018E-2</v>
      </c>
      <c r="AI114" s="227">
        <f>1-IFERROR(IF(AND($H$106=1,M114=""),1,IF(AND($H$106=1,M114=0),0,IF(AND($H$106=1,M114&gt;0),M114,AVERAGEIF(Data!T$146:T$157,"&gt;0",Data!T$146:T$157)))),1)</f>
        <v>3.0000000000000027E-2</v>
      </c>
      <c r="AJ114" s="9"/>
      <c r="AK114" s="9"/>
      <c r="AL114" s="223" t="str">
        <f>IF(intervencao2=0,"Do not fill this line",intervencao2)</f>
        <v>Drug 2</v>
      </c>
      <c r="AM114" s="227">
        <f>IFERROR(IF(H106=1,J114,AVERAGEIF(Data!D$110:D$121,"&gt;0",Data!D$110:D$121)),0)</f>
        <v>1</v>
      </c>
      <c r="AN114" s="227">
        <f>IFERROR(IF(H106=1,K114,AVERAGEIF(Data!D$122:D$133,"&gt;0",Data!D$122:D$133)),0)</f>
        <v>0.99</v>
      </c>
      <c r="AO114" s="227">
        <f>IFERROR(IF(H106=1,L114,AVERAGEIF(Data!D$134:D$145,"&gt;0",Data!D$134:D$145)),0)</f>
        <v>0.98</v>
      </c>
      <c r="AP114" s="227">
        <f>IFERROR(IF(H106=1,M114,AVERAGEIF(Data!D$146:D$157,"&gt;0",Data!D$146:D$157)),0)</f>
        <v>0.97</v>
      </c>
      <c r="AQ114" s="9"/>
    </row>
    <row r="115" spans="3:43">
      <c r="C115" s="300" t="str">
        <f>IF(intervencao3=0,"Do not fill this line",intervencao3)</f>
        <v>Do not fill this line</v>
      </c>
      <c r="D115" s="462"/>
      <c r="E115" s="463"/>
      <c r="F115" s="9"/>
      <c r="G115" s="9"/>
      <c r="H115" s="452" t="str">
        <f>IF(intervencao3=0,"Do not fill this line",intervencao3)</f>
        <v>Do not fill this line</v>
      </c>
      <c r="I115" s="453"/>
      <c r="J115" s="230"/>
      <c r="K115" s="230"/>
      <c r="L115" s="230"/>
      <c r="M115" s="230"/>
      <c r="N115" s="289"/>
      <c r="O115" s="9"/>
      <c r="P115" s="9"/>
      <c r="Q115" s="300" t="str">
        <f>IF(intervencao3=0,"Do not fill this line",intervencao3)</f>
        <v>Do not fill this line</v>
      </c>
      <c r="R115" s="227">
        <f t="shared" si="6"/>
        <v>0</v>
      </c>
      <c r="S115" s="227">
        <f t="shared" si="6"/>
        <v>0</v>
      </c>
      <c r="T115" s="227">
        <f t="shared" si="6"/>
        <v>0</v>
      </c>
      <c r="U115" s="227">
        <f t="shared" si="6"/>
        <v>0</v>
      </c>
      <c r="V115" s="11"/>
      <c r="W115" s="9"/>
      <c r="X115" s="223" t="str">
        <f>IF(intervencao3=0,"Do not fill this line",intervencao3)</f>
        <v>Do not fill this line</v>
      </c>
      <c r="Y115" s="227" t="e">
        <f>1-AVERAGEIF(Data!AM$110:AM$121,"&gt;0",Data!AM$110:AM$121)</f>
        <v>#DIV/0!</v>
      </c>
      <c r="Z115" s="227" t="e">
        <f>1-AVERAGEIF(Data!AM$122:AM$133,"&gt;0",Data!AM$122:AM$133)</f>
        <v>#DIV/0!</v>
      </c>
      <c r="AA115" s="227" t="e">
        <f>1-AVERAGEIF(Data!AM$134:AM$145,"&gt;0",Data!AM$134:AM$145)</f>
        <v>#DIV/0!</v>
      </c>
      <c r="AB115" s="227" t="e">
        <f>1-AVERAGEIF(Data!AM$146:AM$157,"&gt;0",Data!AM$146:AM$157)</f>
        <v>#DIV/0!</v>
      </c>
      <c r="AC115" s="11"/>
      <c r="AD115" s="9"/>
      <c r="AE115" s="223" t="str">
        <f>IF(intervencao3=0,"Do not fill this line",intervencao3)</f>
        <v>Do not fill this line</v>
      </c>
      <c r="AF115" s="227">
        <f>1-IFERROR(IF(AND($H$106=1,J115=""),1,IF(AND($H$106=1,J115=0),0,IF(AND($H$106=1,J115&gt;0),J115,AVERAGEIF(Data!U$110:U$121,"&gt;0",Data!U$110:U$1090)))),1)</f>
        <v>0</v>
      </c>
      <c r="AG115" s="227">
        <f>1-IFERROR(IF(AND($H$106=1,K115=""),1,IF(AND($H$106=1,K115=0),0,IF(AND($H$106=1,K115&gt;0),K115,AVERAGEIF(Data!U$122:U$133,"&gt;0",Data!U$122:U$133)))),1)</f>
        <v>0</v>
      </c>
      <c r="AH115" s="227">
        <f>1-IFERROR(IF(AND($H$106=1,L115=""),1,IF(AND($H$106=1,L115=0),0,IF(AND($H$106=1,L115&gt;0),L115,AVERAGEIF(Data!U$134:U$145,"&gt;0",Data!U$134:U$145)))),1)</f>
        <v>0</v>
      </c>
      <c r="AI115" s="227">
        <f>1-IFERROR(IF(AND($H$106=1,M115=""),1,IF(AND($H$106=1,M115=0),0,IF(AND($H$106=1,M115&gt;0),M115,AVERAGEIF(Data!U$146:U$157,"&gt;0",Data!U$146:U$157)))),1)</f>
        <v>0</v>
      </c>
      <c r="AJ115" s="9"/>
      <c r="AK115" s="9"/>
      <c r="AL115" s="223" t="str">
        <f>IF(intervencao3=0,"Do not fill this line",intervencao3)</f>
        <v>Do not fill this line</v>
      </c>
      <c r="AM115" s="227">
        <f>IFERROR(IF(H106=1,J115,AVERAGEIF(Data!E$110:E$121,"&gt;0",Data!E$110:E$121)),0)</f>
        <v>0</v>
      </c>
      <c r="AN115" s="227">
        <f>IFERROR(IF(H106=1,K115,AVERAGEIF(Data!E$122:E$133,"&gt;0",Data!E$122:E$133)),0)</f>
        <v>0</v>
      </c>
      <c r="AO115" s="227">
        <f>IFERROR(IF(H106=1,L115,AVERAGEIF(Data!E$134:E$145,"&gt;0",Data!E$134:E$145)),0)</f>
        <v>0</v>
      </c>
      <c r="AP115" s="227">
        <f>IFERROR(IF(H106=1,M115,AVERAGEIF(Data!E$146:E$157,"&gt;0",Data!E$146:E$157)),0)</f>
        <v>0</v>
      </c>
      <c r="AQ115" s="9"/>
    </row>
    <row r="116" spans="3:43">
      <c r="C116" s="300" t="str">
        <f>IF(intervencao4=0,"Do not fill this line",intervencao4)</f>
        <v>Do not fill this line</v>
      </c>
      <c r="D116" s="462"/>
      <c r="E116" s="463"/>
      <c r="F116" s="9"/>
      <c r="G116" s="9"/>
      <c r="H116" s="452" t="str">
        <f>IF(intervencao4=0,"Do not fill this line",intervencao4)</f>
        <v>Do not fill this line</v>
      </c>
      <c r="I116" s="453"/>
      <c r="J116" s="230"/>
      <c r="K116" s="230"/>
      <c r="L116" s="230"/>
      <c r="M116" s="230"/>
      <c r="N116" s="289"/>
      <c r="O116" s="9"/>
      <c r="P116" s="9"/>
      <c r="Q116" s="300" t="str">
        <f>IF(intervencao4=0,"Do not fill this line",intervencao4)</f>
        <v>Do not fill this line</v>
      </c>
      <c r="R116" s="227">
        <f t="shared" si="6"/>
        <v>0</v>
      </c>
      <c r="S116" s="227">
        <f t="shared" si="6"/>
        <v>0</v>
      </c>
      <c r="T116" s="227">
        <f t="shared" si="6"/>
        <v>0</v>
      </c>
      <c r="U116" s="227">
        <f t="shared" si="6"/>
        <v>0</v>
      </c>
      <c r="V116" s="11"/>
      <c r="W116" s="9"/>
      <c r="X116" s="223" t="str">
        <f>IF(intervencao4=0,"Do not fill this line",intervencao4)</f>
        <v>Do not fill this line</v>
      </c>
      <c r="Y116" s="227" t="e">
        <f>1-AVERAGEIF(Data!AN$110:AN$121,"&gt;0",Data!AN$110:AN$121)</f>
        <v>#DIV/0!</v>
      </c>
      <c r="Z116" s="227" t="e">
        <f>1-AVERAGEIF(Data!AN$122:AN$133,"&gt;0",Data!AN$122:AN$133)</f>
        <v>#DIV/0!</v>
      </c>
      <c r="AA116" s="227" t="e">
        <f>1-AVERAGEIF(Data!AN$134:AN$145,"&gt;0",Data!AN$134:AN$145)</f>
        <v>#DIV/0!</v>
      </c>
      <c r="AB116" s="227" t="e">
        <f>1-AVERAGEIF(Data!AN$146:AN$157,"&gt;0",Data!AN$146:AN$157)</f>
        <v>#DIV/0!</v>
      </c>
      <c r="AC116" s="11"/>
      <c r="AD116" s="9"/>
      <c r="AE116" s="223" t="str">
        <f>IF(intervencao4=0,"Do not fill this line",intervencao4)</f>
        <v>Do not fill this line</v>
      </c>
      <c r="AF116" s="227">
        <f>1-IFERROR(IF(AND($H$106=1,J116=""),1,IF(AND($H$106=1,J116=0),0,IF(AND($H$106=1,J116&gt;0),J116,AVERAGEIF(Data!V$110:V$121,"&gt;0",Data!V$110:V$121)))),1)</f>
        <v>0</v>
      </c>
      <c r="AG116" s="227">
        <f>1-IFERROR(IF(AND($H$106=1,K116=""),1,IF(AND($H$106=1,K116=0),0,IF(AND($H$106=1,K116&gt;0),K116,AVERAGEIF(Data!V$122:V$133,"&gt;0",Data!V$122:V$133)))),1)</f>
        <v>0</v>
      </c>
      <c r="AH116" s="227">
        <f>1-IFERROR(IF(AND($H$106=1,L116=""),1,IF(AND($H$106=1,L116=0),0,IF(AND($H$106=1,L116&gt;0),L116,AVERAGEIF(Data!V$134:V$145,"&gt;0",Data!V$134:V$145)))),1)</f>
        <v>0</v>
      </c>
      <c r="AI116" s="227">
        <f>1-IFERROR(IF(AND($H$106=1,M116=""),1,IF(AND($H$106=1,M116=0),0,IF(AND($H$106=1,M116&gt;0),M116,AVERAGEIF(Data!V$146:V$157,"&gt;0",Data!V$146:V$157)))),1)</f>
        <v>0</v>
      </c>
      <c r="AJ116" s="9"/>
      <c r="AK116" s="9"/>
      <c r="AL116" s="223" t="str">
        <f>IF(intervencao4=0,"Do not fill this line",intervencao4)</f>
        <v>Do not fill this line</v>
      </c>
      <c r="AM116" s="227">
        <f>IFERROR(IF(H106=1,J116,AVERAGEIF(Data!F$110:F$121,"&gt;0",Data!F$110:F$121)),0)</f>
        <v>0</v>
      </c>
      <c r="AN116" s="227">
        <f>IFERROR(IF(H106=1,K116,AVERAGEIF(Data!F$122:F$133,"&gt;0",Data!F$122:F$133)),0)</f>
        <v>0</v>
      </c>
      <c r="AO116" s="227">
        <f>IFERROR(IF(H106=1,L116,AVERAGEIF(Data!F$134:F$145,"&gt;0",Data!F$134:F$145)),0)</f>
        <v>0</v>
      </c>
      <c r="AP116" s="227">
        <f>IFERROR(IF(H106=1,M116,AVERAGEIF(Data!F$146:F$157,"&gt;0",Data!F$146:F$157)),0)</f>
        <v>0</v>
      </c>
      <c r="AQ116" s="9"/>
    </row>
    <row r="117" spans="3:43" ht="16.05" customHeight="1">
      <c r="C117" s="294" t="str">
        <f>IF($H$102=1,"Enter the median survival","Do not fill in this table")</f>
        <v>Do not fill in this table</v>
      </c>
      <c r="D117" s="464" t="s">
        <v>278</v>
      </c>
      <c r="E117" s="465"/>
      <c r="F117" s="9"/>
      <c r="G117" s="9"/>
      <c r="H117" s="460" t="str">
        <f>H111</f>
        <v>Overall survival</v>
      </c>
      <c r="I117" s="461"/>
      <c r="J117" s="476" t="s">
        <v>279</v>
      </c>
      <c r="K117" s="477"/>
      <c r="L117" s="477"/>
      <c r="M117" s="477"/>
      <c r="N117" s="7"/>
      <c r="O117" s="7"/>
      <c r="P117" s="7"/>
      <c r="Q117" s="302" t="str">
        <f>Q111</f>
        <v>Do not fill in this table</v>
      </c>
      <c r="R117" s="303"/>
      <c r="S117" s="304"/>
      <c r="T117" s="304"/>
      <c r="U117" s="304"/>
      <c r="V117" s="11"/>
      <c r="W117" s="7"/>
      <c r="X117" s="302" t="str">
        <f>X111</f>
        <v>Do not fill in this table</v>
      </c>
      <c r="Y117" s="303"/>
      <c r="Z117" s="304"/>
      <c r="AA117" s="304"/>
      <c r="AB117" s="304"/>
      <c r="AC117" s="11"/>
      <c r="AD117" s="9"/>
      <c r="AE117" s="302" t="str">
        <f>AE111</f>
        <v>Do not fill in this table</v>
      </c>
      <c r="AF117" s="303"/>
      <c r="AG117" s="304"/>
      <c r="AH117" s="304"/>
      <c r="AI117" s="304"/>
      <c r="AJ117" s="9"/>
      <c r="AK117" s="9"/>
      <c r="AL117" s="302" t="s">
        <v>276</v>
      </c>
      <c r="AM117" s="303"/>
      <c r="AN117" s="304"/>
      <c r="AO117" s="304"/>
      <c r="AP117" s="304"/>
      <c r="AQ117" s="9"/>
    </row>
    <row r="118" spans="3:43">
      <c r="C118" s="300" t="str">
        <f>IF(comparador1=0,"Do not fill this line",comparador1)</f>
        <v>BSC</v>
      </c>
      <c r="D118" s="462"/>
      <c r="E118" s="463"/>
      <c r="F118" s="9"/>
      <c r="G118" s="9"/>
      <c r="H118" s="452" t="str">
        <f>IF(comparador1=0,"Do not fill this line",comparador1)</f>
        <v>BSC</v>
      </c>
      <c r="I118" s="453"/>
      <c r="J118" s="230">
        <v>1</v>
      </c>
      <c r="K118" s="230">
        <v>1</v>
      </c>
      <c r="L118" s="230">
        <v>1</v>
      </c>
      <c r="M118" s="230">
        <v>1</v>
      </c>
      <c r="N118" s="289"/>
      <c r="O118" s="9"/>
      <c r="P118" s="9"/>
      <c r="Q118" s="300" t="str">
        <f>IF(comparador1=0,"Do not fill this line",comparador1)</f>
        <v>BSC</v>
      </c>
      <c r="R118" s="227">
        <f>IFERROR(IF(AND(obito=1,$H$102=1),Y118,IF(AND(obito=1,$H$102=2),AM118,IF(AND(obito=1,$H$102=3),AF118,0))),0)</f>
        <v>0</v>
      </c>
      <c r="S118" s="227">
        <f t="shared" ref="S118:S127" si="7">IFERROR(IF(AND(obito=1,$H$102=1),Z118,IF(AND(obito=1,$H$102=2),AN118,IF(AND(obito=1,$H$102=3),AG118,0))),0)</f>
        <v>0</v>
      </c>
      <c r="T118" s="227">
        <f t="shared" ref="T118:T127" si="8">IFERROR(IF(AND(obito=1,$H$102=1),AA118,IF(AND(obito=1,$H$102=2),AO118,IF(AND(obito=1,$H$102=3),AH118,0))),0)</f>
        <v>0</v>
      </c>
      <c r="U118" s="227">
        <f t="shared" ref="U118:U127" si="9">IFERROR(IF(AND(obito=1,$H$102=1),AB118,IF(AND(obito=1,$H$102=2),AP118,IF(AND(obito=1,$H$102=3),AI118,0))),0)</f>
        <v>0</v>
      </c>
      <c r="V118" s="11"/>
      <c r="W118" s="9"/>
      <c r="X118" s="223" t="str">
        <f>IF(comparador1=0,"Do not fill this line",comparador1)</f>
        <v>BSC</v>
      </c>
      <c r="Y118" s="227" t="e">
        <f>1-AVERAGEIF(Data!AO$110:AO$121,"&gt;0",Data!AO$110:AO$121)</f>
        <v>#DIV/0!</v>
      </c>
      <c r="Z118" s="227" t="e">
        <f>1-AVERAGEIF(Data!AO$122:AO$133,"&gt;0",Data!AO$122:AO$133)</f>
        <v>#DIV/0!</v>
      </c>
      <c r="AA118" s="227" t="e">
        <f>1-AVERAGEIF(Data!AO$134:AO$145,"&gt;0",Data!AO$134:AO$145)</f>
        <v>#DIV/0!</v>
      </c>
      <c r="AB118" s="227" t="e">
        <f>1-AVERAGEIF(Data!AO$146:AO$157,"&gt;0",Data!AO$146:AO$157)</f>
        <v>#DIV/0!</v>
      </c>
      <c r="AC118" s="11"/>
      <c r="AD118" s="9"/>
      <c r="AE118" s="223" t="str">
        <f>IF(comparador1=0,"Do not fill this line",comparador1)</f>
        <v>BSC</v>
      </c>
      <c r="AF118" s="227">
        <f>1-IFERROR(IF(AND($H$106=1,J118=""),1,IF(AND($H$106=1,J118=0),0,IF(AND($H$106=1,J118&gt;0),J118,AVERAGEIF(Data!W$110:W$121,"&gt;0",Data!W$110:W$121)))),1)</f>
        <v>0</v>
      </c>
      <c r="AG118" s="227">
        <f>1-IFERROR(IF(AND($H$106=1,K118=""),1,IF(AND($H$106=1,K118=0),0,IF(AND($H$106=1,K118&gt;0),K118,AVERAGEIF(Data!W$122:W$133,"&gt;0",Data!W$122:W$133)))),1)</f>
        <v>0</v>
      </c>
      <c r="AH118" s="227">
        <f>1-IFERROR(IF(AND($H$106=1,L118=""),1,IF(AND($H$106=1,L118=0),0,IF(AND($H$106=1,L118&gt;0),L118,AVERAGEIF(Data!W$134:W$145,"&gt;0",Data!W$134:W$145)))),1)</f>
        <v>0</v>
      </c>
      <c r="AI118" s="227">
        <f>1-IFERROR(IF(AND($H$106=1,M118=""),1,IF(AND($H$106=1,M118=0),0,IF(AND($H$106=1,M118&gt;0),M118,AVERAGEIF(Data!W$146:W$157,"&gt;0",Data!W$146:W$157)))),1)</f>
        <v>0</v>
      </c>
      <c r="AJ118" s="9"/>
      <c r="AK118" s="9"/>
      <c r="AL118" s="223" t="str">
        <f>IF(comparador1=0,"Do not fill this line",comparador1)</f>
        <v>BSC</v>
      </c>
      <c r="AM118" s="227">
        <f>IFERROR(IF(H106=1,J118,AVERAGEIF(Data!G$110:G$121,"&gt;0",Data!G$110:G$121)),0)</f>
        <v>1</v>
      </c>
      <c r="AN118" s="227">
        <f>IFERROR(IF(H106=1,K118,AVERAGEIF(Data!G$122:G$133,"&gt;0",Data!G$122:G$133)),0)</f>
        <v>1</v>
      </c>
      <c r="AO118" s="227">
        <f>IFERROR(IF(H106=1,L118,AVERAGEIF(Data!G$134:G$145,"&gt;0",Data!G$134:G$145)),0)</f>
        <v>1</v>
      </c>
      <c r="AP118" s="227">
        <f>IFERROR(IF(H106=1,M118,AVERAGEIF(Data!G$146:G$157,"&gt;0",Data!G$146:G$157)),0)</f>
        <v>1</v>
      </c>
      <c r="AQ118" s="9"/>
    </row>
    <row r="119" spans="3:43">
      <c r="C119" s="300" t="str">
        <f>IF(comparador2=0,"Do not fill this line",comparador2)</f>
        <v>Do not fill this line</v>
      </c>
      <c r="D119" s="462"/>
      <c r="E119" s="463"/>
      <c r="F119" s="9"/>
      <c r="G119" s="9"/>
      <c r="H119" s="452" t="str">
        <f>IF(comparador2=0,"Do not fill this line",comparador2)</f>
        <v>Do not fill this line</v>
      </c>
      <c r="I119" s="453"/>
      <c r="J119" s="230"/>
      <c r="K119" s="230"/>
      <c r="L119" s="230"/>
      <c r="M119" s="230"/>
      <c r="N119" s="289"/>
      <c r="O119" s="9"/>
      <c r="P119" s="9"/>
      <c r="Q119" s="300" t="str">
        <f>IF(comparador2=0,"Do not fill this line",comparador2)</f>
        <v>Do not fill this line</v>
      </c>
      <c r="R119" s="227">
        <f t="shared" ref="R119:R126" si="10">IFERROR(IF(AND(obito=1,$H$102=1),Y119,IF(AND(obito=1,$H$102=2),AM119,IF(AND(obito=1,$H$102=3),AF119,0))),0)</f>
        <v>0</v>
      </c>
      <c r="S119" s="227">
        <f t="shared" si="7"/>
        <v>0</v>
      </c>
      <c r="T119" s="227">
        <f t="shared" si="8"/>
        <v>0</v>
      </c>
      <c r="U119" s="227">
        <f t="shared" si="9"/>
        <v>0</v>
      </c>
      <c r="V119" s="11"/>
      <c r="W119" s="9"/>
      <c r="X119" s="223" t="str">
        <f>IF(comparador2=0,"Do not fill this line",comparador2)</f>
        <v>Do not fill this line</v>
      </c>
      <c r="Y119" s="227" t="e">
        <f>1-AVERAGEIF(Data!AP$110:AP$121,"&gt;0",Data!AP$110:AP$121)</f>
        <v>#DIV/0!</v>
      </c>
      <c r="Z119" s="227" t="e">
        <f>1-AVERAGEIF(Data!AP$122:AP$133,"&gt;0",Data!AP$122:AP$133)</f>
        <v>#DIV/0!</v>
      </c>
      <c r="AA119" s="227" t="e">
        <f>1-AVERAGEIF(Data!AP$134:AP$145,"&gt;0",Data!AP$134:AP$145)</f>
        <v>#DIV/0!</v>
      </c>
      <c r="AB119" s="227" t="e">
        <f>1-AVERAGEIF(Data!AP$146:AP$157,"&gt;0",Data!AP$146:AP$157)</f>
        <v>#DIV/0!</v>
      </c>
      <c r="AC119" s="11"/>
      <c r="AD119" s="9"/>
      <c r="AE119" s="223" t="str">
        <f>IF(comparador2=0,"Do not fill this line",comparador2)</f>
        <v>Do not fill this line</v>
      </c>
      <c r="AF119" s="227">
        <f>1-IFERROR(IF(AND($H$106=1,J119=""),1,IF(AND($H$106=1,J119=0),0,IF(AND($H$106=1,J119&gt;0),J119,AVERAGEIF(Data!X$110:X$121,"&gt;0",Data!X$110:X$121)))),1)</f>
        <v>0</v>
      </c>
      <c r="AG119" s="227">
        <f>1-IFERROR(IF(AND($H$106=1,K119=""),1,IF(AND($H$106=1,K119=0),0,IF(AND($H$106=1,K119&gt;0),K119,AVERAGEIF(Data!X$122:X$133,"&gt;0",Data!X$122:X$133)))),1)</f>
        <v>0</v>
      </c>
      <c r="AH119" s="227">
        <f>1-IFERROR(IF(AND($H$106=1,L119=""),1,IF(AND($H$106=1,L119=0),0,IF(AND($H$106=1,L119&gt;0),L119,AVERAGEIF(Data!X$134:X$145,"&gt;0",Data!X$134:X$145)))),1)</f>
        <v>0</v>
      </c>
      <c r="AI119" s="227">
        <f>1-IFERROR(IF(AND($H$106=1,M119=""),1,IF(AND($H$106=1,M119=0),0,IF(AND($H$106=1,M119&gt;0),M119,AVERAGEIF(Data!X$146:X$157,"&gt;0",Data!X$146:X$157)))),1)</f>
        <v>0</v>
      </c>
      <c r="AJ119" s="9"/>
      <c r="AK119" s="9"/>
      <c r="AL119" s="223" t="str">
        <f>IF(comparador2=0,"Do not fill this line",comparador2)</f>
        <v>Do not fill this line</v>
      </c>
      <c r="AM119" s="227">
        <f>IFERROR(IF(H106=1,J119,AVERAGEIF(Data!H$110:H$121,"&gt;0",Data!H$110:H$121)),0)</f>
        <v>0</v>
      </c>
      <c r="AN119" s="227">
        <f>IFERROR(IF(H106=1,K119,AVERAGEIF(Data!H$122:H$133,"&gt;0",Data!H$122:H$133)),0)</f>
        <v>0</v>
      </c>
      <c r="AO119" s="227">
        <f>IFERROR(IF(H106=1,L119,AVERAGEIF(Data!H$134:H$145,"&gt;0",Data!H$134:H$145)),0)</f>
        <v>0</v>
      </c>
      <c r="AP119" s="227">
        <f>IFERROR(IF(H106=1,M119,AVERAGEIF(Data!H$146:H$157,"&gt;0",Data!H$146:H$157)),0)</f>
        <v>0</v>
      </c>
      <c r="AQ119" s="9"/>
    </row>
    <row r="120" spans="3:43">
      <c r="C120" s="300" t="str">
        <f>IF(comparador3=0,"Do not fill this line",comparador3)</f>
        <v>Do not fill this line</v>
      </c>
      <c r="D120" s="462"/>
      <c r="E120" s="463"/>
      <c r="F120" s="9"/>
      <c r="G120" s="9"/>
      <c r="H120" s="452" t="str">
        <f>IF(comparador3=0,"Do not fill this line",comparador3)</f>
        <v>Do not fill this line</v>
      </c>
      <c r="I120" s="453"/>
      <c r="J120" s="230"/>
      <c r="K120" s="230"/>
      <c r="L120" s="230"/>
      <c r="M120" s="230"/>
      <c r="N120" s="289"/>
      <c r="O120" s="9"/>
      <c r="P120" s="9"/>
      <c r="Q120" s="300" t="str">
        <f>IF(comparador3=0,"Do not fill this line",comparador3)</f>
        <v>Do not fill this line</v>
      </c>
      <c r="R120" s="227">
        <f t="shared" si="10"/>
        <v>0</v>
      </c>
      <c r="S120" s="227">
        <f t="shared" si="7"/>
        <v>0</v>
      </c>
      <c r="T120" s="227">
        <f t="shared" si="8"/>
        <v>0</v>
      </c>
      <c r="U120" s="227">
        <f t="shared" si="9"/>
        <v>0</v>
      </c>
      <c r="V120" s="11"/>
      <c r="W120" s="9"/>
      <c r="X120" s="223" t="str">
        <f>IF(comparador3=0,"Do not fill this line",comparador3)</f>
        <v>Do not fill this line</v>
      </c>
      <c r="Y120" s="227" t="e">
        <f>1-AVERAGEIF(Data!AQ$110:AQ$121,"&gt;0",Data!AQ$110:AQ$121)</f>
        <v>#DIV/0!</v>
      </c>
      <c r="Z120" s="227" t="e">
        <f>1-AVERAGEIF(Data!AQ$122:AQ$133,"&gt;0",Data!AQ$122:AQ$133)</f>
        <v>#DIV/0!</v>
      </c>
      <c r="AA120" s="227" t="e">
        <f>1-AVERAGEIF(Data!AQ$134:AQ$145,"&gt;0",Data!AQ$134:AQ$145)</f>
        <v>#DIV/0!</v>
      </c>
      <c r="AB120" s="227" t="e">
        <f>1-AVERAGEIF(Data!AQ$146:AQ$157,"&gt;0",Data!AQ$146:AQ$157)</f>
        <v>#DIV/0!</v>
      </c>
      <c r="AC120" s="11"/>
      <c r="AD120" s="9"/>
      <c r="AE120" s="223" t="str">
        <f>IF(comparador3=0,"Do not fill this line",comparador3)</f>
        <v>Do not fill this line</v>
      </c>
      <c r="AF120" s="227">
        <f>1-IFERROR(IF(AND($H$106=1,J120=""),1,IF(AND($H$106=1,J120=0),0,IF(AND($H$106=1,J120&gt;0),J120,AVERAGEIF(Data!Y$110:Y$121,"&gt;0",Data!Y$110:Y$121)))),1)</f>
        <v>0</v>
      </c>
      <c r="AG120" s="227">
        <f>1-IFERROR(IF(AND($H$106=1,K120=""),1,IF(AND($H$106=1,K120=0),0,IF(AND($H$106=1,K120&gt;0),K120,AVERAGEIF(Data!Y$122:Y$133,"&gt;0",Data!Y$122:Y$133)))),1)</f>
        <v>0</v>
      </c>
      <c r="AH120" s="227">
        <f>1-IFERROR(IF(AND($H$106=1,L120=""),1,IF(AND($H$106=1,L120=0),0,IF(AND($H$106=1,L120&gt;0),L120,AVERAGEIF(Data!Y$134:Y$145,"&gt;0",Data!Y$134:Y$145)))),1)</f>
        <v>0</v>
      </c>
      <c r="AI120" s="227">
        <f>1-IFERROR(IF(AND($H$106=1,M120=""),1,IF(AND($H$106=1,M120=0),0,IF(AND($H$106=1,M120&gt;0),M120,AVERAGEIF(Data!Y$146:Y$157,"&gt;0",Data!Y$146:Y$157)))),1)</f>
        <v>0</v>
      </c>
      <c r="AJ120" s="9"/>
      <c r="AK120" s="9"/>
      <c r="AL120" s="223" t="str">
        <f>IF(comparador3=0,"Do not fill this line",comparador3)</f>
        <v>Do not fill this line</v>
      </c>
      <c r="AM120" s="227">
        <f>IFERROR(IF(H106=1,J120,AVERAGEIF(Data!I$110:I$121,"&gt;0",Data!I$110:I$121)),0)</f>
        <v>0</v>
      </c>
      <c r="AN120" s="227">
        <f>IFERROR(IF(H106=1,K120,AVERAGEIF(Data!I$122:I$133,"&gt;0",Data!I$122:I$133)),0)</f>
        <v>0</v>
      </c>
      <c r="AO120" s="227">
        <f>IFERROR(IF(H106=1,L120,AVERAGEIF(Data!I$134:I$145,"&gt;0",Data!I$134:I$145)),0)</f>
        <v>0</v>
      </c>
      <c r="AP120" s="227">
        <f>IFERROR(IF(H106=1,M120,AVERAGEIF(Data!I$146:I$157,"&gt;0",Data!I$146:I$157)),0)</f>
        <v>0</v>
      </c>
      <c r="AQ120" s="9"/>
    </row>
    <row r="121" spans="3:43">
      <c r="C121" s="300" t="str">
        <f>IF(comparador4=0,"Do not fill this line",comparador4)</f>
        <v>Do not fill this line</v>
      </c>
      <c r="D121" s="462"/>
      <c r="E121" s="463"/>
      <c r="F121" s="9"/>
      <c r="G121" s="9"/>
      <c r="H121" s="452" t="str">
        <f>IF(comparador4=0,"Do not fill this line",comparador4)</f>
        <v>Do not fill this line</v>
      </c>
      <c r="I121" s="453"/>
      <c r="J121" s="230"/>
      <c r="K121" s="230"/>
      <c r="L121" s="230"/>
      <c r="M121" s="230"/>
      <c r="N121" s="289"/>
      <c r="O121" s="9"/>
      <c r="P121" s="9"/>
      <c r="Q121" s="300" t="str">
        <f>IF(comparador4=0,"Do not fill this line",comparador4)</f>
        <v>Do not fill this line</v>
      </c>
      <c r="R121" s="227">
        <f t="shared" si="10"/>
        <v>0</v>
      </c>
      <c r="S121" s="227">
        <f t="shared" si="7"/>
        <v>0</v>
      </c>
      <c r="T121" s="227">
        <f t="shared" si="8"/>
        <v>0</v>
      </c>
      <c r="U121" s="227">
        <f t="shared" si="9"/>
        <v>0</v>
      </c>
      <c r="V121" s="11"/>
      <c r="W121" s="9"/>
      <c r="X121" s="223" t="str">
        <f>IF(comparador4=0,"Do not fill this line",comparador4)</f>
        <v>Do not fill this line</v>
      </c>
      <c r="Y121" s="227" t="e">
        <f>1-AVERAGEIF(Data!AR$110:AR$121,"&gt;0",Data!AR$110:AR$121)</f>
        <v>#DIV/0!</v>
      </c>
      <c r="Z121" s="227" t="e">
        <f>1-AVERAGEIF(Data!AR$122:AR$133,"&gt;0",Data!AR$122:AR$133)</f>
        <v>#DIV/0!</v>
      </c>
      <c r="AA121" s="227" t="e">
        <f>1-AVERAGEIF(Data!AR$134:AR$145,"&gt;0",Data!AR$134:AR$145)</f>
        <v>#DIV/0!</v>
      </c>
      <c r="AB121" s="227" t="e">
        <f>1-AVERAGEIF(Data!AR$146:AR$157,"&gt;0",Data!AR$146:AR$157)</f>
        <v>#DIV/0!</v>
      </c>
      <c r="AC121" s="11"/>
      <c r="AD121" s="9"/>
      <c r="AE121" s="223" t="str">
        <f>IF(comparador4=0,"Do not fill this line",comparador4)</f>
        <v>Do not fill this line</v>
      </c>
      <c r="AF121" s="227">
        <f>1-IFERROR(IF(AND($H$106=1,J121=""),1,IF(AND($H$106=1,J121=0),0,IF(AND($H$106=1,J121&gt;0),J121,AVERAGEIF(Data!Z$110:Z$121,"&gt;0",Data!Z$110:Z$121)))),1)</f>
        <v>0</v>
      </c>
      <c r="AG121" s="227">
        <f>1-IFERROR(IF(AND($H$106=1,K121=""),1,IF(AND($H$106=1,K121=0),0,IF(AND($H$106=1,K121&gt;0),K121,AVERAGEIF(Data!Z$122:Z$133,"&gt;0",Data!Z$122:Z$133)))),1)</f>
        <v>0</v>
      </c>
      <c r="AH121" s="227">
        <f>1-IFERROR(IF(AND($H$106=1,L121=""),1,IF(AND($H$106=1,L121=0),0,IF(AND($H$106=1,L121&gt;0),L121,AVERAGEIF(Data!Z$134:Z$145,"&gt;0",Data!Z$134:Z$145)))),1)</f>
        <v>0</v>
      </c>
      <c r="AI121" s="227">
        <f>1-IFERROR(IF(AND($H$106=1,M121=""),1,IF(AND($H$106=1,M121=0),0,IF(AND($H$106=1,M121&gt;0),M121,AVERAGEIF(Data!Z$146:Z$157,"&gt;0",Data!Z$146:Z$157)))),1)</f>
        <v>0</v>
      </c>
      <c r="AJ121" s="9"/>
      <c r="AK121" s="9"/>
      <c r="AL121" s="223" t="str">
        <f>IF(comparador4=0,"Do not fill this line",comparador4)</f>
        <v>Do not fill this line</v>
      </c>
      <c r="AM121" s="227">
        <f>IFERROR(IF(H106=1,J121,AVERAGEIF(Data!J$110:J$121,"&gt;0",Data!J$110:J$121)),0)</f>
        <v>0</v>
      </c>
      <c r="AN121" s="227">
        <f>IFERROR(IF(H106=1,K121,AVERAGEIF(Data!J$122:J$133,"&gt;0",Data!J$122:J$133)),0)</f>
        <v>0</v>
      </c>
      <c r="AO121" s="227">
        <f>IFERROR(IF(H106=1,L121,AVERAGEIF(Data!J$134:J$145,"&gt;0",Data!J$134:J$145)),0)</f>
        <v>0</v>
      </c>
      <c r="AP121" s="227">
        <f>IFERROR(IF(H106=1,M121,AVERAGEIF(Data!J$146:J$157,"&gt;0",Data!J$146:J$157)),0)</f>
        <v>0</v>
      </c>
      <c r="AQ121" s="9"/>
    </row>
    <row r="122" spans="3:43">
      <c r="C122" s="300" t="str">
        <f>IF(comparador5=0,"Do not fill this line",comparador5)</f>
        <v>Do not fill this line</v>
      </c>
      <c r="D122" s="462"/>
      <c r="E122" s="463"/>
      <c r="F122" s="9"/>
      <c r="G122" s="9"/>
      <c r="H122" s="452" t="str">
        <f>IF(comparador5=0,"Do not fill this line",comparador5)</f>
        <v>Do not fill this line</v>
      </c>
      <c r="I122" s="453"/>
      <c r="J122" s="230"/>
      <c r="K122" s="230"/>
      <c r="L122" s="230"/>
      <c r="M122" s="230"/>
      <c r="N122" s="289"/>
      <c r="O122" s="9"/>
      <c r="P122" s="9"/>
      <c r="Q122" s="300" t="str">
        <f>IF(comparador5=0,"Do not fill this line",comparador5)</f>
        <v>Do not fill this line</v>
      </c>
      <c r="R122" s="227">
        <f t="shared" si="10"/>
        <v>0</v>
      </c>
      <c r="S122" s="227">
        <f t="shared" si="7"/>
        <v>0</v>
      </c>
      <c r="T122" s="227">
        <f t="shared" si="8"/>
        <v>0</v>
      </c>
      <c r="U122" s="227">
        <f t="shared" si="9"/>
        <v>0</v>
      </c>
      <c r="V122" s="11"/>
      <c r="W122" s="9"/>
      <c r="X122" s="223" t="str">
        <f>IF(comparador5=0,"Do not fill this line",comparador5)</f>
        <v>Do not fill this line</v>
      </c>
      <c r="Y122" s="227" t="e">
        <f>1-AVERAGEIF(Data!AS$110:AS$121,"&gt;0",Data!AS$110:AS$121)</f>
        <v>#DIV/0!</v>
      </c>
      <c r="Z122" s="227" t="e">
        <f>1-AVERAGEIF(Data!AS$122:AS$133,"&gt;0",Data!AS$122:AS$133)</f>
        <v>#DIV/0!</v>
      </c>
      <c r="AA122" s="227" t="e">
        <f>1-AVERAGEIF(Data!AS$134:AS$145,"&gt;0",Data!AS$134:AS$145)</f>
        <v>#DIV/0!</v>
      </c>
      <c r="AB122" s="227" t="e">
        <f>1-AVERAGEIF(Data!AS$146:AS$157,"&gt;0",Data!AS$146:AS$157)</f>
        <v>#DIV/0!</v>
      </c>
      <c r="AC122" s="11"/>
      <c r="AD122" s="9"/>
      <c r="AE122" s="223" t="str">
        <f>IF(comparador5=0,"Do not fill this line",comparador5)</f>
        <v>Do not fill this line</v>
      </c>
      <c r="AF122" s="227">
        <f>1-IFERROR(IF(AND($H$106=1,J122=""),1,IF(AND($H$106=1,J122=0),0,IF(AND($H$106=1,J122&gt;0),J122,AVERAGEIF(Data!AA$110:AA$121,"&gt;0",Data!AA$110:AA$121)))),1)</f>
        <v>0</v>
      </c>
      <c r="AG122" s="227">
        <f>1-IFERROR(IF(AND($H$106=1,K122=""),1,IF(AND($H$106=1,K122=0),0,IF(AND($H$106=1,K122&gt;0),K122,AVERAGEIF(Data!AA$122:AA$133,"&gt;0",Data!AA$122:AA$133)))),1)</f>
        <v>0</v>
      </c>
      <c r="AH122" s="227">
        <f>1-IFERROR(IF(AND($H$106=1,L122=""),1,IF(AND($H$106=1,L122=0),0,IF(AND($H$106=1,L122&gt;0),L122,AVERAGEIF(Data!AA$134:AA$145,"&gt;0",Data!AA$134:AA$145)))),1)</f>
        <v>0</v>
      </c>
      <c r="AI122" s="227">
        <f>1-IFERROR(IF(AND($H$106=1,M122=""),1,IF(AND($H$106=1,M122=0),0,IF(AND($H$106=1,M122&gt;0),M122,AVERAGEIF(Data!AA$146:AA$157,"&gt;0",Data!AA$146:AA$157)))),1)</f>
        <v>0</v>
      </c>
      <c r="AJ122" s="9"/>
      <c r="AK122" s="9"/>
      <c r="AL122" s="223" t="str">
        <f>IF(comparador5=0,"Do not fill this line",comparador5)</f>
        <v>Do not fill this line</v>
      </c>
      <c r="AM122" s="227">
        <f>IFERROR(IF(H106=1,J122,AVERAGEIF(Data!K$110:K$121,"&gt;0",Data!K$110:K$121)),0)</f>
        <v>0</v>
      </c>
      <c r="AN122" s="227">
        <f>IFERROR(IF(H106=1,K122,AVERAGEIF(Data!K$122:K$133,"&gt;0",Data!K$122:K$133)),0)</f>
        <v>0</v>
      </c>
      <c r="AO122" s="227">
        <f>IFERROR(IF(H106=1,L122,AVERAGEIF(Data!K$134:K$145,"&gt;0",Data!K$134:K$145)),0)</f>
        <v>0</v>
      </c>
      <c r="AP122" s="227">
        <f>IFERROR(IF(H106=1,M122,AVERAGEIF(Data!K$146:K$157,"&gt;0",Data!K$146:K$157)),0)</f>
        <v>0</v>
      </c>
      <c r="AQ122" s="9"/>
    </row>
    <row r="123" spans="3:43">
      <c r="C123" s="300" t="str">
        <f>IF(comparador6=0,"Do not fill this line",comparador6)</f>
        <v>Do not fill this line</v>
      </c>
      <c r="D123" s="462"/>
      <c r="E123" s="463"/>
      <c r="F123" s="9"/>
      <c r="G123" s="9"/>
      <c r="H123" s="452" t="str">
        <f>IF(comparador6=0,"Do not fill this line",comparador6)</f>
        <v>Do not fill this line</v>
      </c>
      <c r="I123" s="453"/>
      <c r="J123" s="230"/>
      <c r="K123" s="230"/>
      <c r="L123" s="230"/>
      <c r="M123" s="230"/>
      <c r="N123" s="289"/>
      <c r="O123" s="9"/>
      <c r="P123" s="9"/>
      <c r="Q123" s="300" t="str">
        <f>IF(comparador6=0,"Do not fill this line",comparador6)</f>
        <v>Do not fill this line</v>
      </c>
      <c r="R123" s="227">
        <f t="shared" si="10"/>
        <v>0</v>
      </c>
      <c r="S123" s="227">
        <f t="shared" si="7"/>
        <v>0</v>
      </c>
      <c r="T123" s="227">
        <f t="shared" si="8"/>
        <v>0</v>
      </c>
      <c r="U123" s="227">
        <f t="shared" si="9"/>
        <v>0</v>
      </c>
      <c r="V123" s="11"/>
      <c r="W123" s="9"/>
      <c r="X123" s="223" t="str">
        <f>IF(comparador6=0,"Do not fill this line",comparador6)</f>
        <v>Do not fill this line</v>
      </c>
      <c r="Y123" s="227" t="e">
        <f>1-AVERAGEIF(Data!AT$110:AT$121,"&gt;0",Data!AT$110:AT$121)</f>
        <v>#DIV/0!</v>
      </c>
      <c r="Z123" s="227" t="e">
        <f>1-AVERAGEIF(Data!AT$122:AT$133,"&gt;0",Data!AT$122:AT$133)</f>
        <v>#DIV/0!</v>
      </c>
      <c r="AA123" s="227" t="e">
        <f>1-AVERAGEIF(Data!AT$134:AT$145,"&gt;0",Data!AT$134:AT$145)</f>
        <v>#DIV/0!</v>
      </c>
      <c r="AB123" s="227" t="e">
        <f>1-AVERAGEIF(Data!AT$146:AT$157,"&gt;0",Data!AT$146:AT$157)</f>
        <v>#DIV/0!</v>
      </c>
      <c r="AC123" s="11"/>
      <c r="AD123" s="9"/>
      <c r="AE123" s="223" t="str">
        <f>IF(comparador6=0,"Do not fill this line",comparador6)</f>
        <v>Do not fill this line</v>
      </c>
      <c r="AF123" s="227">
        <f>1-IFERROR(IF(AND($H$106=1,J123=""),1,IF(AND($H$106=1,J123=0),0,IF(AND($H$106=1,J123&gt;0),J123,AVERAGEIF(Data!AB$110:AB$121,"&gt;0",Data!AB$110:AB$121)))),1)</f>
        <v>0</v>
      </c>
      <c r="AG123" s="227">
        <f>1-IFERROR(IF(AND($H$106=1,K123=""),1,IF(AND($H$106=1,K123=0),0,IF(AND($H$106=1,K123&gt;0),K123,AVERAGEIF(Data!AB$122:AB$133,"&gt;0",Data!AB$122:AB$133)))),1)</f>
        <v>0</v>
      </c>
      <c r="AH123" s="227">
        <f>1-IFERROR(IF(AND($H$106=1,L123=""),1,IF(AND($H$106=1,L123=0),0,IF(AND($H$106=1,L123&gt;0),L123,AVERAGEIF(Data!AB$134:AB$145,"&gt;0",Data!AB$134:AB$145)))),1)</f>
        <v>0</v>
      </c>
      <c r="AI123" s="227">
        <f>1-IFERROR(IF(AND($H$106=1,M123=""),1,IF(AND($H$106=1,M123=0),0,IF(AND($H$106=1,M123&gt;0),M123,AVERAGEIF(Data!AB$146:AB$157,"&gt;0",Data!AB$146:AB$157)))),1)</f>
        <v>0</v>
      </c>
      <c r="AJ123" s="9"/>
      <c r="AK123" s="9"/>
      <c r="AL123" s="223" t="str">
        <f>IF(comparador6=0,"Do not fill this line",comparador6)</f>
        <v>Do not fill this line</v>
      </c>
      <c r="AM123" s="227">
        <f>IFERROR(IF(H106=1,J123,AVERAGEIF(Data!L$110:L$121,"&gt;0",Data!L$110:L$121)),0)</f>
        <v>0</v>
      </c>
      <c r="AN123" s="227">
        <f>IFERROR(IF(H106=1,K123,AVERAGEIF(Data!L$122:L$133,"&gt;0",Data!L$122:L$133)),0)</f>
        <v>0</v>
      </c>
      <c r="AO123" s="227">
        <f>IFERROR(IF(H106=1,L123,AVERAGEIF(Data!L$134:L$145,"&gt;0",Data!L$134:L$145)),0)</f>
        <v>0</v>
      </c>
      <c r="AP123" s="227">
        <f>IFERROR(IF(H106=1,M123,AVERAGEIF(Data!L$146:L$157,"&gt;0",Data!L$146:L$157)),0)</f>
        <v>0</v>
      </c>
      <c r="AQ123" s="9"/>
    </row>
    <row r="124" spans="3:43">
      <c r="C124" s="300" t="str">
        <f>IF(comparador7=0,"Do not fill this line",comparador7)</f>
        <v>Do not fill this line</v>
      </c>
      <c r="D124" s="462"/>
      <c r="E124" s="463"/>
      <c r="F124" s="9"/>
      <c r="G124" s="9"/>
      <c r="H124" s="452" t="str">
        <f>IF(comparador7=0,"Do not fill this line",comparador7)</f>
        <v>Do not fill this line</v>
      </c>
      <c r="I124" s="453"/>
      <c r="J124" s="230"/>
      <c r="K124" s="230"/>
      <c r="L124" s="230"/>
      <c r="M124" s="230"/>
      <c r="N124" s="289"/>
      <c r="O124" s="9"/>
      <c r="P124" s="9"/>
      <c r="Q124" s="300" t="str">
        <f>IF(comparador7=0,"Do not fill this line",comparador7)</f>
        <v>Do not fill this line</v>
      </c>
      <c r="R124" s="227">
        <f t="shared" si="10"/>
        <v>0</v>
      </c>
      <c r="S124" s="227">
        <f t="shared" si="7"/>
        <v>0</v>
      </c>
      <c r="T124" s="227">
        <f t="shared" si="8"/>
        <v>0</v>
      </c>
      <c r="U124" s="227">
        <f t="shared" si="9"/>
        <v>0</v>
      </c>
      <c r="V124" s="11"/>
      <c r="W124" s="9"/>
      <c r="X124" s="223" t="str">
        <f>IF(comparador7=0,"Do not fill this line",comparador7)</f>
        <v>Do not fill this line</v>
      </c>
      <c r="Y124" s="227" t="e">
        <f>1-AVERAGEIF(Data!AU$110:AU$121,"&gt;0",Data!AU$110:AU$121)</f>
        <v>#DIV/0!</v>
      </c>
      <c r="Z124" s="227" t="e">
        <f>1-AVERAGEIF(Data!AU$122:AU$133,"&gt;0",Data!AU$122:AU$133)</f>
        <v>#DIV/0!</v>
      </c>
      <c r="AA124" s="227" t="e">
        <f>1-AVERAGEIF(Data!AU$134:AU$145,"&gt;0",Data!AU$134:AU$145)</f>
        <v>#DIV/0!</v>
      </c>
      <c r="AB124" s="227" t="e">
        <f>1-AVERAGEIF(Data!AU$146:AU$157,"&gt;0",Data!AU$146:AU$157)</f>
        <v>#DIV/0!</v>
      </c>
      <c r="AC124" s="11"/>
      <c r="AD124" s="9"/>
      <c r="AE124" s="223" t="str">
        <f>IF(comparador7=0,"Do not fill this line",comparador7)</f>
        <v>Do not fill this line</v>
      </c>
      <c r="AF124" s="227">
        <f>1-IFERROR(IF(AND($H$106=1,J124=""),1,IF(AND($H$106=1,J124=0),0,IF(AND($H$106=1,J124&gt;0),J124,AVERAGEIF(Data!AC$110:AC$121,"&gt;0",Data!AC$110:AC$121)))),1)</f>
        <v>0</v>
      </c>
      <c r="AG124" s="227">
        <f>1-IFERROR(IF(AND($H$106=1,K124=""),1,IF(AND($H$106=1,K124=0),0,IF(AND($H$106=1,K124&gt;0),K124,AVERAGEIF(Data!AC$122:AC$133,"&gt;0",Data!AC$122:AC$133)))),1)</f>
        <v>0</v>
      </c>
      <c r="AH124" s="227">
        <f>1-IFERROR(IF(AND($H$106=1,L124=""),1,IF(AND($H$106=1,L124=0),0,IF(AND($H$106=1,L124&gt;0),L124,AVERAGEIF(Data!AC$134:AC$145,"&gt;0",Data!AC$134:AC$145)))),1)</f>
        <v>0</v>
      </c>
      <c r="AI124" s="227">
        <f>1-IFERROR(IF(AND($H$106=1,M124=""),1,IF(AND($H$106=1,M124=0),0,IF(AND($H$106=1,M124&gt;0),M124,AVERAGEIF(Data!AC$146:AC$157,"&gt;0",Data!AC$146:AC$157)))),1)</f>
        <v>0</v>
      </c>
      <c r="AJ124" s="9"/>
      <c r="AK124" s="9"/>
      <c r="AL124" s="223" t="str">
        <f>IF(comparador7=0,"Do not fill this line",comparador7)</f>
        <v>Do not fill this line</v>
      </c>
      <c r="AM124" s="227">
        <f>IFERROR(IF(H106=1,J124,AVERAGEIF(Data!M$110:M$121,"&gt;0",Data!M$110:M$121)),0)</f>
        <v>0</v>
      </c>
      <c r="AN124" s="227">
        <f>IFERROR(IF(H106=1,K124,AVERAGEIF(Data!M$122:M$133,"&gt;0",Data!M$122:M$133)),0)</f>
        <v>0</v>
      </c>
      <c r="AO124" s="227">
        <f>IFERROR(IF(H106=1,L124,AVERAGEIF(Data!M$134:M$145,"&gt;0",Data!M$134:M$145)),0)</f>
        <v>0</v>
      </c>
      <c r="AP124" s="227">
        <f>IFERROR(IF(H106=1,M124,AVERAGEIF(Data!M$146:M$157,"&gt;0",Data!M$146:M$157)),0)</f>
        <v>0</v>
      </c>
      <c r="AQ124" s="9"/>
    </row>
    <row r="125" spans="3:43">
      <c r="C125" s="300" t="str">
        <f>IF(comparador8=0,"Do not fill this line",comparador8)</f>
        <v>Do not fill this line</v>
      </c>
      <c r="D125" s="462"/>
      <c r="E125" s="463"/>
      <c r="F125" s="9"/>
      <c r="G125" s="9"/>
      <c r="H125" s="452" t="str">
        <f>IF(comparador8=0,"Do not fill this line",comparador8)</f>
        <v>Do not fill this line</v>
      </c>
      <c r="I125" s="453"/>
      <c r="J125" s="230"/>
      <c r="K125" s="230"/>
      <c r="L125" s="230"/>
      <c r="M125" s="230"/>
      <c r="N125" s="289"/>
      <c r="O125" s="9"/>
      <c r="P125" s="9"/>
      <c r="Q125" s="300" t="str">
        <f>IF(comparador8=0,"Do not fill this line",comparador8)</f>
        <v>Do not fill this line</v>
      </c>
      <c r="R125" s="227">
        <f t="shared" si="10"/>
        <v>0</v>
      </c>
      <c r="S125" s="227">
        <f t="shared" si="7"/>
        <v>0</v>
      </c>
      <c r="T125" s="227">
        <f t="shared" si="8"/>
        <v>0</v>
      </c>
      <c r="U125" s="227">
        <f t="shared" si="9"/>
        <v>0</v>
      </c>
      <c r="V125" s="11"/>
      <c r="W125" s="9"/>
      <c r="X125" s="223" t="str">
        <f>IF(comparador8=0,"Do not fill this line",comparador8)</f>
        <v>Do not fill this line</v>
      </c>
      <c r="Y125" s="227" t="e">
        <f>1-AVERAGEIF(Data!AV$110:AV$121,"&gt;0",Data!AV$110:AV$121)</f>
        <v>#DIV/0!</v>
      </c>
      <c r="Z125" s="227" t="e">
        <f>1-AVERAGEIF(Data!AV$122:AV$133,"&gt;0",Data!AV$122:AV$133)</f>
        <v>#DIV/0!</v>
      </c>
      <c r="AA125" s="227" t="e">
        <f>1-AVERAGEIF(Data!AV$134:AV$145,"&gt;0",Data!AV$134:AV$145)</f>
        <v>#DIV/0!</v>
      </c>
      <c r="AB125" s="227" t="e">
        <f>1-AVERAGEIF(Data!AV$146:AV$157,"&gt;0",Data!AV$146:AV$157)</f>
        <v>#DIV/0!</v>
      </c>
      <c r="AC125" s="11"/>
      <c r="AD125" s="9"/>
      <c r="AE125" s="223" t="str">
        <f>IF(comparador8=0,"Do not fill this line",comparador8)</f>
        <v>Do not fill this line</v>
      </c>
      <c r="AF125" s="227">
        <f>1-IFERROR(IF(AND($H$106=1,J125=""),1,IF(AND($H$106=1,J125=0),0,IF(AND($H$106=1,J125&gt;0),J125,AVERAGEIF(Data!AD$110:AD$121,"&gt;0",Data!AD$110:AD$121)))),1)</f>
        <v>0</v>
      </c>
      <c r="AG125" s="227">
        <f>1-IFERROR(IF(AND($H$106=1,K125=""),1,IF(AND($H$106=1,K125=0),0,IF(AND($H$106=1,K125&gt;0),K125,AVERAGEIF(Data!AD$122:AD$133,"&gt;0",Data!AD$122:AD$133)))),1)</f>
        <v>0</v>
      </c>
      <c r="AH125" s="227">
        <f>1-IFERROR(IF(AND($H$106=1,L125=""),1,IF(AND($H$106=1,L125=0),0,IF(AND($H$106=1,L125&gt;0),L125,AVERAGEIF(Data!AD$134:AD$145,"&gt;0",Data!AD$134:AD$145)))),1)</f>
        <v>0</v>
      </c>
      <c r="AI125" s="227">
        <f>1-IFERROR(IF(AND($H$106=1,M125=""),1,IF(AND($H$106=1,M125=0),0,IF(AND($H$106=1,M125&gt;0),M125,AVERAGEIF(Data!AD$146:AD$157,"&gt;0",Data!AD$146:AD$157)))),1)</f>
        <v>0</v>
      </c>
      <c r="AJ125" s="9"/>
      <c r="AK125" s="9"/>
      <c r="AL125" s="223" t="str">
        <f>IF(comparador8=0,"Do not fill this line",comparador8)</f>
        <v>Do not fill this line</v>
      </c>
      <c r="AM125" s="227">
        <f>IFERROR(IF(H106=1,J125,AVERAGEIF(Data!N$110:N$121,"&gt;0",Data!N$110:N$121)),0)</f>
        <v>0</v>
      </c>
      <c r="AN125" s="227">
        <f>IFERROR(IF(H106=1,K125,AVERAGEIF(Data!N$122:N$133,"&gt;0",Data!N$122:N$133)),0)</f>
        <v>0</v>
      </c>
      <c r="AO125" s="227">
        <f>IFERROR(IF(H106=1,L125,AVERAGEIF(Data!N$134:N$145,"&gt;0",Data!N$134:N$145)),0)</f>
        <v>0</v>
      </c>
      <c r="AP125" s="227">
        <f>IFERROR(IF(H106=1,M125,AVERAGEIF(Data!N$146:N$157,"&gt;0",Data!N$146:N$157)),0)</f>
        <v>0</v>
      </c>
      <c r="AQ125" s="9"/>
    </row>
    <row r="126" spans="3:43">
      <c r="C126" s="300" t="str">
        <f>IF(comparador9=0,"Do not fill this line",comparador9)</f>
        <v>Do not fill this line</v>
      </c>
      <c r="D126" s="462"/>
      <c r="E126" s="463"/>
      <c r="F126" s="9"/>
      <c r="G126" s="9"/>
      <c r="H126" s="452" t="str">
        <f>IF(comparador9=0,"Do not fill this line",comparador9)</f>
        <v>Do not fill this line</v>
      </c>
      <c r="I126" s="453"/>
      <c r="J126" s="230"/>
      <c r="K126" s="230"/>
      <c r="L126" s="230"/>
      <c r="M126" s="230"/>
      <c r="N126" s="289"/>
      <c r="O126" s="9"/>
      <c r="P126" s="9"/>
      <c r="Q126" s="300" t="str">
        <f>IF(comparador9=0,"Do not fill this line",comparador9)</f>
        <v>Do not fill this line</v>
      </c>
      <c r="R126" s="227">
        <f t="shared" si="10"/>
        <v>0</v>
      </c>
      <c r="S126" s="227">
        <f t="shared" si="7"/>
        <v>0</v>
      </c>
      <c r="T126" s="227">
        <f t="shared" si="8"/>
        <v>0</v>
      </c>
      <c r="U126" s="227">
        <f t="shared" si="9"/>
        <v>0</v>
      </c>
      <c r="V126" s="11"/>
      <c r="W126" s="9"/>
      <c r="X126" s="223" t="str">
        <f>IF(comparador9=0,"Do not fill this line",comparador9)</f>
        <v>Do not fill this line</v>
      </c>
      <c r="Y126" s="227" t="e">
        <f>1-AVERAGEIF(Data!AW$110:AW$121,"&gt;0",Data!AW$110:AW$121)</f>
        <v>#DIV/0!</v>
      </c>
      <c r="Z126" s="227" t="e">
        <f>1-AVERAGEIF(Data!AW$122:AW$133,"&gt;0",Data!AW$122:AW$133)</f>
        <v>#DIV/0!</v>
      </c>
      <c r="AA126" s="227" t="e">
        <f>1-AVERAGEIF(Data!AW$134:AW$145,"&gt;0",Data!AW$134:AW$145)</f>
        <v>#DIV/0!</v>
      </c>
      <c r="AB126" s="227" t="e">
        <f>1-AVERAGEIF(Data!AW$146:AW$157,"&gt;0",Data!AW$146:AW$157)</f>
        <v>#DIV/0!</v>
      </c>
      <c r="AC126" s="11"/>
      <c r="AD126" s="9"/>
      <c r="AE126" s="223" t="str">
        <f>IF(comparador9=0,"Do not fill this line",comparador9)</f>
        <v>Do not fill this line</v>
      </c>
      <c r="AF126" s="227">
        <f>1-IFERROR(IF(AND($H$106=1,J126=""),1,IF(AND($H$106=1,J126=0),0,IF(AND($H$106=1,J126&gt;0),J126,AVERAGEIF(Data!AE$110:AE$121,"&gt;0",Data!AE$110:AE$121)))),1)</f>
        <v>0</v>
      </c>
      <c r="AG126" s="227">
        <f>1-IFERROR(IF(AND($H$106=1,K126=""),1,IF(AND($H$106=1,K126=0),0,IF(AND($H$106=1,K126&gt;0),K126,AVERAGEIF(Data!AE$122:AE$133,"&gt;0",Data!AE$122:AE$133)))),1)</f>
        <v>0</v>
      </c>
      <c r="AH126" s="227">
        <f>1-IFERROR(IF(AND($H$106=1,L126=""),1,IF(AND($H$106=1,L126=0),0,IF(AND($H$106=1,L126&gt;0),L126,AVERAGEIF(Data!AE$134:AE$145,"&gt;0",Data!AE$134:AE$145)))),1)</f>
        <v>0</v>
      </c>
      <c r="AI126" s="227">
        <f>1-IFERROR(IF(AND($H$106=1,M126=""),1,IF(AND($H$106=1,M126=0),0,IF(AND($H$106=1,M126&gt;0),M126,AVERAGEIF(Data!AE$146:AE$157,"&gt;0",Data!AE$146:AE$157)))),1)</f>
        <v>0</v>
      </c>
      <c r="AJ126" s="9"/>
      <c r="AK126" s="9"/>
      <c r="AL126" s="223" t="str">
        <f>IF(comparador9=0,"Do not fill this line",comparador9)</f>
        <v>Do not fill this line</v>
      </c>
      <c r="AM126" s="227">
        <f>IFERROR(IF(H106=1,J126,AVERAGEIF(Data!O$110:O$121,"&gt;0",Data!O$110:O$121)),0)</f>
        <v>0</v>
      </c>
      <c r="AN126" s="227">
        <f>IFERROR(IF(H106=1,K126,AVERAGEIF(Data!O$122:O$133,"&gt;0",Data!O$122:O$133)),0)</f>
        <v>0</v>
      </c>
      <c r="AO126" s="227">
        <f>IFERROR(IF(H106=1,L126,AVERAGEIF(Data!O$134:O$145,"&gt;0",Data!O$134:O$145)),0)</f>
        <v>0</v>
      </c>
      <c r="AP126" s="227">
        <f>IFERROR(IF(H106=1,M126,AVERAGEIF(Data!O$146:O$157,"&gt;0",Data!O$146:O$157)),0)</f>
        <v>0</v>
      </c>
      <c r="AQ126" s="9"/>
    </row>
    <row r="127" spans="3:43">
      <c r="C127" s="300" t="str">
        <f>IF(comparador10=0,"Do not fill this line",comparador10)</f>
        <v>Do not fill this line</v>
      </c>
      <c r="D127" s="462"/>
      <c r="E127" s="463"/>
      <c r="F127" s="9"/>
      <c r="G127" s="9"/>
      <c r="H127" s="452" t="str">
        <f>IF(comparador10=0,"Do not fill this line",comparador10)</f>
        <v>Do not fill this line</v>
      </c>
      <c r="I127" s="453"/>
      <c r="J127" s="230"/>
      <c r="K127" s="230"/>
      <c r="L127" s="230"/>
      <c r="M127" s="230"/>
      <c r="N127" s="289"/>
      <c r="O127" s="9"/>
      <c r="P127" s="9"/>
      <c r="Q127" s="300" t="str">
        <f>IF(comparador10=0,"Do not fill this line",comparador10)</f>
        <v>Do not fill this line</v>
      </c>
      <c r="R127" s="227">
        <f>IFERROR(IF(AND(obito=1,$H$102=1),Y127,IF(AND(obito=1,$H$102=2),AM127,IF(AND(obito=1,$H$102=3),AF127,0))),0)</f>
        <v>0</v>
      </c>
      <c r="S127" s="227">
        <f t="shared" si="7"/>
        <v>0</v>
      </c>
      <c r="T127" s="227">
        <f t="shared" si="8"/>
        <v>0</v>
      </c>
      <c r="U127" s="227">
        <f t="shared" si="9"/>
        <v>0</v>
      </c>
      <c r="V127" s="11"/>
      <c r="W127" s="9"/>
      <c r="X127" s="223" t="str">
        <f>IF(comparador10=0,"Do not fill this line",comparador10)</f>
        <v>Do not fill this line</v>
      </c>
      <c r="Y127" s="227" t="e">
        <f>1-AVERAGEIF(Data!AX$110:AX$121,"&gt;0",Data!AX$110:AX$121)</f>
        <v>#DIV/0!</v>
      </c>
      <c r="Z127" s="227" t="e">
        <f>1-AVERAGEIF(Data!AX$122:AX$133,"&gt;0",Data!AX$122:AX$133)</f>
        <v>#DIV/0!</v>
      </c>
      <c r="AA127" s="227" t="e">
        <f>1-AVERAGEIF(Data!AX$134:AX$145,"&gt;0",Data!AX$134:AX$145)</f>
        <v>#DIV/0!</v>
      </c>
      <c r="AB127" s="227" t="e">
        <f>1-AVERAGEIF(Data!AX$146:AX$157,"&gt;0",Data!AX$146:AX$157)</f>
        <v>#DIV/0!</v>
      </c>
      <c r="AC127" s="11"/>
      <c r="AD127" s="9"/>
      <c r="AE127" s="223" t="str">
        <f>IF(comparador10=0,"Do not fill this line",comparador10)</f>
        <v>Do not fill this line</v>
      </c>
      <c r="AF127" s="227">
        <f>1-IFERROR(IF(AND($H$106=1,J127=""),1,IF(AND($H$106=1,J127=0),0,IF(AND($H$106=1,J127&gt;0),J127,AVERAGEIF(Data!AF$110:AF$121,"&gt;0",Data!AF$110:AF$121)))),1)</f>
        <v>0</v>
      </c>
      <c r="AG127" s="227">
        <f>1-IFERROR(IF(AND($H$106=1,K127=""),1,IF(AND($H$106=1,K127=0),0,IF(AND($H$106=1,K127&gt;0),K127,AVERAGEIF(Data!AF$122:AF$133,"&gt;0",Data!AF$122:AF$133)))),1)</f>
        <v>0</v>
      </c>
      <c r="AH127" s="227">
        <f>1-IFERROR(IF(AND($H$106=1,L127=""),1,IF(AND($H$106=1,L127=0),0,IF(AND($H$106=1,L127&gt;0),L127,AVERAGEIF(Data!AF$134:AF$145,"&gt;0",Data!AF$134:AF$145)))),1)</f>
        <v>0</v>
      </c>
      <c r="AI127" s="227">
        <f>1-IFERROR(IF(AND($H$106=1,M127=""),1,IF(AND($H$106=1,M127=0),0,IF(AND($H$106=1,M127&gt;0),M127,AVERAGEIF(Data!AF$146:AF$157,"&gt;0",Data!AF$146:AF$157)))),1)</f>
        <v>0</v>
      </c>
      <c r="AJ127" s="9"/>
      <c r="AK127" s="9"/>
      <c r="AL127" s="223" t="str">
        <f>IF(comparador10=0,"Do not fill this line",comparador10)</f>
        <v>Do not fill this line</v>
      </c>
      <c r="AM127" s="227">
        <f>IFERROR(IF(H106=1,J127,AVERAGEIF(Data!P$110:P$121,"&gt;0",Data!P$110:P$121)),0)</f>
        <v>0</v>
      </c>
      <c r="AN127" s="227">
        <f>IFERROR(IF(H106=1,K127,AVERAGEIF(Data!P$122:P$133,"&gt;0",Data!P$122:P$133)),0)</f>
        <v>0</v>
      </c>
      <c r="AO127" s="227">
        <f>IFERROR(IF(H106=1,L127,AVERAGEIF(Data!P$134:P$145,"&gt;0",Data!P$134:P$145)),0)</f>
        <v>0</v>
      </c>
      <c r="AP127" s="227">
        <f>IFERROR(IF(H106=1,M127,AVERAGEIF(Data!P$146:P$157,"&gt;0",Data!P$146:P$157)),0)</f>
        <v>0</v>
      </c>
      <c r="AQ127" s="9"/>
    </row>
    <row r="128" spans="3:43">
      <c r="C128" s="2"/>
      <c r="D128" s="7"/>
      <c r="E128" s="7"/>
      <c r="F128" s="7"/>
      <c r="G128" s="7"/>
      <c r="H128" s="7"/>
      <c r="I128" s="9"/>
      <c r="J128" s="7"/>
      <c r="K128" s="7"/>
      <c r="L128" s="7"/>
      <c r="M128" s="7"/>
      <c r="N128" s="289"/>
      <c r="O128" s="9"/>
      <c r="P128" s="9"/>
      <c r="Q128" s="11"/>
      <c r="R128" s="11"/>
      <c r="S128" s="11"/>
      <c r="T128" s="11"/>
      <c r="U128" s="11"/>
      <c r="V128" s="11"/>
      <c r="W128" s="9"/>
      <c r="X128" s="11"/>
      <c r="Y128" s="11"/>
      <c r="Z128" s="11"/>
      <c r="AA128" s="11"/>
      <c r="AB128" s="11"/>
      <c r="AC128" s="11"/>
      <c r="AD128" s="9"/>
      <c r="AE128" s="11"/>
      <c r="AF128" s="9"/>
      <c r="AG128" s="9"/>
      <c r="AH128" s="9"/>
      <c r="AI128" s="9"/>
      <c r="AJ128" s="9"/>
      <c r="AK128" s="9"/>
      <c r="AL128" s="9"/>
      <c r="AM128" s="9"/>
      <c r="AN128" s="9"/>
      <c r="AO128" s="9"/>
      <c r="AP128" s="9"/>
      <c r="AQ128" s="9"/>
    </row>
    <row r="129" spans="2:31">
      <c r="C129" s="2"/>
      <c r="D129" s="7"/>
      <c r="E129" s="7"/>
      <c r="F129" s="7"/>
      <c r="G129" s="7"/>
      <c r="H129" s="7"/>
      <c r="I129" s="7"/>
      <c r="J129" s="7"/>
      <c r="K129" s="7"/>
      <c r="L129" s="7"/>
      <c r="M129" s="289"/>
      <c r="N129" s="289"/>
      <c r="O129" s="9"/>
      <c r="P129" s="9"/>
      <c r="Q129" s="11"/>
      <c r="R129" s="11"/>
      <c r="S129" s="11"/>
      <c r="T129" s="11"/>
      <c r="U129" s="11"/>
    </row>
    <row r="130" spans="2:31">
      <c r="C130" s="7"/>
      <c r="D130" s="7"/>
      <c r="E130" s="7"/>
      <c r="F130" s="7"/>
      <c r="G130" s="7"/>
      <c r="H130" s="7"/>
      <c r="I130" s="7"/>
      <c r="J130" s="7"/>
      <c r="K130" s="7"/>
      <c r="L130" s="7"/>
      <c r="M130" s="289"/>
      <c r="N130" s="289"/>
      <c r="O130" s="306"/>
      <c r="P130" s="9"/>
      <c r="Q130" s="11"/>
      <c r="R130" s="11"/>
      <c r="S130" s="11"/>
      <c r="T130" s="11"/>
      <c r="U130" s="11"/>
    </row>
    <row r="131" spans="2:31">
      <c r="C131" s="7"/>
      <c r="D131" s="7"/>
      <c r="E131" s="7"/>
      <c r="F131" s="7"/>
      <c r="G131" s="7"/>
      <c r="H131" s="7"/>
      <c r="I131" s="7"/>
      <c r="J131" s="7"/>
      <c r="K131" s="7"/>
      <c r="L131" s="7"/>
      <c r="M131" s="289"/>
      <c r="N131" s="289"/>
      <c r="O131" s="306"/>
      <c r="P131" s="9"/>
      <c r="Q131" s="11"/>
      <c r="R131" s="11"/>
      <c r="S131" s="11"/>
      <c r="T131" s="11"/>
      <c r="U131" s="11"/>
    </row>
    <row r="132" spans="2:31">
      <c r="C132" s="9"/>
      <c r="D132" s="9"/>
      <c r="E132" s="9"/>
      <c r="F132" s="9"/>
      <c r="G132" s="9"/>
      <c r="H132" s="9"/>
      <c r="I132" s="7"/>
      <c r="J132" s="7"/>
      <c r="K132" s="7"/>
      <c r="L132" s="7"/>
      <c r="O132" s="9"/>
      <c r="P132" s="9"/>
      <c r="Q132" s="11"/>
      <c r="R132" s="11"/>
      <c r="S132" s="11"/>
      <c r="T132" s="11"/>
      <c r="U132" s="11"/>
    </row>
    <row r="137" spans="2:31">
      <c r="C137" s="7"/>
      <c r="D137" s="7"/>
      <c r="E137" s="7"/>
      <c r="F137" s="7"/>
      <c r="G137" s="7"/>
      <c r="H137" s="7"/>
      <c r="I137" s="7"/>
      <c r="J137" s="7"/>
      <c r="K137" s="7"/>
      <c r="L137" s="7"/>
      <c r="M137" s="142"/>
      <c r="N137" s="142"/>
    </row>
    <row r="138" spans="2:31">
      <c r="C138" s="65"/>
      <c r="D138" s="65"/>
      <c r="E138" s="65"/>
      <c r="F138" s="65"/>
      <c r="G138" s="65"/>
      <c r="H138" s="65"/>
      <c r="I138" s="65"/>
      <c r="J138" s="65"/>
      <c r="K138" s="65"/>
      <c r="L138" s="65"/>
      <c r="M138" s="65"/>
      <c r="N138" s="65"/>
    </row>
    <row r="139" spans="2:31">
      <c r="C139" s="404" t="s">
        <v>224</v>
      </c>
      <c r="D139" s="404"/>
      <c r="E139" s="404"/>
      <c r="F139" s="404"/>
      <c r="G139" s="404"/>
      <c r="H139" s="404"/>
      <c r="I139" s="404"/>
      <c r="J139" s="404"/>
      <c r="K139" s="404"/>
      <c r="L139" s="404"/>
      <c r="M139" s="404"/>
      <c r="N139" s="404"/>
    </row>
    <row r="140" spans="2:31">
      <c r="C140" s="404"/>
      <c r="D140" s="404"/>
      <c r="E140" s="404"/>
      <c r="F140" s="404"/>
      <c r="G140" s="404"/>
      <c r="H140" s="404"/>
      <c r="I140" s="404"/>
      <c r="J140" s="404"/>
      <c r="K140" s="404"/>
      <c r="L140" s="404"/>
      <c r="M140" s="404"/>
      <c r="N140" s="404"/>
    </row>
    <row r="141" spans="2:31" ht="85.95" customHeight="1">
      <c r="B141" s="403" t="e" vm="1">
        <v>#VALUE!</v>
      </c>
      <c r="C141" s="403"/>
      <c r="D141" s="403"/>
      <c r="E141" s="403"/>
      <c r="F141" s="403"/>
      <c r="G141" s="403"/>
      <c r="H141" s="403"/>
      <c r="I141" s="403"/>
      <c r="J141" s="403"/>
      <c r="K141" s="403"/>
      <c r="L141" s="403"/>
      <c r="M141" s="403"/>
      <c r="N141" s="3"/>
      <c r="Q141" s="3"/>
      <c r="R141" s="3"/>
      <c r="S141" s="3"/>
      <c r="T141" s="3"/>
      <c r="U141" s="3"/>
      <c r="V141" s="3"/>
      <c r="X141" s="3"/>
      <c r="Y141" s="3"/>
      <c r="Z141" s="3"/>
      <c r="AA141" s="3"/>
      <c r="AB141" s="3"/>
      <c r="AC141" s="3"/>
      <c r="AE141" s="3"/>
    </row>
  </sheetData>
  <sheetProtection algorithmName="SHA-512" hashValue="zqyH7KwBFoU5dVct2o/MFt8+B4uVQeh/UzyYRoexg2TgaCiEiUD8jqVprfIgXcZLA7FaLWpPdegtdduXW6W3Jg==" saltValue="Upu5T8upEvER9QWUzQ7fNA==" spinCount="100000" sheet="1" scenarios="1" formatCells="0" formatColumns="0" formatRows="0"/>
  <mergeCells count="104">
    <mergeCell ref="AL61:AP62"/>
    <mergeCell ref="Q61:U62"/>
    <mergeCell ref="H63:I64"/>
    <mergeCell ref="H69:I69"/>
    <mergeCell ref="H65:I65"/>
    <mergeCell ref="X61:AB62"/>
    <mergeCell ref="AE63:AE64"/>
    <mergeCell ref="I54:I55"/>
    <mergeCell ref="K54:M54"/>
    <mergeCell ref="J69:M69"/>
    <mergeCell ref="J64:M64"/>
    <mergeCell ref="J117:M117"/>
    <mergeCell ref="J112:M112"/>
    <mergeCell ref="H111:I112"/>
    <mergeCell ref="H113:I113"/>
    <mergeCell ref="H114:I114"/>
    <mergeCell ref="Q109:U110"/>
    <mergeCell ref="H77:I77"/>
    <mergeCell ref="H78:I78"/>
    <mergeCell ref="H79:I79"/>
    <mergeCell ref="C81:H83"/>
    <mergeCell ref="H73:I73"/>
    <mergeCell ref="H74:I74"/>
    <mergeCell ref="H75:I75"/>
    <mergeCell ref="H66:I66"/>
    <mergeCell ref="H67:I67"/>
    <mergeCell ref="H68:I68"/>
    <mergeCell ref="H70:I70"/>
    <mergeCell ref="H71:I71"/>
    <mergeCell ref="H72:I72"/>
    <mergeCell ref="C54:C55"/>
    <mergeCell ref="C40:C41"/>
    <mergeCell ref="D69:E69"/>
    <mergeCell ref="D65:E65"/>
    <mergeCell ref="D66:E66"/>
    <mergeCell ref="D67:E67"/>
    <mergeCell ref="D68:E68"/>
    <mergeCell ref="E40:G40"/>
    <mergeCell ref="C58:C59"/>
    <mergeCell ref="E58:G58"/>
    <mergeCell ref="C63:C64"/>
    <mergeCell ref="E54:G54"/>
    <mergeCell ref="D63:E64"/>
    <mergeCell ref="D72:E72"/>
    <mergeCell ref="Q63:Q64"/>
    <mergeCell ref="X63:X64"/>
    <mergeCell ref="AE61:AI62"/>
    <mergeCell ref="C106:C107"/>
    <mergeCell ref="E106:G106"/>
    <mergeCell ref="D114:E114"/>
    <mergeCell ref="C91:C92"/>
    <mergeCell ref="E91:G91"/>
    <mergeCell ref="C102:C103"/>
    <mergeCell ref="E102:G102"/>
    <mergeCell ref="D78:E78"/>
    <mergeCell ref="D79:E79"/>
    <mergeCell ref="C111:C112"/>
    <mergeCell ref="D111:E112"/>
    <mergeCell ref="D113:E113"/>
    <mergeCell ref="D73:E73"/>
    <mergeCell ref="D74:E74"/>
    <mergeCell ref="D75:E75"/>
    <mergeCell ref="D76:E76"/>
    <mergeCell ref="D77:E77"/>
    <mergeCell ref="D70:E70"/>
    <mergeCell ref="D71:E71"/>
    <mergeCell ref="H76:I76"/>
    <mergeCell ref="D125:E125"/>
    <mergeCell ref="D126:E126"/>
    <mergeCell ref="D127:E127"/>
    <mergeCell ref="D120:E120"/>
    <mergeCell ref="D121:E121"/>
    <mergeCell ref="D122:E122"/>
    <mergeCell ref="D123:E123"/>
    <mergeCell ref="D124:E124"/>
    <mergeCell ref="D115:E115"/>
    <mergeCell ref="D116:E116"/>
    <mergeCell ref="D117:E117"/>
    <mergeCell ref="D118:E118"/>
    <mergeCell ref="D119:E119"/>
    <mergeCell ref="C10:H10"/>
    <mergeCell ref="C17:H17"/>
    <mergeCell ref="C139:N140"/>
    <mergeCell ref="B141:M141"/>
    <mergeCell ref="X111:X112"/>
    <mergeCell ref="AE111:AE112"/>
    <mergeCell ref="AL111:AL112"/>
    <mergeCell ref="H126:I126"/>
    <mergeCell ref="H127:I127"/>
    <mergeCell ref="X109:AB110"/>
    <mergeCell ref="AE109:AI110"/>
    <mergeCell ref="AL109:AP110"/>
    <mergeCell ref="H117:I117"/>
    <mergeCell ref="Q111:Q112"/>
    <mergeCell ref="H121:I121"/>
    <mergeCell ref="H122:I122"/>
    <mergeCell ref="H123:I123"/>
    <mergeCell ref="H124:I124"/>
    <mergeCell ref="H125:I125"/>
    <mergeCell ref="H115:I115"/>
    <mergeCell ref="H116:I116"/>
    <mergeCell ref="H118:I118"/>
    <mergeCell ref="H119:I119"/>
    <mergeCell ref="H120:I120"/>
  </mergeCells>
  <phoneticPr fontId="2" type="noConversion"/>
  <conditionalFormatting sqref="D14:H15">
    <cfRule type="expression" dxfId="62" priority="69" stopIfTrue="1">
      <formula>$C14="Do not fill this line"</formula>
    </cfRule>
  </conditionalFormatting>
  <conditionalFormatting sqref="D20:H28">
    <cfRule type="expression" dxfId="61" priority="68" stopIfTrue="1">
      <formula>$C20="Do not fill this line"</formula>
    </cfRule>
  </conditionalFormatting>
  <conditionalFormatting sqref="C110:E127">
    <cfRule type="expression" dxfId="60" priority="50">
      <formula>$H$102&gt;1</formula>
    </cfRule>
  </conditionalFormatting>
  <conditionalFormatting sqref="H110:N112 H115:N117 H113:I114 N113:N114 H119:N128 H118:I118 N118">
    <cfRule type="expression" dxfId="59" priority="45">
      <formula>$H$102=1</formula>
    </cfRule>
  </conditionalFormatting>
  <conditionalFormatting sqref="B61:F80">
    <cfRule type="expression" dxfId="58" priority="53">
      <formula>OR(uso=2,uso=3)</formula>
    </cfRule>
  </conditionalFormatting>
  <conditionalFormatting sqref="G62:N64 G69:N69 G65:I68 N65:N68 G80:N80 G70:I79 N70:N79">
    <cfRule type="expression" dxfId="57" priority="37">
      <formula>IF($H$58=2,TRUE,FALSE)</formula>
    </cfRule>
    <cfRule type="expression" dxfId="56" priority="38" stopIfTrue="1">
      <formula>OR(uso=1,uso=4)</formula>
    </cfRule>
  </conditionalFormatting>
  <conditionalFormatting sqref="C105:I108">
    <cfRule type="expression" dxfId="55" priority="63">
      <formula>IF($H$102=1,TRUE,FALSE)</formula>
    </cfRule>
  </conditionalFormatting>
  <conditionalFormatting sqref="C101:N112 C115:N117 C113:I114 N113:N114 C119:N129 C118:I118 N118">
    <cfRule type="expression" dxfId="54" priority="43">
      <formula>IF($H$91=2,TRUE,FALSE)</formula>
    </cfRule>
  </conditionalFormatting>
  <conditionalFormatting sqref="C69:M69 C65:I68 C80:M80 C70:I79 C58:M64 C54:J57 L55:M57 C52:M53">
    <cfRule type="expression" dxfId="53" priority="35">
      <formula>IF($H$40=2,TRUE,FALSE)</formula>
    </cfRule>
  </conditionalFormatting>
  <conditionalFormatting sqref="C57:I61">
    <cfRule type="expression" dxfId="52" priority="60">
      <formula>IF(OR(uso=1,uso=4),TRUE,FALSE)</formula>
    </cfRule>
  </conditionalFormatting>
  <conditionalFormatting sqref="G109:N112 G115:N117 G113:I114 N113:N114 G119:N129 G118:I118 N118">
    <cfRule type="expression" dxfId="51" priority="44">
      <formula>IF($H$106=2,TRUE,FALSE)</formula>
    </cfRule>
  </conditionalFormatting>
  <conditionalFormatting sqref="D67:E67">
    <cfRule type="expression" dxfId="50" priority="65">
      <formula>IF(C67="Do not fill this line",TRUE,FALSE)</formula>
    </cfRule>
  </conditionalFormatting>
  <conditionalFormatting sqref="D68:E68">
    <cfRule type="expression" dxfId="49" priority="61">
      <formula>IF(C68="Do not fill this line",TRUE,FALSE)</formula>
    </cfRule>
  </conditionalFormatting>
  <conditionalFormatting sqref="D68:E68">
    <cfRule type="expression" dxfId="48" priority="57">
      <formula>IF(C68="Do not fill this line",TRUE,FALSE)</formula>
    </cfRule>
  </conditionalFormatting>
  <conditionalFormatting sqref="D70:E79">
    <cfRule type="expression" dxfId="47" priority="56">
      <formula>IF(C70="Do not fill this line",TRUE,FALSE)</formula>
    </cfRule>
  </conditionalFormatting>
  <conditionalFormatting sqref="D70:E79">
    <cfRule type="expression" dxfId="46" priority="55">
      <formula>IF(C70="Do not fill this line",TRUE,FALSE)</formula>
    </cfRule>
  </conditionalFormatting>
  <conditionalFormatting sqref="D113:E113">
    <cfRule type="expression" dxfId="45" priority="67">
      <formula>IF(C113="Do not fill this line",TRUE,FALSE)</formula>
    </cfRule>
  </conditionalFormatting>
  <conditionalFormatting sqref="D114:E116">
    <cfRule type="expression" dxfId="44" priority="62">
      <formula>IF(C114="Do not fill this line",TRUE,FALSE)</formula>
    </cfRule>
  </conditionalFormatting>
  <conditionalFormatting sqref="D118:E127">
    <cfRule type="expression" dxfId="43" priority="52">
      <formula>IF(C118="Do not fill this line",TRUE,FALSE)</formula>
    </cfRule>
  </conditionalFormatting>
  <conditionalFormatting sqref="J115:M116">
    <cfRule type="expression" dxfId="42" priority="66">
      <formula>IF($H115="Do not fill this line",TRUE,FALSE)</formula>
    </cfRule>
  </conditionalFormatting>
  <conditionalFormatting sqref="J115:M115">
    <cfRule type="expression" dxfId="41" priority="51">
      <formula>IF(H115="Do not fill this line",TRUE,FALSE)</formula>
    </cfRule>
  </conditionalFormatting>
  <conditionalFormatting sqref="J116:M116">
    <cfRule type="expression" dxfId="40" priority="49">
      <formula>IF(H116="Do not fill this line",TRUE,FALSE)</formula>
    </cfRule>
  </conditionalFormatting>
  <conditionalFormatting sqref="J119:J127">
    <cfRule type="expression" dxfId="39" priority="48">
      <formula>IF(H119="Do not fill this line",TRUE,FALSE)</formula>
    </cfRule>
  </conditionalFormatting>
  <conditionalFormatting sqref="J119:M127">
    <cfRule type="expression" dxfId="38" priority="47">
      <formula>IF($H119="Do not fill this line",TRUE,FALSE)</formula>
    </cfRule>
  </conditionalFormatting>
  <conditionalFormatting sqref="J119:M127">
    <cfRule type="expression" dxfId="37" priority="46">
      <formula>IF(H119="Do not fill this line",TRUE,FALSE)</formula>
    </cfRule>
  </conditionalFormatting>
  <conditionalFormatting sqref="J67:M68">
    <cfRule type="expression" dxfId="36" priority="64">
      <formula>IF(H67="Do not fill this line",TRUE,FALSE)</formula>
    </cfRule>
  </conditionalFormatting>
  <conditionalFormatting sqref="J67:M68">
    <cfRule type="expression" dxfId="35" priority="59">
      <formula>IF($H67="Do not fill this line",TRUE,FALSE)</formula>
    </cfRule>
  </conditionalFormatting>
  <conditionalFormatting sqref="J67:M68">
    <cfRule type="expression" dxfId="34" priority="54">
      <formula>IF(H67="Do not fill this line",TRUE,FALSE)</formula>
    </cfRule>
  </conditionalFormatting>
  <conditionalFormatting sqref="J71:M79">
    <cfRule type="expression" dxfId="33" priority="42">
      <formula>IF(H71="Do not fill this line",TRUE,FALSE)</formula>
    </cfRule>
  </conditionalFormatting>
  <conditionalFormatting sqref="J71:M79">
    <cfRule type="expression" dxfId="32" priority="41">
      <formula>IF($H71="Do not fill this line",TRUE,FALSE)</formula>
    </cfRule>
  </conditionalFormatting>
  <conditionalFormatting sqref="J71:M79">
    <cfRule type="expression" dxfId="31" priority="40">
      <formula>IF(H71="Do not fill this line",TRUE,FALSE)</formula>
    </cfRule>
  </conditionalFormatting>
  <conditionalFormatting sqref="J67:M69 J71:M79">
    <cfRule type="expression" dxfId="30" priority="28">
      <formula>$H$58=2</formula>
    </cfRule>
    <cfRule type="expression" dxfId="29" priority="29">
      <formula>OR(uso=1,uso=4)</formula>
    </cfRule>
    <cfRule type="expression" dxfId="28" priority="30">
      <formula>$H$40=2</formula>
    </cfRule>
  </conditionalFormatting>
  <conditionalFormatting sqref="C81">
    <cfRule type="expression" dxfId="27" priority="27">
      <formula>OR(uso=2,uso=3)</formula>
    </cfRule>
  </conditionalFormatting>
  <conditionalFormatting sqref="C81">
    <cfRule type="expression" dxfId="26" priority="26">
      <formula>IF($H$40=2,TRUE,FALSE)</formula>
    </cfRule>
  </conditionalFormatting>
  <conditionalFormatting sqref="D12:H13">
    <cfRule type="expression" dxfId="25" priority="25" stopIfTrue="1">
      <formula>$C12="Do not fill this line"</formula>
    </cfRule>
  </conditionalFormatting>
  <conditionalFormatting sqref="D19:H19">
    <cfRule type="expression" dxfId="24" priority="24" stopIfTrue="1">
      <formula>$C19="Do not fill this line"</formula>
    </cfRule>
  </conditionalFormatting>
  <conditionalFormatting sqref="J65:M66">
    <cfRule type="expression" dxfId="23" priority="23">
      <formula>IF(H65="Do not fill this line",TRUE,FALSE)</formula>
    </cfRule>
  </conditionalFormatting>
  <conditionalFormatting sqref="J65:M66">
    <cfRule type="expression" dxfId="22" priority="22">
      <formula>IF($H65="Do not fill this line",TRUE,FALSE)</formula>
    </cfRule>
  </conditionalFormatting>
  <conditionalFormatting sqref="J65:M66">
    <cfRule type="expression" dxfId="21" priority="21">
      <formula>IF(H65="Do not fill this line",TRUE,FALSE)</formula>
    </cfRule>
  </conditionalFormatting>
  <conditionalFormatting sqref="J65:M66">
    <cfRule type="expression" dxfId="20" priority="18">
      <formula>$H$58=2</formula>
    </cfRule>
    <cfRule type="expression" dxfId="19" priority="19">
      <formula>OR(uso=1,uso=4)</formula>
    </cfRule>
    <cfRule type="expression" dxfId="18" priority="20">
      <formula>$H$40=2</formula>
    </cfRule>
  </conditionalFormatting>
  <conditionalFormatting sqref="J70:M70">
    <cfRule type="expression" dxfId="17" priority="17">
      <formula>IF(H70="Do not fill this line",TRUE,FALSE)</formula>
    </cfRule>
  </conditionalFormatting>
  <conditionalFormatting sqref="J70:M70">
    <cfRule type="expression" dxfId="16" priority="16">
      <formula>IF($H70="Do not fill this line",TRUE,FALSE)</formula>
    </cfRule>
  </conditionalFormatting>
  <conditionalFormatting sqref="J70:M70">
    <cfRule type="expression" dxfId="15" priority="15">
      <formula>IF(H70="Do not fill this line",TRUE,FALSE)</formula>
    </cfRule>
  </conditionalFormatting>
  <conditionalFormatting sqref="J70:M70">
    <cfRule type="expression" dxfId="14" priority="12">
      <formula>$H$58=2</formula>
    </cfRule>
    <cfRule type="expression" dxfId="13" priority="13">
      <formula>OR(uso=1,uso=4)</formula>
    </cfRule>
    <cfRule type="expression" dxfId="12" priority="14">
      <formula>$H$40=2</formula>
    </cfRule>
  </conditionalFormatting>
  <conditionalFormatting sqref="J113:M114">
    <cfRule type="expression" dxfId="11" priority="9">
      <formula>$H$102=1</formula>
    </cfRule>
  </conditionalFormatting>
  <conditionalFormatting sqref="J113:M114">
    <cfRule type="expression" dxfId="10" priority="7">
      <formula>IF($H$91=2,TRUE,FALSE)</formula>
    </cfRule>
  </conditionalFormatting>
  <conditionalFormatting sqref="J113:M114">
    <cfRule type="expression" dxfId="9" priority="8">
      <formula>IF($H$106=2,TRUE,FALSE)</formula>
    </cfRule>
  </conditionalFormatting>
  <conditionalFormatting sqref="J113:M114">
    <cfRule type="expression" dxfId="8" priority="11">
      <formula>IF($H113="Do not fill this line",TRUE,FALSE)</formula>
    </cfRule>
  </conditionalFormatting>
  <conditionalFormatting sqref="J114:M114">
    <cfRule type="expression" dxfId="7" priority="10">
      <formula>IF(H114="Do not fill this line",TRUE,FALSE)</formula>
    </cfRule>
  </conditionalFormatting>
  <conditionalFormatting sqref="J118:M118">
    <cfRule type="expression" dxfId="6" priority="3">
      <formula>$H$102=1</formula>
    </cfRule>
  </conditionalFormatting>
  <conditionalFormatting sqref="J118:M118">
    <cfRule type="expression" dxfId="5" priority="1">
      <formula>IF($H$91=2,TRUE,FALSE)</formula>
    </cfRule>
  </conditionalFormatting>
  <conditionalFormatting sqref="J118:M118">
    <cfRule type="expression" dxfId="4" priority="2">
      <formula>IF($H$106=2,TRUE,FALSE)</formula>
    </cfRule>
  </conditionalFormatting>
  <conditionalFormatting sqref="J118">
    <cfRule type="expression" dxfId="3" priority="6">
      <formula>IF(H118="Do not fill this line",TRUE,FALSE)</formula>
    </cfRule>
  </conditionalFormatting>
  <conditionalFormatting sqref="J118:M118">
    <cfRule type="expression" dxfId="2" priority="5">
      <formula>IF($H118="Do not fill this line",TRUE,FALSE)</formula>
    </cfRule>
  </conditionalFormatting>
  <conditionalFormatting sqref="J118:M118">
    <cfRule type="expression" dxfId="1" priority="4">
      <formula>IF(H118="Do not fill this line",TRUE,FALSE)</formula>
    </cfRule>
  </conditionalFormatting>
  <dataValidations count="7">
    <dataValidation type="list" allowBlank="1" showInputMessage="1" showErrorMessage="1" sqref="E102:G102" xr:uid="{0A46129E-B32B-40DA-9EBB-905DAFB7A3C8}">
      <formula1>"Median survival,Cumulative mortality rate,Overall survival"</formula1>
    </dataValidation>
    <dataValidation type="list" allowBlank="1" showInputMessage="1" showErrorMessage="1" sqref="E91:G91 E40:G40 J54" xr:uid="{AA7AFB32-ED8C-4F8B-9A30-013D835D2286}">
      <formula1>"Yes,No"</formula1>
    </dataValidation>
    <dataValidation type="list" allowBlank="1" showInputMessage="1" showErrorMessage="1" sqref="E54:G54" xr:uid="{CEF5F761-9A55-45D4-B951-E389D1E3CC7C}">
      <formula1>"Median usage time,Discontinuation rate,Progression-free survival,Median progression-free survival"</formula1>
    </dataValidation>
    <dataValidation type="list" allowBlank="1" showInputMessage="1" showErrorMessage="1" sqref="E58:G58 E106:G106" xr:uid="{D0323927-5CD0-9449-9BFC-63B79D78F4C7}">
      <formula1>"Annual data,Other data frequency"</formula1>
    </dataValidation>
    <dataValidation type="decimal" allowBlank="1" showInputMessage="1" showErrorMessage="1" error="Enter the number of months of treatment use per year (from 0 to 12)." sqref="D19:H28 D12:H15" xr:uid="{677DF6AE-A3DC-F342-8A09-9055854BED38}">
      <formula1>0</formula1>
      <formula2>12</formula2>
    </dataValidation>
    <dataValidation type="decimal" operator="greaterThan" allowBlank="1" showInputMessage="1" showErrorMessage="1" sqref="D65:E68 D70:E79 D113:E116 D118:E127" xr:uid="{BF30B2A5-ACDD-F146-AFF1-AF1308CA6A2D}">
      <formula1>0</formula1>
    </dataValidation>
    <dataValidation type="decimal" allowBlank="1" showInputMessage="1" showErrorMessage="1" sqref="J65:M68 J70:M79 J113:M116 J118:M127" xr:uid="{E96F6BE2-BDFE-A543-9085-6B2D57411D70}">
      <formula1>0</formula1>
      <formula2>1</formula2>
    </dataValidation>
  </dataValidations>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9D641-CB78-45F3-8E6B-38CA72C6D6FA}">
  <sheetPr codeName="Planilha17">
    <tabColor rgb="FF726C5A"/>
  </sheetPr>
  <dimension ref="A1:X98"/>
  <sheetViews>
    <sheetView showGridLines="0" showRowColHeaders="0" tabSelected="1" zoomScaleNormal="100" workbookViewId="0">
      <selection activeCell="R10" sqref="R10"/>
    </sheetView>
  </sheetViews>
  <sheetFormatPr defaultColWidth="8.77734375" defaultRowHeight="14.4"/>
  <cols>
    <col min="1" max="1" width="5.44140625" style="3" customWidth="1"/>
    <col min="2" max="2" width="28.44140625" style="3" customWidth="1"/>
    <col min="3" max="3" width="10.6640625" style="3" customWidth="1"/>
    <col min="4" max="9" width="18.109375" style="3" customWidth="1"/>
    <col min="10" max="10" width="6.77734375" style="3" customWidth="1"/>
    <col min="11" max="11" width="21.44140625" style="3" customWidth="1"/>
    <col min="12" max="21" width="8.77734375" style="3" customWidth="1"/>
    <col min="22" max="22" width="17.33203125" style="3" customWidth="1"/>
    <col min="23" max="23" width="21.77734375" style="3" customWidth="1"/>
    <col min="24" max="24" width="17.6640625" style="3" customWidth="1"/>
    <col min="25" max="44" width="8.77734375" style="3" customWidth="1"/>
    <col min="45" max="16384" width="8.77734375" style="3"/>
  </cols>
  <sheetData>
    <row r="1" spans="1:24" s="130" customFormat="1" ht="33.6">
      <c r="A1" s="127"/>
      <c r="B1" s="128" t="str">
        <f>Introduction!$B$1</f>
        <v>Budget impact analysis of treatments for Advanced cancer</v>
      </c>
      <c r="C1" s="128"/>
      <c r="D1" s="129"/>
      <c r="E1" s="127"/>
      <c r="F1" s="127"/>
      <c r="G1" s="127"/>
      <c r="H1" s="127"/>
      <c r="I1" s="127"/>
      <c r="J1" s="127"/>
      <c r="K1" s="127"/>
      <c r="L1" s="127"/>
      <c r="M1" s="127"/>
      <c r="N1" s="127"/>
      <c r="O1" s="127"/>
      <c r="P1" s="127"/>
      <c r="Q1" s="127"/>
      <c r="R1" s="127"/>
      <c r="S1" s="127"/>
      <c r="T1" s="127"/>
      <c r="U1" s="127"/>
      <c r="V1" s="127"/>
      <c r="W1" s="127"/>
      <c r="X1" s="127"/>
    </row>
    <row r="2" spans="1:24" s="130" customFormat="1" ht="18">
      <c r="A2" s="127"/>
      <c r="B2" s="131"/>
      <c r="C2" s="131"/>
      <c r="D2" s="132"/>
      <c r="E2" s="133"/>
      <c r="F2" s="133"/>
      <c r="G2" s="133"/>
      <c r="H2" s="133"/>
      <c r="I2" s="133"/>
      <c r="J2" s="133"/>
      <c r="K2" s="133"/>
      <c r="L2" s="133"/>
      <c r="M2" s="127"/>
      <c r="N2" s="127"/>
      <c r="O2" s="127"/>
      <c r="P2" s="127"/>
      <c r="Q2" s="127"/>
      <c r="R2" s="127"/>
      <c r="S2" s="127"/>
      <c r="T2" s="127"/>
      <c r="U2" s="127"/>
      <c r="V2" s="127"/>
      <c r="W2" s="127"/>
      <c r="X2" s="127"/>
    </row>
    <row r="3" spans="1:24" s="134" customFormat="1" ht="2.25" customHeight="1">
      <c r="D3" s="135"/>
    </row>
    <row r="4" spans="1:24" ht="15.6">
      <c r="A4" s="9"/>
      <c r="B4" s="9"/>
      <c r="C4" s="9"/>
      <c r="D4" s="9"/>
      <c r="E4" s="9"/>
      <c r="F4" s="9"/>
      <c r="G4" s="9"/>
      <c r="H4" s="9"/>
      <c r="I4" s="9"/>
      <c r="J4" s="9"/>
      <c r="K4" s="9"/>
      <c r="L4" s="9"/>
      <c r="M4" s="9"/>
      <c r="N4" s="9"/>
      <c r="O4" s="9"/>
      <c r="P4" s="9"/>
      <c r="Q4" s="9"/>
      <c r="R4" s="9"/>
      <c r="S4" s="9"/>
      <c r="T4" s="9"/>
      <c r="U4" s="274"/>
      <c r="V4" s="9"/>
      <c r="W4" s="9"/>
      <c r="X4" s="9"/>
    </row>
    <row r="5" spans="1:24" s="137" customFormat="1" ht="18">
      <c r="A5" s="136"/>
      <c r="B5" s="140" t="s">
        <v>183</v>
      </c>
      <c r="D5" s="138"/>
      <c r="F5" s="43"/>
    </row>
    <row r="6" spans="1:24" s="137" customFormat="1" ht="15" customHeight="1">
      <c r="A6" s="136"/>
      <c r="B6" s="136"/>
      <c r="D6" s="136"/>
      <c r="E6" s="136"/>
      <c r="F6" s="43"/>
    </row>
    <row r="7" spans="1:24" customFormat="1">
      <c r="D7" s="9"/>
    </row>
    <row r="8" spans="1:24" customFormat="1">
      <c r="D8" s="189">
        <f>ano_1</f>
        <v>2026</v>
      </c>
      <c r="E8" s="189">
        <f>ano_1+1</f>
        <v>2027</v>
      </c>
      <c r="F8" s="189">
        <f>ano_1+2</f>
        <v>2028</v>
      </c>
      <c r="G8" s="189">
        <f>ano_1+3</f>
        <v>2029</v>
      </c>
      <c r="H8" s="189">
        <f>ano_1+4</f>
        <v>2030</v>
      </c>
      <c r="J8" s="9"/>
      <c r="K8" s="189" t="s">
        <v>190</v>
      </c>
    </row>
    <row r="9" spans="1:24" ht="15.6">
      <c r="A9" s="9"/>
      <c r="B9" s="10"/>
      <c r="C9" s="275" t="s">
        <v>189</v>
      </c>
      <c r="D9" s="199">
        <f>IF(demanda="Enter data manually",Population!D27,IF(demanda="Epidemiological method",Population!E89,Population!D67))</f>
        <v>684.99247650000007</v>
      </c>
      <c r="E9" s="199">
        <f>IF(demanda="Enter data manually",Population!E27,IF(demanda="Epidemiological method",Population!F89,Population!E67))</f>
        <v>690.371840625</v>
      </c>
      <c r="F9" s="199">
        <f>IF(demanda="Enter data manually",Population!F27,IF(demanda="Epidemiological method",Population!G89,Population!F67))</f>
        <v>695.59661162500004</v>
      </c>
      <c r="G9" s="199">
        <f>IF(demanda="Enter data manually",Population!G27,IF(demanda="Epidemiological method",Population!H89,Population!G67))</f>
        <v>700.84444662500005</v>
      </c>
      <c r="H9" s="199">
        <f>IF(demanda="Enter data manually",Population!H27,IF(demanda="Epidemiological method",Population!I89,Population!H67))</f>
        <v>706.19335325000009</v>
      </c>
      <c r="I9" s="9"/>
      <c r="J9" s="9"/>
      <c r="K9" s="199">
        <f>AVERAGE(D9:H9)</f>
        <v>695.59974572500005</v>
      </c>
      <c r="L9" s="9"/>
      <c r="M9" s="9"/>
      <c r="N9" s="9"/>
      <c r="O9" s="9"/>
      <c r="P9" s="9"/>
      <c r="Q9" s="9"/>
      <c r="R9" s="9"/>
      <c r="S9" s="9"/>
      <c r="T9" s="9"/>
      <c r="U9" s="9"/>
      <c r="V9" s="9"/>
      <c r="W9" s="276"/>
      <c r="X9" s="9"/>
    </row>
    <row r="10" spans="1:24">
      <c r="A10" s="9"/>
      <c r="B10" s="9"/>
      <c r="C10" s="9"/>
      <c r="D10" s="43"/>
      <c r="E10" s="9"/>
      <c r="F10" s="9"/>
      <c r="G10" s="9"/>
      <c r="H10" s="9"/>
      <c r="I10" s="9"/>
      <c r="J10" s="9"/>
      <c r="K10" s="9"/>
      <c r="L10" s="9"/>
      <c r="M10" s="9"/>
      <c r="N10" s="9"/>
      <c r="O10" s="9"/>
      <c r="P10" s="9"/>
      <c r="Q10" s="9"/>
      <c r="R10" s="9"/>
      <c r="S10" s="9"/>
      <c r="T10" s="9"/>
      <c r="U10" s="9"/>
      <c r="V10" s="9"/>
      <c r="W10" s="9"/>
      <c r="X10" s="9"/>
    </row>
    <row r="11" spans="1:24">
      <c r="A11" s="9"/>
      <c r="B11" s="9"/>
      <c r="C11" s="9"/>
      <c r="D11" s="43"/>
      <c r="E11" s="9"/>
      <c r="F11" s="9"/>
      <c r="G11" s="9"/>
      <c r="H11" s="9"/>
      <c r="I11" s="9"/>
      <c r="J11" s="9"/>
      <c r="K11" s="9"/>
      <c r="L11" s="9"/>
      <c r="M11" s="9"/>
      <c r="N11" s="9"/>
      <c r="O11" s="9"/>
      <c r="P11" s="9"/>
      <c r="Q11" s="9"/>
      <c r="R11" s="9"/>
      <c r="S11" s="9"/>
      <c r="T11" s="9"/>
      <c r="U11" s="9"/>
      <c r="V11" s="9"/>
      <c r="W11" s="9"/>
      <c r="X11" s="9"/>
    </row>
    <row r="12" spans="1:24">
      <c r="A12" s="9"/>
      <c r="B12" s="418" t="s">
        <v>333</v>
      </c>
      <c r="C12" s="418"/>
      <c r="D12" s="7"/>
      <c r="E12"/>
      <c r="F12" s="7"/>
      <c r="G12" s="9"/>
      <c r="H12" s="9"/>
      <c r="I12" s="9"/>
      <c r="J12" s="9"/>
      <c r="K12" s="9"/>
      <c r="L12" s="9"/>
      <c r="M12" s="9"/>
      <c r="N12" s="9"/>
      <c r="O12" s="9"/>
      <c r="P12" s="9"/>
      <c r="Q12" s="9"/>
      <c r="R12" s="9"/>
      <c r="S12" s="9"/>
      <c r="T12" s="9"/>
      <c r="U12" s="9"/>
      <c r="V12" s="9"/>
      <c r="W12" s="9"/>
      <c r="X12" s="9"/>
    </row>
    <row r="13" spans="1:24">
      <c r="A13" s="9"/>
      <c r="B13" s="418"/>
      <c r="C13" s="418"/>
      <c r="D13" s="381" t="s">
        <v>299</v>
      </c>
      <c r="E13" s="290" t="s">
        <v>334</v>
      </c>
      <c r="G13" s="9"/>
      <c r="H13" s="9"/>
      <c r="I13" s="9"/>
      <c r="J13" s="9"/>
      <c r="K13" s="9"/>
      <c r="L13" s="9"/>
      <c r="M13" s="9"/>
      <c r="N13" s="9"/>
      <c r="O13" s="9"/>
      <c r="P13" s="9"/>
      <c r="Q13" s="9"/>
      <c r="R13" s="9"/>
      <c r="S13" s="9"/>
      <c r="T13" s="9"/>
      <c r="U13" s="9"/>
      <c r="V13" s="9"/>
      <c r="W13" s="9"/>
      <c r="X13" s="9"/>
    </row>
    <row r="14" spans="1:24">
      <c r="A14" s="9"/>
      <c r="B14" s="9"/>
      <c r="C14" s="9"/>
      <c r="D14" s="43"/>
      <c r="E14" s="9"/>
      <c r="F14" s="9"/>
      <c r="G14" s="9"/>
      <c r="H14" s="9"/>
      <c r="I14" s="9"/>
      <c r="J14" s="9"/>
      <c r="K14" s="9"/>
      <c r="L14" s="9"/>
      <c r="M14" s="9"/>
      <c r="N14" s="9"/>
      <c r="O14" s="9"/>
      <c r="P14" s="9"/>
      <c r="Q14" s="9"/>
      <c r="R14" s="9"/>
      <c r="S14" s="9"/>
      <c r="T14" s="9"/>
      <c r="U14" s="9"/>
      <c r="V14" s="9"/>
      <c r="W14" s="9"/>
      <c r="X14" s="9"/>
    </row>
    <row r="15" spans="1:24">
      <c r="A15" s="9"/>
      <c r="B15" s="269"/>
      <c r="C15" s="269"/>
      <c r="D15" s="270"/>
      <c r="E15" s="269"/>
      <c r="F15" s="269"/>
      <c r="G15" s="269"/>
      <c r="H15" s="269"/>
      <c r="I15" s="269"/>
      <c r="J15" s="269"/>
      <c r="K15" s="269"/>
      <c r="L15" s="269"/>
      <c r="M15" s="269"/>
      <c r="N15" s="269"/>
      <c r="O15" s="269"/>
      <c r="P15" s="269"/>
      <c r="Q15" s="269"/>
      <c r="R15" s="269"/>
      <c r="S15" s="269"/>
      <c r="T15" s="269"/>
      <c r="U15" s="269"/>
      <c r="V15" s="269"/>
      <c r="W15" s="269"/>
      <c r="X15" s="9"/>
    </row>
    <row r="16" spans="1:24">
      <c r="A16" s="9"/>
      <c r="B16" s="9"/>
      <c r="C16" s="9"/>
      <c r="D16" s="43"/>
      <c r="E16" s="9"/>
      <c r="F16" s="9"/>
      <c r="G16" s="9"/>
      <c r="H16" s="9"/>
      <c r="I16" s="9"/>
      <c r="J16" s="9"/>
      <c r="K16" s="9"/>
      <c r="L16" s="9"/>
      <c r="M16" s="9"/>
      <c r="N16" s="9"/>
      <c r="O16" s="9"/>
      <c r="P16" s="9"/>
      <c r="Q16" s="9"/>
      <c r="R16" s="9"/>
      <c r="S16" s="9"/>
      <c r="T16" s="9"/>
      <c r="U16" s="9"/>
      <c r="V16" s="9"/>
      <c r="W16" s="9"/>
      <c r="X16" s="9"/>
    </row>
    <row r="17" spans="1:24" ht="18">
      <c r="A17" s="9"/>
      <c r="B17" s="271" t="str">
        <f>'Mkt share'!B39</f>
        <v>Alternative scenario 1:</v>
      </c>
      <c r="C17" s="140" t="str">
        <f>cen_prop1</f>
        <v>Drug 1 only</v>
      </c>
      <c r="D17" s="140"/>
      <c r="E17" s="140"/>
      <c r="F17" s="140"/>
      <c r="G17" s="140"/>
      <c r="H17" s="140"/>
      <c r="I17" s="140"/>
      <c r="J17" s="9"/>
      <c r="K17" s="9"/>
      <c r="L17" s="9"/>
      <c r="M17" s="9"/>
      <c r="N17" s="9"/>
      <c r="O17" s="9"/>
      <c r="P17" s="9"/>
      <c r="Q17" s="9"/>
      <c r="R17" s="9"/>
      <c r="S17" s="9"/>
      <c r="T17" s="9"/>
      <c r="U17" s="9"/>
      <c r="V17" s="9"/>
      <c r="W17" s="9"/>
      <c r="X17" s="9"/>
    </row>
    <row r="18" spans="1:24" ht="15.6">
      <c r="A18" s="9"/>
      <c r="B18" s="275" t="s">
        <v>188</v>
      </c>
      <c r="C18" s="277">
        <f>SUM('Mkt share'!C42:C45)</f>
        <v>0.05</v>
      </c>
      <c r="D18" s="278" t="s">
        <v>186</v>
      </c>
      <c r="E18" s="277">
        <f>SUM('Mkt share'!G42:G45)</f>
        <v>0.25</v>
      </c>
      <c r="F18" s="9"/>
      <c r="G18" s="9"/>
      <c r="H18" s="9"/>
      <c r="I18" s="9"/>
      <c r="J18" s="9"/>
      <c r="K18" s="9"/>
      <c r="L18" s="9"/>
      <c r="M18" s="9"/>
      <c r="N18" s="9"/>
      <c r="O18" s="9"/>
      <c r="P18" s="9"/>
      <c r="Q18" s="9"/>
      <c r="R18" s="9"/>
      <c r="S18" s="9"/>
      <c r="T18" s="9"/>
      <c r="U18" s="9"/>
      <c r="V18" s="9"/>
      <c r="W18" s="9"/>
      <c r="X18" s="9"/>
    </row>
    <row r="19" spans="1:24" ht="14.55" customHeight="1">
      <c r="B19" s="9"/>
      <c r="C19" s="9"/>
      <c r="D19" s="9"/>
      <c r="E19" s="9"/>
      <c r="F19" s="9"/>
      <c r="G19" s="9"/>
      <c r="H19" s="9"/>
      <c r="I19" s="9"/>
      <c r="J19" s="9"/>
      <c r="K19" s="9"/>
      <c r="L19" s="9"/>
      <c r="M19" s="9"/>
      <c r="N19" s="9"/>
      <c r="O19" s="9"/>
      <c r="P19" s="9"/>
      <c r="Q19" s="9"/>
      <c r="R19" s="9"/>
      <c r="S19" s="9"/>
      <c r="T19" s="490"/>
      <c r="U19" s="490"/>
      <c r="V19" s="490"/>
      <c r="W19" s="490"/>
      <c r="X19" s="9"/>
    </row>
    <row r="20" spans="1:24">
      <c r="B20" s="9"/>
      <c r="C20" s="9"/>
      <c r="D20" s="9"/>
      <c r="E20" s="9"/>
      <c r="F20" s="9"/>
      <c r="G20" s="9"/>
      <c r="H20" s="9"/>
      <c r="I20" s="9"/>
      <c r="J20" s="9"/>
      <c r="K20" s="9"/>
      <c r="L20" s="9"/>
      <c r="M20" s="9"/>
      <c r="N20" s="9"/>
      <c r="O20" s="9"/>
      <c r="P20" s="9"/>
      <c r="Q20" s="9"/>
      <c r="R20" s="9"/>
      <c r="S20" s="9"/>
      <c r="T20" s="490"/>
      <c r="U20" s="490"/>
      <c r="V20" s="490"/>
      <c r="W20" s="490"/>
      <c r="X20" s="9"/>
    </row>
    <row r="21" spans="1:24">
      <c r="B21" s="492" t="s">
        <v>191</v>
      </c>
      <c r="C21" s="493"/>
      <c r="D21" s="189">
        <f>ano_1</f>
        <v>2026</v>
      </c>
      <c r="E21" s="189">
        <f>D21+1</f>
        <v>2027</v>
      </c>
      <c r="F21" s="189">
        <f t="shared" ref="F21:H21" si="0">E21+1</f>
        <v>2028</v>
      </c>
      <c r="G21" s="189">
        <f t="shared" si="0"/>
        <v>2029</v>
      </c>
      <c r="H21" s="189">
        <f t="shared" si="0"/>
        <v>2030</v>
      </c>
      <c r="I21" s="189" t="s">
        <v>313</v>
      </c>
      <c r="J21" s="9"/>
      <c r="K21" s="189" t="s">
        <v>190</v>
      </c>
      <c r="L21" s="9"/>
      <c r="M21" s="9"/>
      <c r="N21" s="9"/>
      <c r="O21" s="9"/>
      <c r="P21" s="9"/>
      <c r="Q21" s="9"/>
      <c r="R21" s="9"/>
      <c r="S21" s="9"/>
      <c r="T21" s="490"/>
      <c r="U21" s="490"/>
      <c r="V21" s="490"/>
      <c r="W21" s="490"/>
      <c r="X21" s="9"/>
    </row>
    <row r="22" spans="1:24">
      <c r="B22" s="9"/>
      <c r="C22" s="279" t="str">
        <f>'Mkt share'!B19</f>
        <v>Reference scenario:</v>
      </c>
      <c r="D22" s="318">
        <f ca="1">IF($E$18&gt;0,Calculations3!C25,0)</f>
        <v>8174700.2145509999</v>
      </c>
      <c r="E22" s="318">
        <f ca="1">IF($E$18&gt;0,Calculations3!D25,0)</f>
        <v>15386109.045819752</v>
      </c>
      <c r="F22" s="318">
        <f ca="1">IF($E$18&gt;0,Calculations3!E25,0)</f>
        <v>22651801.248015001</v>
      </c>
      <c r="G22" s="318">
        <f ca="1">IF($E$18&gt;0,Calculations3!F25,0)</f>
        <v>29972283.956600249</v>
      </c>
      <c r="H22" s="318">
        <f ca="1">IF($E$18&gt;0,Calculations3!G25,0)</f>
        <v>37348728.764348254</v>
      </c>
      <c r="I22" s="319"/>
      <c r="J22" s="319"/>
      <c r="K22" s="318">
        <f ca="1">AVERAGE(D22:H22)</f>
        <v>22706724.645866849</v>
      </c>
      <c r="L22" s="9"/>
      <c r="M22" s="9"/>
      <c r="N22" s="9"/>
      <c r="O22" s="9"/>
      <c r="P22" s="9"/>
      <c r="Q22" s="9"/>
      <c r="R22" s="9"/>
      <c r="S22" s="9"/>
      <c r="T22" s="9"/>
      <c r="U22" s="9"/>
      <c r="V22" s="9"/>
      <c r="W22" s="9"/>
      <c r="X22" s="9"/>
    </row>
    <row r="23" spans="1:24" ht="15" thickBot="1">
      <c r="B23" s="280"/>
      <c r="C23" s="281" t="str">
        <f>B17</f>
        <v>Alternative scenario 1:</v>
      </c>
      <c r="D23" s="320">
        <f ca="1">Calculations3!C44</f>
        <v>9332885.4938172009</v>
      </c>
      <c r="E23" s="320">
        <f ca="1">Calculations3!D44</f>
        <v>18803176.060058542</v>
      </c>
      <c r="F23" s="320">
        <f ca="1">Calculations3!E44</f>
        <v>28037339.923410244</v>
      </c>
      <c r="G23" s="320">
        <f ca="1">Calculations3!F44</f>
        <v>37028746.938061014</v>
      </c>
      <c r="H23" s="320">
        <f ca="1">Calculations3!G44</f>
        <v>45773106.433956549</v>
      </c>
      <c r="I23" s="321"/>
      <c r="J23" s="319"/>
      <c r="K23" s="318">
        <f ca="1">AVERAGE(D23:H23)</f>
        <v>27795050.96986071</v>
      </c>
      <c r="L23" s="9"/>
      <c r="M23" s="9"/>
      <c r="N23" s="9"/>
      <c r="O23" s="9"/>
      <c r="P23" s="9"/>
      <c r="Q23" s="9"/>
      <c r="R23" s="9"/>
      <c r="S23" s="9"/>
      <c r="T23" s="9"/>
      <c r="U23" s="9"/>
      <c r="V23" s="9"/>
      <c r="W23" s="9"/>
      <c r="X23" s="9"/>
    </row>
    <row r="24" spans="1:24">
      <c r="B24" s="9"/>
      <c r="C24" s="282" t="s">
        <v>187</v>
      </c>
      <c r="D24" s="322">
        <f ca="1">D23-D22</f>
        <v>1158185.279266201</v>
      </c>
      <c r="E24" s="322">
        <f ca="1">E23-E22</f>
        <v>3417067.0142387897</v>
      </c>
      <c r="F24" s="322">
        <f ca="1">F23-F22</f>
        <v>5385538.6753952429</v>
      </c>
      <c r="G24" s="322">
        <f ca="1">G23-G22</f>
        <v>7056462.981460765</v>
      </c>
      <c r="H24" s="322">
        <f ca="1">H23-H22</f>
        <v>8424377.669608295</v>
      </c>
      <c r="I24" s="322">
        <f ca="1">SUM(D24:H24)</f>
        <v>25441631.619969293</v>
      </c>
      <c r="J24" s="319"/>
      <c r="K24" s="318">
        <f ca="1">AVERAGE(D24:H24)</f>
        <v>5088326.3239938589</v>
      </c>
      <c r="L24" s="9"/>
      <c r="M24" s="9"/>
      <c r="N24" s="9"/>
      <c r="O24" s="9"/>
      <c r="P24" s="9"/>
      <c r="Q24" s="9"/>
      <c r="R24" s="9"/>
      <c r="S24" s="9"/>
      <c r="T24" s="9"/>
      <c r="U24" s="9"/>
      <c r="V24" s="9"/>
      <c r="W24" s="9"/>
      <c r="X24" s="9"/>
    </row>
    <row r="25" spans="1:24">
      <c r="B25" s="9"/>
      <c r="C25" s="361" t="s">
        <v>326</v>
      </c>
      <c r="D25" s="322">
        <f>PSA!Q7</f>
        <v>1155220.7245559758</v>
      </c>
      <c r="E25" s="322">
        <f>PSA!R7</f>
        <v>3408485.3210889264</v>
      </c>
      <c r="F25" s="322">
        <f>PSA!S7</f>
        <v>5375230.5514863832</v>
      </c>
      <c r="G25" s="322">
        <f>PSA!T7</f>
        <v>7048395.3328529987</v>
      </c>
      <c r="H25" s="322">
        <f>PSA!U7</f>
        <v>8422587.4909006543</v>
      </c>
      <c r="I25" s="322">
        <f>PSA!V7</f>
        <v>25409919.420884944</v>
      </c>
      <c r="J25" s="319"/>
      <c r="K25" s="390"/>
      <c r="L25" s="9"/>
      <c r="M25" s="9"/>
      <c r="N25" s="9"/>
      <c r="O25" s="9"/>
      <c r="P25" s="9"/>
      <c r="Q25" s="9"/>
      <c r="R25" s="9"/>
      <c r="S25" s="9"/>
      <c r="T25" s="9"/>
      <c r="U25" s="9"/>
      <c r="V25" s="9"/>
      <c r="W25" s="9"/>
      <c r="X25" s="9"/>
    </row>
    <row r="26" spans="1:24">
      <c r="C26" s="361" t="str">
        <f>PSA!P12</f>
        <v>95% CI (lower)</v>
      </c>
      <c r="D26" s="322">
        <f>PSA!Q12</f>
        <v>653916.56087588612</v>
      </c>
      <c r="E26" s="322">
        <f>PSA!R12</f>
        <v>1926287.0628050412</v>
      </c>
      <c r="F26" s="322">
        <f>PSA!S12</f>
        <v>2977088.9951196248</v>
      </c>
      <c r="G26" s="322">
        <f>PSA!T12</f>
        <v>3793733.0252553453</v>
      </c>
      <c r="H26" s="322">
        <f>PSA!U12</f>
        <v>4362713.3408773877</v>
      </c>
      <c r="I26" s="322">
        <f>PSA!V12</f>
        <v>13731222.33519651</v>
      </c>
    </row>
    <row r="27" spans="1:24">
      <c r="C27" s="361" t="str">
        <f>PSA!P13</f>
        <v>95% CI (upper)</v>
      </c>
      <c r="D27" s="322">
        <f>PSA!Q13</f>
        <v>1656524.8882360654</v>
      </c>
      <c r="E27" s="322">
        <f>PSA!R13</f>
        <v>4890683.5793728121</v>
      </c>
      <c r="F27" s="322">
        <f>PSA!S13</f>
        <v>7773372.1078531416</v>
      </c>
      <c r="G27" s="322">
        <f>PSA!T13</f>
        <v>10303057.640450653</v>
      </c>
      <c r="H27" s="322">
        <f>PSA!U13</f>
        <v>12482461.640923921</v>
      </c>
      <c r="I27" s="322">
        <f>PSA!V13</f>
        <v>37088616.506573379</v>
      </c>
    </row>
    <row r="30" spans="1:24">
      <c r="B30" s="492" t="s">
        <v>192</v>
      </c>
      <c r="C30" s="493"/>
      <c r="D30" s="189">
        <f>ano_1</f>
        <v>2026</v>
      </c>
      <c r="E30" s="189">
        <f>D30+1</f>
        <v>2027</v>
      </c>
      <c r="F30" s="189">
        <f t="shared" ref="F30:H30" si="1">E30+1</f>
        <v>2028</v>
      </c>
      <c r="G30" s="189">
        <f t="shared" si="1"/>
        <v>2029</v>
      </c>
      <c r="H30" s="189">
        <f t="shared" si="1"/>
        <v>2030</v>
      </c>
      <c r="I30" s="189" t="s">
        <v>313</v>
      </c>
      <c r="J30" s="9"/>
      <c r="K30" s="189" t="s">
        <v>190</v>
      </c>
      <c r="L30" s="9"/>
      <c r="M30" s="9"/>
      <c r="N30" s="9"/>
      <c r="O30" s="9"/>
      <c r="P30" s="9"/>
      <c r="Q30" s="9"/>
      <c r="R30" s="9"/>
      <c r="S30" s="9"/>
      <c r="T30" s="9"/>
      <c r="U30" s="9"/>
      <c r="V30" s="9"/>
      <c r="W30" s="9"/>
      <c r="X30" s="9"/>
    </row>
    <row r="31" spans="1:24">
      <c r="B31" s="9"/>
      <c r="C31" s="279" t="str">
        <f>C22</f>
        <v>Reference scenario:</v>
      </c>
      <c r="D31" s="318">
        <f ca="1">IF($E$18&gt;0,Calculations3!K25,0)</f>
        <v>6427969.3994760001</v>
      </c>
      <c r="E31" s="318">
        <f ca="1">IF($E$18&gt;0,Calculations3!L25,0)</f>
        <v>12906418.751901001</v>
      </c>
      <c r="F31" s="318">
        <f ca="1">IF($E$18&gt;0,Calculations3!M25,0)</f>
        <v>19433897.355390001</v>
      </c>
      <c r="G31" s="318">
        <f ca="1">IF($E$18&gt;0,Calculations3!N25,0)</f>
        <v>26010621.642519001</v>
      </c>
      <c r="H31" s="318">
        <f ca="1">IF($E$18&gt;0,Calculations3!O25,0)</f>
        <v>32637540.069417</v>
      </c>
      <c r="I31" s="319"/>
      <c r="J31" s="319"/>
      <c r="K31" s="318">
        <f ca="1">AVERAGE(D31:H31)</f>
        <v>19483289.443740599</v>
      </c>
      <c r="L31" s="9"/>
      <c r="M31" s="9"/>
      <c r="N31" s="9"/>
      <c r="O31" s="9"/>
      <c r="P31" s="9"/>
      <c r="Q31" s="9"/>
      <c r="R31" s="9"/>
      <c r="S31" s="9"/>
      <c r="T31" s="9"/>
      <c r="U31" s="9"/>
      <c r="V31" s="9"/>
      <c r="W31" s="9"/>
      <c r="X31" s="9"/>
    </row>
    <row r="32" spans="1:24" ht="15" thickBot="1">
      <c r="B32" s="280"/>
      <c r="C32" s="281" t="str">
        <f>C23</f>
        <v>Alternative scenario 1:</v>
      </c>
      <c r="D32" s="320">
        <f ca="1">Calculations3!K44</f>
        <v>7586154.6787422001</v>
      </c>
      <c r="E32" s="320">
        <f ca="1">Calculations3!L44</f>
        <v>16325186.259962702</v>
      </c>
      <c r="F32" s="320">
        <f ca="1">Calculations3!M44</f>
        <v>24826284.236905351</v>
      </c>
      <c r="G32" s="320">
        <f ca="1">Calculations3!N44</f>
        <v>33084300.349357054</v>
      </c>
      <c r="H32" s="320">
        <f ca="1">Calculations3!O44</f>
        <v>41096519.842525057</v>
      </c>
      <c r="I32" s="321"/>
      <c r="J32" s="319"/>
      <c r="K32" s="318">
        <f ca="1">AVERAGE(D32:H32)</f>
        <v>24583689.073498476</v>
      </c>
      <c r="L32" s="9"/>
      <c r="M32" s="9"/>
      <c r="N32" s="9"/>
      <c r="O32" s="9"/>
      <c r="P32" s="9"/>
      <c r="Q32" s="9"/>
      <c r="R32" s="9"/>
      <c r="S32" s="9"/>
      <c r="T32" s="9"/>
      <c r="U32" s="9"/>
      <c r="V32" s="9"/>
      <c r="W32" s="9"/>
      <c r="X32" s="9"/>
    </row>
    <row r="33" spans="2:24">
      <c r="B33" s="9"/>
      <c r="C33" s="282" t="str">
        <f>C24</f>
        <v>Incremental budget impact</v>
      </c>
      <c r="D33" s="322">
        <f ca="1">D32-D31</f>
        <v>1158185.2792662</v>
      </c>
      <c r="E33" s="322">
        <f t="shared" ref="E33:H33" ca="1" si="2">E32-E31</f>
        <v>3418767.5080617014</v>
      </c>
      <c r="F33" s="322">
        <f t="shared" ca="1" si="2"/>
        <v>5392386.8815153502</v>
      </c>
      <c r="G33" s="322">
        <f t="shared" ca="1" si="2"/>
        <v>7073678.7068380527</v>
      </c>
      <c r="H33" s="322">
        <f t="shared" ca="1" si="2"/>
        <v>8458979.7731080577</v>
      </c>
      <c r="I33" s="322">
        <f ca="1">SUM(D33:H33)</f>
        <v>25501998.148789361</v>
      </c>
      <c r="J33" s="319"/>
      <c r="K33" s="318">
        <f ca="1">AVERAGE(D33:H33)</f>
        <v>5100399.6297578719</v>
      </c>
      <c r="L33" s="9"/>
      <c r="M33" s="9"/>
      <c r="N33" s="9"/>
      <c r="O33" s="9"/>
      <c r="P33" s="9"/>
      <c r="Q33" s="9"/>
      <c r="R33" s="9"/>
      <c r="S33" s="9"/>
      <c r="T33" s="9"/>
      <c r="U33" s="9"/>
      <c r="V33" s="9"/>
      <c r="W33" s="9"/>
      <c r="X33" s="9"/>
    </row>
    <row r="34" spans="2:24">
      <c r="B34" s="9"/>
      <c r="C34" s="361" t="s">
        <v>326</v>
      </c>
      <c r="D34" s="322">
        <f>PSA!AT7</f>
        <v>1162201.6926175726</v>
      </c>
      <c r="E34" s="322">
        <f>PSA!AU7</f>
        <v>3430650.376322228</v>
      </c>
      <c r="F34" s="322">
        <f>PSA!AV7</f>
        <v>5411683.361784975</v>
      </c>
      <c r="G34" s="322">
        <f>PSA!AW7</f>
        <v>7099925.8448090442</v>
      </c>
      <c r="H34" s="322">
        <f>PSA!AX7</f>
        <v>8491710.0647762809</v>
      </c>
      <c r="I34" s="322">
        <f>PSA!AY7</f>
        <v>25596171.340310052</v>
      </c>
      <c r="J34" s="319"/>
      <c r="K34" s="390"/>
      <c r="L34" s="9"/>
      <c r="M34" s="9"/>
      <c r="N34" s="9"/>
      <c r="O34" s="9"/>
      <c r="P34" s="9"/>
      <c r="Q34" s="9"/>
      <c r="R34" s="9"/>
      <c r="S34" s="9"/>
      <c r="T34" s="9"/>
      <c r="U34" s="9"/>
      <c r="V34" s="9"/>
      <c r="W34" s="9"/>
      <c r="X34" s="9"/>
    </row>
    <row r="35" spans="2:24">
      <c r="C35" s="361" t="str">
        <f>PSA!AS12</f>
        <v>95% CI (lower)</v>
      </c>
      <c r="D35" s="322">
        <f>PSA!AT12</f>
        <v>663472.77899040352</v>
      </c>
      <c r="E35" s="322">
        <f>PSA!AU12</f>
        <v>1955415.9726034831</v>
      </c>
      <c r="F35" s="322">
        <f>PSA!AV12</f>
        <v>3019641.4507553736</v>
      </c>
      <c r="G35" s="322">
        <f>PSA!AW12</f>
        <v>3844051.2732521528</v>
      </c>
      <c r="H35" s="322">
        <f>PSA!AX12</f>
        <v>4415673.0239687571</v>
      </c>
      <c r="I35" s="322">
        <f>PSA!AY12</f>
        <v>13917111.729987467</v>
      </c>
    </row>
    <row r="36" spans="2:24">
      <c r="C36" s="361" t="str">
        <f>PSA!AS13</f>
        <v>95% CI (upper)</v>
      </c>
      <c r="D36" s="322">
        <f>PSA!AT13</f>
        <v>1660930.6062447417</v>
      </c>
      <c r="E36" s="322">
        <f>PSA!AU13</f>
        <v>4905884.7800409729</v>
      </c>
      <c r="F36" s="322">
        <f>PSA!AV13</f>
        <v>7803725.2728145765</v>
      </c>
      <c r="G36" s="322">
        <f>PSA!AW13</f>
        <v>10355800.416365936</v>
      </c>
      <c r="H36" s="322">
        <f>PSA!AX13</f>
        <v>12567747.105583806</v>
      </c>
      <c r="I36" s="322">
        <f>PSA!AY13</f>
        <v>37275230.950632639</v>
      </c>
    </row>
    <row r="40" spans="2:24">
      <c r="B40" s="9"/>
      <c r="C40" s="9"/>
      <c r="D40" s="43"/>
      <c r="E40" s="9"/>
      <c r="F40" s="9"/>
      <c r="G40" s="9"/>
      <c r="H40" s="9"/>
      <c r="I40" s="9"/>
      <c r="J40" s="9"/>
      <c r="K40" s="9"/>
      <c r="L40" s="9"/>
      <c r="M40" s="9"/>
      <c r="N40" s="9"/>
      <c r="O40" s="9"/>
      <c r="P40" s="9"/>
      <c r="Q40" s="9"/>
      <c r="R40" s="9"/>
      <c r="S40" s="9"/>
      <c r="T40" s="9"/>
      <c r="U40" s="9"/>
      <c r="V40" s="9"/>
      <c r="W40" s="9"/>
      <c r="X40" s="9"/>
    </row>
    <row r="41" spans="2:24">
      <c r="B41" s="269"/>
      <c r="C41" s="269"/>
      <c r="D41" s="270"/>
      <c r="E41" s="269"/>
      <c r="F41" s="269"/>
      <c r="G41" s="269"/>
      <c r="H41" s="269"/>
      <c r="I41" s="269"/>
      <c r="J41" s="269"/>
      <c r="K41" s="269"/>
      <c r="L41" s="269"/>
      <c r="M41" s="269"/>
      <c r="N41" s="269"/>
      <c r="O41" s="269"/>
      <c r="P41" s="269"/>
      <c r="Q41" s="269"/>
      <c r="R41" s="269"/>
      <c r="S41" s="269"/>
      <c r="T41" s="269"/>
      <c r="U41" s="269"/>
      <c r="V41" s="269"/>
      <c r="W41" s="269"/>
      <c r="X41" s="9"/>
    </row>
    <row r="42" spans="2:24">
      <c r="B42" s="9"/>
      <c r="C42" s="9"/>
      <c r="D42" s="43"/>
      <c r="E42" s="9"/>
      <c r="F42" s="9"/>
      <c r="G42" s="9"/>
      <c r="H42" s="9"/>
      <c r="I42" s="9"/>
      <c r="J42" s="9"/>
      <c r="K42" s="9"/>
      <c r="L42" s="9"/>
      <c r="M42" s="9"/>
      <c r="N42" s="9"/>
      <c r="O42" s="9"/>
      <c r="P42" s="9"/>
      <c r="Q42" s="9"/>
      <c r="R42" s="9"/>
      <c r="S42" s="9"/>
      <c r="T42" s="9"/>
      <c r="U42" s="9"/>
      <c r="V42" s="9"/>
      <c r="W42" s="9"/>
      <c r="X42" s="9"/>
    </row>
    <row r="43" spans="2:24" ht="18">
      <c r="B43" s="271" t="str">
        <f>'Mkt share'!B59</f>
        <v>Alternative scenario 2:</v>
      </c>
      <c r="C43" s="140" t="str">
        <f>cen_prop2</f>
        <v>Drug 2 only</v>
      </c>
      <c r="D43" s="140"/>
      <c r="E43" s="140"/>
      <c r="F43" s="140"/>
      <c r="G43" s="140"/>
      <c r="H43" s="140"/>
      <c r="I43" s="140"/>
      <c r="J43" s="9"/>
      <c r="K43" s="9"/>
      <c r="L43" s="9"/>
      <c r="M43" s="9"/>
      <c r="N43" s="9"/>
      <c r="O43" s="9"/>
      <c r="P43" s="9"/>
      <c r="Q43" s="9"/>
      <c r="R43" s="9"/>
      <c r="S43" s="9"/>
      <c r="T43" s="9"/>
      <c r="U43" s="9"/>
      <c r="V43" s="9"/>
      <c r="W43" s="9"/>
      <c r="X43" s="9"/>
    </row>
    <row r="44" spans="2:24" ht="15.6">
      <c r="B44" s="275" t="s">
        <v>188</v>
      </c>
      <c r="C44" s="277">
        <f>SUM('Mkt share'!C62:C65)</f>
        <v>0.02</v>
      </c>
      <c r="D44" s="278" t="s">
        <v>186</v>
      </c>
      <c r="E44" s="277">
        <f>SUM('Mkt share'!G62:G65)</f>
        <v>0.25</v>
      </c>
      <c r="F44" s="9"/>
      <c r="G44" s="9"/>
      <c r="H44" s="9"/>
      <c r="I44" s="9"/>
      <c r="J44" s="9"/>
      <c r="K44" s="9"/>
      <c r="L44" s="9"/>
      <c r="M44" s="9"/>
      <c r="N44" s="9"/>
      <c r="O44" s="9"/>
      <c r="P44" s="9"/>
      <c r="Q44" s="9"/>
      <c r="R44" s="9"/>
      <c r="S44" s="9"/>
      <c r="T44" s="9"/>
      <c r="U44" s="9"/>
      <c r="V44" s="9"/>
      <c r="W44" s="9"/>
      <c r="X44" s="9"/>
    </row>
    <row r="45" spans="2:24" ht="14.55" customHeight="1">
      <c r="B45" s="9"/>
      <c r="C45" s="9"/>
      <c r="D45" s="9"/>
      <c r="E45" s="9"/>
      <c r="F45" s="9"/>
      <c r="G45" s="9"/>
      <c r="H45" s="9"/>
      <c r="I45" s="9"/>
      <c r="J45" s="9"/>
      <c r="K45" s="9"/>
      <c r="L45" s="9"/>
      <c r="M45" s="9"/>
      <c r="N45" s="9"/>
      <c r="O45" s="9"/>
      <c r="P45" s="9"/>
      <c r="Q45" s="9"/>
      <c r="R45" s="9"/>
      <c r="S45" s="9"/>
      <c r="T45" s="9"/>
      <c r="U45" s="9"/>
      <c r="V45" s="9"/>
      <c r="W45" s="9"/>
      <c r="X45" s="9"/>
    </row>
    <row r="47" spans="2:24">
      <c r="B47" s="492" t="s">
        <v>191</v>
      </c>
      <c r="C47" s="493"/>
      <c r="D47" s="189">
        <f>ano_1</f>
        <v>2026</v>
      </c>
      <c r="E47" s="189">
        <f>D47+1</f>
        <v>2027</v>
      </c>
      <c r="F47" s="189">
        <f t="shared" ref="F47:H47" si="3">E47+1</f>
        <v>2028</v>
      </c>
      <c r="G47" s="189">
        <f t="shared" si="3"/>
        <v>2029</v>
      </c>
      <c r="H47" s="189">
        <f t="shared" si="3"/>
        <v>2030</v>
      </c>
      <c r="I47" s="189" t="s">
        <v>313</v>
      </c>
      <c r="J47" s="9"/>
      <c r="K47" s="189" t="s">
        <v>190</v>
      </c>
      <c r="L47" s="9"/>
      <c r="M47" s="9"/>
      <c r="N47" s="9"/>
      <c r="O47" s="9"/>
      <c r="P47" s="9"/>
      <c r="Q47" s="9"/>
      <c r="R47" s="9"/>
      <c r="S47" s="9"/>
      <c r="T47" s="9"/>
      <c r="U47" s="9"/>
      <c r="V47" s="9"/>
      <c r="W47" s="9"/>
      <c r="X47" s="9"/>
    </row>
    <row r="48" spans="2:24">
      <c r="B48" s="9"/>
      <c r="C48" s="279" t="str">
        <f>'Mkt share'!B44</f>
        <v>Do not fill this line</v>
      </c>
      <c r="D48" s="318">
        <f ca="1">IF($E$44&gt;0,Calculations3!C25,0)</f>
        <v>8174700.2145509999</v>
      </c>
      <c r="E48" s="318">
        <f ca="1">IF($E$44&gt;0,Calculations3!D25,0)</f>
        <v>15386109.045819752</v>
      </c>
      <c r="F48" s="318">
        <f ca="1">IF($E$44&gt;0,Calculations3!E25,0)</f>
        <v>22651801.248015001</v>
      </c>
      <c r="G48" s="318">
        <f ca="1">IF($E$44&gt;0,Calculations3!F25,0)</f>
        <v>29972283.956600249</v>
      </c>
      <c r="H48" s="318">
        <f ca="1">IF($E$44&gt;0,Calculations3!G25,0)</f>
        <v>37348728.764348254</v>
      </c>
      <c r="I48" s="319"/>
      <c r="J48" s="319"/>
      <c r="K48" s="318">
        <f ca="1">AVERAGE(D48:H48)</f>
        <v>22706724.645866849</v>
      </c>
      <c r="L48" s="9"/>
      <c r="M48" s="9"/>
      <c r="N48" s="9"/>
      <c r="O48" s="9"/>
      <c r="P48" s="9"/>
      <c r="Q48" s="9"/>
      <c r="R48" s="9"/>
      <c r="S48" s="9"/>
      <c r="T48" s="9"/>
      <c r="U48" s="9"/>
      <c r="V48" s="9"/>
      <c r="W48" s="9"/>
      <c r="X48" s="9"/>
    </row>
    <row r="49" spans="2:24" ht="15" thickBot="1">
      <c r="B49" s="280"/>
      <c r="C49" s="281" t="str">
        <f>B43</f>
        <v>Alternative scenario 2:</v>
      </c>
      <c r="D49" s="320">
        <f ca="1">Calculations3!C63</f>
        <v>8464890.4272954594</v>
      </c>
      <c r="E49" s="320">
        <f ca="1">Calculations3!D63</f>
        <v>16834843.523279484</v>
      </c>
      <c r="F49" s="320">
        <f ca="1">Calculations3!E63</f>
        <v>26698393.639541358</v>
      </c>
      <c r="G49" s="320">
        <f ca="1">Calculations3!F63</f>
        <v>37277860.49891749</v>
      </c>
      <c r="H49" s="320">
        <f ca="1">Calculations3!G63</f>
        <v>48104107.085258774</v>
      </c>
      <c r="I49" s="321"/>
      <c r="J49" s="319"/>
      <c r="K49" s="318">
        <f ca="1">AVERAGE(D49:H49)</f>
        <v>27476019.034858514</v>
      </c>
      <c r="L49" s="9"/>
      <c r="M49" s="9"/>
      <c r="N49" s="9"/>
      <c r="O49" s="9"/>
      <c r="P49" s="9"/>
      <c r="Q49" s="9"/>
      <c r="R49" s="9"/>
      <c r="S49" s="9"/>
      <c r="T49" s="9"/>
      <c r="U49" s="9"/>
      <c r="V49" s="9"/>
      <c r="W49" s="9"/>
      <c r="X49" s="9"/>
    </row>
    <row r="50" spans="2:24">
      <c r="B50" s="9"/>
      <c r="C50" s="282" t="s">
        <v>187</v>
      </c>
      <c r="D50" s="322">
        <f ca="1">D49-D48</f>
        <v>290190.21274445951</v>
      </c>
      <c r="E50" s="322">
        <f t="shared" ref="E50:H50" ca="1" si="4">E49-E48</f>
        <v>1448734.4774597324</v>
      </c>
      <c r="F50" s="322">
        <f t="shared" ca="1" si="4"/>
        <v>4046592.3915263563</v>
      </c>
      <c r="G50" s="322">
        <f t="shared" ca="1" si="4"/>
        <v>7305576.5423172414</v>
      </c>
      <c r="H50" s="322">
        <f t="shared" ca="1" si="4"/>
        <v>10755378.320910521</v>
      </c>
      <c r="I50" s="322">
        <f ca="1">SUM(D50:H50)</f>
        <v>23846471.944958311</v>
      </c>
      <c r="J50" s="319"/>
      <c r="K50" s="318">
        <f ca="1">AVERAGE(D50:H50)</f>
        <v>4769294.3889916623</v>
      </c>
      <c r="L50" s="9"/>
      <c r="M50" s="9"/>
      <c r="N50" s="9"/>
      <c r="O50" s="9"/>
      <c r="P50" s="9"/>
      <c r="Q50" s="9"/>
      <c r="R50" s="9"/>
      <c r="S50" s="9"/>
      <c r="T50" s="9"/>
      <c r="U50" s="9"/>
      <c r="V50" s="9"/>
      <c r="W50" s="9"/>
      <c r="X50" s="9"/>
    </row>
    <row r="56" spans="2:24">
      <c r="B56" s="492" t="s">
        <v>192</v>
      </c>
      <c r="C56" s="493"/>
      <c r="D56" s="189">
        <f>ano_1</f>
        <v>2026</v>
      </c>
      <c r="E56" s="189">
        <f>D56+1</f>
        <v>2027</v>
      </c>
      <c r="F56" s="189">
        <f t="shared" ref="F56:H56" si="5">E56+1</f>
        <v>2028</v>
      </c>
      <c r="G56" s="189">
        <f t="shared" si="5"/>
        <v>2029</v>
      </c>
      <c r="H56" s="189">
        <f t="shared" si="5"/>
        <v>2030</v>
      </c>
      <c r="I56" s="189" t="s">
        <v>313</v>
      </c>
      <c r="J56" s="9"/>
      <c r="K56" s="189" t="s">
        <v>190</v>
      </c>
      <c r="L56" s="9"/>
      <c r="M56" s="9"/>
      <c r="N56" s="9"/>
      <c r="O56" s="9"/>
      <c r="P56" s="9"/>
      <c r="Q56" s="9"/>
      <c r="R56" s="9"/>
      <c r="S56" s="9"/>
      <c r="T56" s="9"/>
      <c r="U56" s="9"/>
      <c r="V56" s="9"/>
      <c r="W56" s="9"/>
      <c r="X56" s="9"/>
    </row>
    <row r="57" spans="2:24">
      <c r="B57" s="9"/>
      <c r="C57" s="279" t="str">
        <f>C48</f>
        <v>Do not fill this line</v>
      </c>
      <c r="D57" s="318">
        <f ca="1">IF($E$44&gt;0,Calculations3!K25,0)</f>
        <v>6427969.3994760001</v>
      </c>
      <c r="E57" s="318">
        <f ca="1">IF($E$44&gt;0,Calculations3!L25,0)</f>
        <v>12906418.751901001</v>
      </c>
      <c r="F57" s="318">
        <f ca="1">IF($E$44&gt;0,Calculations3!M25,0)</f>
        <v>19433897.355390001</v>
      </c>
      <c r="G57" s="318">
        <f ca="1">IF($E$44&gt;0,Calculations3!N25,0)</f>
        <v>26010621.642519001</v>
      </c>
      <c r="H57" s="318">
        <f ca="1">IF($E$44&gt;0,Calculations3!O25,0)</f>
        <v>32637540.069417</v>
      </c>
      <c r="I57" s="319"/>
      <c r="J57" s="319"/>
      <c r="K57" s="318">
        <f ca="1">AVERAGE(D57:H57)</f>
        <v>19483289.443740599</v>
      </c>
      <c r="L57" s="9"/>
      <c r="M57" s="9"/>
      <c r="N57" s="9"/>
      <c r="O57" s="9"/>
      <c r="P57" s="9"/>
      <c r="Q57" s="9"/>
      <c r="R57" s="9"/>
      <c r="S57" s="9"/>
      <c r="T57" s="9"/>
      <c r="U57" s="9"/>
      <c r="V57" s="9"/>
      <c r="W57" s="9"/>
      <c r="X57" s="9"/>
    </row>
    <row r="58" spans="2:24" ht="15" thickBot="1">
      <c r="B58" s="280"/>
      <c r="C58" s="281" t="str">
        <f>C49</f>
        <v>Alternative scenario 2:</v>
      </c>
      <c r="D58" s="320">
        <f ca="1">Calculations3!K63</f>
        <v>6718159.6122204605</v>
      </c>
      <c r="E58" s="320">
        <f ca="1">Calculations3!L63</f>
        <v>14355425.308372401</v>
      </c>
      <c r="F58" s="320">
        <f ca="1">Calculations3!M63</f>
        <v>23482138.576634306</v>
      </c>
      <c r="G58" s="320">
        <f ca="1">Calculations3!N63</f>
        <v>33322013.943995312</v>
      </c>
      <c r="H58" s="320">
        <f ca="1">Calculations3!O63</f>
        <v>43406998.548172072</v>
      </c>
      <c r="I58" s="321"/>
      <c r="J58" s="319"/>
      <c r="K58" s="318">
        <f ca="1">AVERAGE(D58:H58)</f>
        <v>24256947.197878908</v>
      </c>
      <c r="L58" s="9"/>
      <c r="M58" s="9"/>
      <c r="N58" s="9"/>
      <c r="O58" s="9"/>
      <c r="P58" s="9"/>
      <c r="Q58" s="9"/>
      <c r="R58" s="9"/>
      <c r="S58" s="9"/>
      <c r="T58" s="9"/>
      <c r="U58" s="9"/>
      <c r="V58" s="9"/>
      <c r="W58" s="9"/>
      <c r="X58" s="9"/>
    </row>
    <row r="59" spans="2:24">
      <c r="B59" s="9"/>
      <c r="C59" s="282" t="str">
        <f>C50</f>
        <v>Incremental budget impact</v>
      </c>
      <c r="D59" s="322">
        <f ca="1">D58-D57</f>
        <v>290190.21274446044</v>
      </c>
      <c r="E59" s="322">
        <f t="shared" ref="E59:H59" ca="1" si="6">E58-E57</f>
        <v>1449006.5564714</v>
      </c>
      <c r="F59" s="322">
        <f t="shared" ca="1" si="6"/>
        <v>4048241.2212443054</v>
      </c>
      <c r="G59" s="322">
        <f t="shared" ca="1" si="6"/>
        <v>7311392.3014763109</v>
      </c>
      <c r="H59" s="322">
        <f t="shared" ca="1" si="6"/>
        <v>10769458.478755072</v>
      </c>
      <c r="I59" s="322">
        <f ca="1">SUM(D59:H59)</f>
        <v>23868288.770691548</v>
      </c>
      <c r="J59" s="319"/>
      <c r="K59" s="318">
        <f ca="1">AVERAGE(D59:H59)</f>
        <v>4773657.7541383095</v>
      </c>
      <c r="L59" s="9"/>
      <c r="M59" s="9"/>
      <c r="N59" s="9"/>
      <c r="O59" s="9"/>
      <c r="P59" s="9"/>
      <c r="Q59" s="9"/>
      <c r="R59" s="9"/>
      <c r="S59" s="9"/>
      <c r="T59" s="9"/>
      <c r="U59" s="9"/>
      <c r="V59" s="9"/>
      <c r="W59" s="9"/>
      <c r="X59" s="9"/>
    </row>
    <row r="65" spans="2:24">
      <c r="B65" s="9"/>
      <c r="C65" s="9"/>
      <c r="D65" s="43"/>
      <c r="E65" s="9"/>
      <c r="F65" s="9"/>
      <c r="G65" s="9"/>
      <c r="H65" s="9"/>
      <c r="I65" s="9"/>
      <c r="J65" s="9"/>
      <c r="K65" s="9"/>
      <c r="L65" s="9"/>
      <c r="M65" s="9"/>
      <c r="N65" s="9"/>
      <c r="O65" s="9"/>
      <c r="P65" s="9"/>
      <c r="Q65" s="9"/>
      <c r="R65" s="9"/>
      <c r="S65" s="9"/>
      <c r="T65" s="9"/>
      <c r="U65" s="9"/>
      <c r="V65" s="9"/>
      <c r="W65" s="9"/>
      <c r="X65" s="9"/>
    </row>
    <row r="66" spans="2:24">
      <c r="B66" s="269"/>
      <c r="C66" s="269"/>
      <c r="D66" s="270"/>
      <c r="E66" s="269"/>
      <c r="F66" s="269"/>
      <c r="G66" s="269"/>
      <c r="H66" s="269"/>
      <c r="I66" s="269"/>
      <c r="J66" s="269"/>
      <c r="K66" s="269"/>
      <c r="L66" s="269"/>
      <c r="M66" s="269"/>
      <c r="N66" s="269"/>
      <c r="O66" s="269"/>
      <c r="P66" s="269"/>
      <c r="Q66" s="269"/>
      <c r="R66" s="269"/>
      <c r="S66" s="269"/>
      <c r="T66" s="269"/>
      <c r="U66" s="269"/>
      <c r="V66" s="269"/>
      <c r="W66" s="269"/>
      <c r="X66" s="9"/>
    </row>
    <row r="67" spans="2:24">
      <c r="B67" s="9"/>
      <c r="C67" s="9"/>
      <c r="D67" s="43"/>
      <c r="E67" s="9"/>
      <c r="F67" s="9"/>
      <c r="G67" s="9"/>
      <c r="H67" s="9"/>
      <c r="I67" s="9"/>
      <c r="J67" s="9"/>
      <c r="K67" s="9"/>
      <c r="L67" s="9"/>
      <c r="M67" s="9"/>
      <c r="N67" s="9"/>
      <c r="O67" s="9"/>
      <c r="P67" s="9"/>
      <c r="Q67" s="9"/>
      <c r="R67" s="9"/>
      <c r="S67" s="9"/>
      <c r="T67" s="9"/>
      <c r="U67" s="9"/>
      <c r="V67" s="9"/>
      <c r="W67" s="9"/>
      <c r="X67" s="9"/>
    </row>
    <row r="68" spans="2:24" ht="18">
      <c r="B68" s="271" t="str">
        <f>'Mkt share'!B79</f>
        <v>Alternative scenario 3:</v>
      </c>
      <c r="C68" s="140" t="str">
        <f>cen_prop3</f>
        <v>Both drugs</v>
      </c>
      <c r="D68" s="140"/>
      <c r="E68" s="140"/>
      <c r="F68" s="140"/>
      <c r="G68" s="140"/>
      <c r="H68" s="140"/>
      <c r="I68" s="140"/>
      <c r="J68" s="9"/>
      <c r="K68" s="9"/>
      <c r="L68" s="9"/>
      <c r="M68" s="9"/>
      <c r="N68" s="9"/>
      <c r="O68" s="9"/>
      <c r="P68" s="9"/>
      <c r="Q68" s="9"/>
      <c r="R68" s="9"/>
      <c r="S68" s="9"/>
      <c r="T68" s="9"/>
      <c r="U68" s="9"/>
      <c r="V68" s="9"/>
      <c r="W68" s="9"/>
      <c r="X68" s="9"/>
    </row>
    <row r="69" spans="2:24" ht="15.6">
      <c r="B69" s="275" t="s">
        <v>188</v>
      </c>
      <c r="C69" s="277">
        <f>SUM('Mkt share'!C82:C85)</f>
        <v>0.05</v>
      </c>
      <c r="D69" s="278" t="s">
        <v>186</v>
      </c>
      <c r="E69" s="277">
        <f>SUM('Mkt share'!G82:G85)</f>
        <v>0.55000000000000004</v>
      </c>
      <c r="F69" s="9"/>
      <c r="G69" s="9"/>
      <c r="H69" s="9"/>
      <c r="I69" s="9"/>
      <c r="J69" s="9"/>
      <c r="K69" s="9"/>
      <c r="L69" s="9"/>
      <c r="M69" s="9"/>
      <c r="N69" s="9"/>
      <c r="O69" s="9"/>
      <c r="P69" s="9"/>
      <c r="Q69" s="9"/>
      <c r="R69" s="9"/>
      <c r="S69" s="9"/>
      <c r="T69" s="9"/>
      <c r="U69" s="9"/>
      <c r="V69" s="9"/>
      <c r="W69" s="9"/>
      <c r="X69" s="9"/>
    </row>
    <row r="70" spans="2:24" ht="14.55" customHeight="1">
      <c r="B70" s="9"/>
      <c r="C70" s="9"/>
      <c r="D70" s="9"/>
      <c r="E70" s="9"/>
      <c r="F70" s="9"/>
      <c r="G70" s="9"/>
      <c r="H70" s="9"/>
      <c r="I70" s="9"/>
      <c r="J70" s="9"/>
      <c r="K70" s="9"/>
      <c r="L70" s="9"/>
      <c r="M70" s="9"/>
      <c r="N70" s="9"/>
      <c r="O70" s="9"/>
      <c r="P70" s="9"/>
      <c r="Q70" s="9"/>
      <c r="R70" s="9"/>
      <c r="S70" s="9"/>
      <c r="T70" s="9"/>
      <c r="U70" s="9"/>
      <c r="V70" s="9"/>
      <c r="W70" s="9"/>
      <c r="X70" s="9"/>
    </row>
    <row r="72" spans="2:24">
      <c r="B72" s="492" t="s">
        <v>191</v>
      </c>
      <c r="C72" s="493"/>
      <c r="D72" s="189">
        <f>ano_1</f>
        <v>2026</v>
      </c>
      <c r="E72" s="189">
        <f>D72+1</f>
        <v>2027</v>
      </c>
      <c r="F72" s="189">
        <f t="shared" ref="F72:H72" si="7">E72+1</f>
        <v>2028</v>
      </c>
      <c r="G72" s="189">
        <f t="shared" si="7"/>
        <v>2029</v>
      </c>
      <c r="H72" s="189">
        <f t="shared" si="7"/>
        <v>2030</v>
      </c>
      <c r="I72" s="189" t="s">
        <v>313</v>
      </c>
      <c r="J72" s="9"/>
      <c r="K72" s="189" t="s">
        <v>190</v>
      </c>
      <c r="L72" s="9"/>
      <c r="M72" s="9"/>
      <c r="N72" s="9"/>
      <c r="O72" s="9"/>
      <c r="P72" s="9"/>
      <c r="Q72" s="9"/>
      <c r="R72" s="9"/>
      <c r="S72" s="9"/>
      <c r="T72" s="9"/>
      <c r="U72" s="9"/>
      <c r="V72" s="9"/>
      <c r="W72" s="9"/>
      <c r="X72" s="9"/>
    </row>
    <row r="73" spans="2:24">
      <c r="B73" s="9"/>
      <c r="C73" s="279" t="str">
        <f>'Mkt share'!B69</f>
        <v>Do not fill this line</v>
      </c>
      <c r="D73" s="318">
        <f ca="1">IF($E$69&gt;0,Calculations3!C25,0)</f>
        <v>8174700.2145509999</v>
      </c>
      <c r="E73" s="318">
        <f ca="1">IF($E$69&gt;0,Calculations3!D25,0)</f>
        <v>15386109.045819752</v>
      </c>
      <c r="F73" s="318">
        <f ca="1">IF($E$69&gt;0,Calculations3!E25,0)</f>
        <v>22651801.248015001</v>
      </c>
      <c r="G73" s="318">
        <f ca="1">IF($E$69&gt;0,Calculations3!F25,0)</f>
        <v>29972283.956600249</v>
      </c>
      <c r="H73" s="318">
        <f ca="1">IF($E$69&gt;0,Calculations3!G25,0)</f>
        <v>37348728.764348254</v>
      </c>
      <c r="I73" s="319"/>
      <c r="J73" s="319"/>
      <c r="K73" s="318">
        <f ca="1">AVERAGE(D73:H73)</f>
        <v>22706724.645866849</v>
      </c>
      <c r="L73" s="9"/>
      <c r="M73" s="9"/>
      <c r="N73" s="9"/>
      <c r="O73" s="9"/>
      <c r="P73" s="9"/>
      <c r="Q73" s="9"/>
      <c r="R73" s="9"/>
      <c r="S73" s="9"/>
      <c r="T73" s="9"/>
      <c r="U73" s="9"/>
      <c r="V73" s="9"/>
      <c r="W73" s="9"/>
      <c r="X73" s="9"/>
    </row>
    <row r="74" spans="2:24" ht="15" thickBot="1">
      <c r="B74" s="280"/>
      <c r="C74" s="281" t="str">
        <f>B68</f>
        <v>Alternative scenario 3:</v>
      </c>
      <c r="D74" s="320">
        <f ca="1">Calculations3!C82</f>
        <v>9159801.59485518</v>
      </c>
      <c r="E74" s="320">
        <f ca="1">Calculations3!D82</f>
        <v>19818908.298325758</v>
      </c>
      <c r="F74" s="320">
        <f ca="1">Calculations3!E82</f>
        <v>33389974.657834232</v>
      </c>
      <c r="G74" s="320">
        <f ca="1">Calculations3!F82</f>
        <v>47934178.157782525</v>
      </c>
      <c r="H74" s="320">
        <f ca="1">Calculations3!G82</f>
        <v>59739086.177095048</v>
      </c>
      <c r="I74" s="321"/>
      <c r="J74" s="319"/>
      <c r="K74" s="318">
        <f ca="1">AVERAGE(D74:H74)</f>
        <v>34008389.777178548</v>
      </c>
      <c r="L74" s="9"/>
      <c r="M74" s="9"/>
      <c r="N74" s="9"/>
      <c r="O74" s="9"/>
      <c r="P74" s="9"/>
      <c r="Q74" s="9"/>
      <c r="R74" s="9"/>
      <c r="S74" s="9"/>
      <c r="T74" s="9"/>
      <c r="U74" s="9"/>
      <c r="V74" s="9"/>
      <c r="W74" s="9"/>
      <c r="X74" s="9"/>
    </row>
    <row r="75" spans="2:24">
      <c r="B75" s="9"/>
      <c r="C75" s="282" t="s">
        <v>187</v>
      </c>
      <c r="D75" s="322">
        <f ca="1">D74-D73</f>
        <v>985101.38030418009</v>
      </c>
      <c r="E75" s="322">
        <f t="shared" ref="E75:H75" ca="1" si="8">E74-E73</f>
        <v>4432799.2525060065</v>
      </c>
      <c r="F75" s="322">
        <f t="shared" ca="1" si="8"/>
        <v>10738173.40981923</v>
      </c>
      <c r="G75" s="322">
        <f t="shared" ca="1" si="8"/>
        <v>17961894.201182276</v>
      </c>
      <c r="H75" s="322">
        <f t="shared" ca="1" si="8"/>
        <v>22390357.412746795</v>
      </c>
      <c r="I75" s="322">
        <f ca="1">SUM(D75:H75)</f>
        <v>56508325.656558491</v>
      </c>
      <c r="J75" s="319"/>
      <c r="K75" s="318">
        <f ca="1">AVERAGE(D75:H75)</f>
        <v>11301665.131311698</v>
      </c>
      <c r="L75" s="9"/>
      <c r="M75" s="9"/>
      <c r="N75" s="9"/>
      <c r="O75" s="9"/>
      <c r="P75" s="9"/>
      <c r="Q75" s="9"/>
      <c r="R75" s="9"/>
      <c r="S75" s="9"/>
      <c r="T75" s="9"/>
      <c r="U75" s="9"/>
      <c r="V75" s="9"/>
      <c r="W75" s="9"/>
      <c r="X75" s="9"/>
    </row>
    <row r="76" spans="2:24">
      <c r="D76" s="323"/>
      <c r="E76" s="323"/>
      <c r="F76" s="323"/>
      <c r="G76" s="323"/>
      <c r="H76" s="323"/>
      <c r="I76" s="323"/>
      <c r="J76" s="323"/>
      <c r="K76" s="323"/>
    </row>
    <row r="81" spans="2:24">
      <c r="B81" s="492" t="s">
        <v>192</v>
      </c>
      <c r="C81" s="493"/>
      <c r="D81" s="189">
        <f>ano_1</f>
        <v>2026</v>
      </c>
      <c r="E81" s="189">
        <f>D81+1</f>
        <v>2027</v>
      </c>
      <c r="F81" s="189">
        <f t="shared" ref="F81:H81" si="9">E81+1</f>
        <v>2028</v>
      </c>
      <c r="G81" s="189">
        <f t="shared" si="9"/>
        <v>2029</v>
      </c>
      <c r="H81" s="189">
        <f t="shared" si="9"/>
        <v>2030</v>
      </c>
      <c r="I81" s="189" t="s">
        <v>313</v>
      </c>
      <c r="J81" s="9"/>
      <c r="K81" s="189" t="s">
        <v>190</v>
      </c>
      <c r="L81" s="9"/>
      <c r="M81" s="9"/>
      <c r="N81" s="9"/>
      <c r="O81" s="9"/>
      <c r="P81" s="9"/>
      <c r="Q81" s="9"/>
      <c r="R81" s="9"/>
      <c r="S81" s="9"/>
      <c r="T81" s="9"/>
      <c r="U81" s="9"/>
      <c r="V81" s="9"/>
      <c r="W81" s="9"/>
      <c r="X81" s="9"/>
    </row>
    <row r="82" spans="2:24">
      <c r="B82" s="9"/>
      <c r="C82" s="279" t="str">
        <f>C73</f>
        <v>Do not fill this line</v>
      </c>
      <c r="D82" s="318">
        <f ca="1">IF($E$69&gt;0,Calculations3!K25,0)</f>
        <v>6427969.3994760001</v>
      </c>
      <c r="E82" s="318">
        <f ca="1">IF($E$69&gt;0,Calculations3!L25,0)</f>
        <v>12906418.751901001</v>
      </c>
      <c r="F82" s="318">
        <f ca="1">IF($E$69&gt;0,Calculations3!M25,0)</f>
        <v>19433897.355390001</v>
      </c>
      <c r="G82" s="318">
        <f ca="1">IF($E$69&gt;0,Calculations3!N25,0)</f>
        <v>26010621.642519001</v>
      </c>
      <c r="H82" s="318">
        <f ca="1">IF($E$69&gt;0,Calculations3!O25,0)</f>
        <v>32637540.069417</v>
      </c>
      <c r="I82" s="319"/>
      <c r="J82" s="319"/>
      <c r="K82" s="318">
        <f ca="1">AVERAGE(D82:H82)</f>
        <v>19483289.443740599</v>
      </c>
      <c r="L82" s="9"/>
      <c r="M82" s="9"/>
      <c r="N82" s="9"/>
      <c r="O82" s="9"/>
      <c r="P82" s="9"/>
      <c r="Q82" s="9"/>
      <c r="R82" s="9"/>
      <c r="S82" s="9"/>
      <c r="T82" s="9"/>
      <c r="U82" s="9"/>
      <c r="V82" s="9"/>
      <c r="W82" s="9"/>
      <c r="X82" s="9"/>
    </row>
    <row r="83" spans="2:24" ht="15" thickBot="1">
      <c r="B83" s="280"/>
      <c r="C83" s="281" t="str">
        <f>C74</f>
        <v>Alternative scenario 3:</v>
      </c>
      <c r="D83" s="320">
        <f ca="1">Calculations3!K82</f>
        <v>7413070.7797801802</v>
      </c>
      <c r="E83" s="320">
        <f ca="1">Calculations3!L82</f>
        <v>17340510.379712421</v>
      </c>
      <c r="F83" s="320">
        <f ca="1">Calculations3!M82</f>
        <v>30179199.597074728</v>
      </c>
      <c r="G83" s="320">
        <f ca="1">Calculations3!N82</f>
        <v>43995217.936410032</v>
      </c>
      <c r="H83" s="320">
        <f ca="1">Calculations3!O82</f>
        <v>55080788.681006394</v>
      </c>
      <c r="I83" s="321"/>
      <c r="J83" s="319"/>
      <c r="K83" s="318">
        <f ca="1">AVERAGE(D83:H83)</f>
        <v>30801757.474796753</v>
      </c>
      <c r="L83" s="9"/>
      <c r="M83" s="9"/>
      <c r="N83" s="9"/>
      <c r="O83" s="9"/>
      <c r="P83" s="9"/>
      <c r="Q83" s="9"/>
      <c r="R83" s="9"/>
      <c r="S83" s="9"/>
      <c r="T83" s="9"/>
      <c r="U83" s="9"/>
      <c r="V83" s="9"/>
      <c r="W83" s="9"/>
      <c r="X83" s="9"/>
    </row>
    <row r="84" spans="2:24">
      <c r="B84" s="9"/>
      <c r="C84" s="282" t="str">
        <f>C75</f>
        <v>Incremental budget impact</v>
      </c>
      <c r="D84" s="322">
        <f ca="1">D83-D82</f>
        <v>985101.38030418009</v>
      </c>
      <c r="E84" s="322">
        <f t="shared" ref="E84:H84" ca="1" si="10">E83-E82</f>
        <v>4434091.6278114207</v>
      </c>
      <c r="F84" s="322">
        <f t="shared" ca="1" si="10"/>
        <v>10745302.241684727</v>
      </c>
      <c r="G84" s="322">
        <f t="shared" ca="1" si="10"/>
        <v>17984596.293891031</v>
      </c>
      <c r="H84" s="322">
        <f t="shared" ca="1" si="10"/>
        <v>22443248.611589395</v>
      </c>
      <c r="I84" s="322">
        <f ca="1">SUM(D84:H84)</f>
        <v>56592340.155280754</v>
      </c>
      <c r="J84" s="319"/>
      <c r="K84" s="318">
        <f ca="1">AVERAGE(D84:H84)</f>
        <v>11318468.031056151</v>
      </c>
      <c r="L84" s="9"/>
      <c r="M84" s="9"/>
      <c r="N84" s="9"/>
      <c r="O84" s="9"/>
      <c r="P84" s="9"/>
      <c r="Q84" s="9"/>
      <c r="R84" s="9"/>
      <c r="S84" s="9"/>
      <c r="T84" s="9"/>
      <c r="U84" s="9"/>
      <c r="V84" s="9"/>
      <c r="W84" s="9"/>
      <c r="X84" s="9"/>
    </row>
    <row r="92" spans="2:24" ht="64.95" customHeight="1">
      <c r="B92" s="491"/>
      <c r="C92" s="491"/>
      <c r="D92" s="491"/>
      <c r="E92" s="491"/>
      <c r="F92" s="491"/>
      <c r="G92" s="491"/>
      <c r="H92" s="491"/>
      <c r="I92" s="491"/>
      <c r="J92" s="9"/>
      <c r="K92" s="9"/>
      <c r="L92" s="9"/>
      <c r="M92" s="9"/>
      <c r="N92" s="9"/>
      <c r="O92" s="9"/>
      <c r="P92" s="9"/>
      <c r="Q92" s="9"/>
      <c r="R92" s="9"/>
      <c r="S92" s="9"/>
      <c r="T92" s="9"/>
      <c r="U92" s="9"/>
      <c r="V92" s="9"/>
      <c r="W92" s="9"/>
      <c r="X92" s="9"/>
    </row>
    <row r="94" spans="2:24" ht="13.95" customHeight="1">
      <c r="B94" s="7"/>
      <c r="C94" s="7"/>
      <c r="D94" s="7"/>
      <c r="E94" s="7"/>
      <c r="F94" s="7"/>
      <c r="G94" s="7"/>
      <c r="H94" s="7"/>
      <c r="I94" s="7"/>
      <c r="J94" s="7"/>
      <c r="K94" s="7"/>
      <c r="L94" s="142"/>
      <c r="M94" s="142"/>
      <c r="N94" s="9"/>
      <c r="O94" s="9"/>
      <c r="P94" s="9"/>
      <c r="Q94" s="9"/>
      <c r="R94" s="9"/>
      <c r="S94" s="9"/>
      <c r="T94" s="9"/>
      <c r="U94" s="9"/>
      <c r="V94" s="9"/>
      <c r="W94" s="9"/>
      <c r="X94" s="9"/>
    </row>
    <row r="95" spans="2:24">
      <c r="B95" s="65"/>
      <c r="C95" s="65"/>
      <c r="D95" s="65"/>
      <c r="E95" s="65"/>
      <c r="F95" s="65"/>
      <c r="G95" s="65"/>
      <c r="H95" s="65"/>
      <c r="I95" s="65"/>
      <c r="J95" s="65"/>
      <c r="K95" s="65"/>
      <c r="L95" s="65"/>
      <c r="M95" s="65"/>
    </row>
    <row r="96" spans="2:24">
      <c r="B96" s="404" t="s">
        <v>77</v>
      </c>
      <c r="C96" s="404"/>
      <c r="D96" s="404"/>
      <c r="E96" s="404"/>
      <c r="F96" s="404"/>
      <c r="G96" s="404"/>
      <c r="H96" s="404"/>
      <c r="I96" s="404"/>
      <c r="J96" s="404"/>
      <c r="K96" s="404"/>
      <c r="L96" s="404"/>
      <c r="M96" s="404"/>
    </row>
    <row r="97" spans="2:13">
      <c r="B97" s="404"/>
      <c r="C97" s="404"/>
      <c r="D97" s="404"/>
      <c r="E97" s="404"/>
      <c r="F97" s="404"/>
      <c r="G97" s="404"/>
      <c r="H97" s="404"/>
      <c r="I97" s="404"/>
      <c r="J97" s="404"/>
      <c r="K97" s="404"/>
      <c r="L97" s="404"/>
      <c r="M97" s="404"/>
    </row>
    <row r="98" spans="2:13" s="1" customFormat="1" ht="85.95" customHeight="1">
      <c r="B98" s="403" t="e" vm="1">
        <v>#VALUE!</v>
      </c>
      <c r="C98" s="403"/>
      <c r="D98" s="403"/>
      <c r="E98" s="403"/>
      <c r="F98" s="403"/>
      <c r="G98" s="403"/>
      <c r="H98" s="403"/>
      <c r="I98" s="403"/>
      <c r="J98" s="403"/>
      <c r="K98" s="403"/>
      <c r="L98" s="403"/>
      <c r="M98" s="403"/>
    </row>
  </sheetData>
  <sheetProtection formatColumns="0" formatRows="0" autoFilter="0" pivotTables="0"/>
  <mergeCells count="11">
    <mergeCell ref="B12:C13"/>
    <mergeCell ref="B96:M97"/>
    <mergeCell ref="B98:M98"/>
    <mergeCell ref="T19:W21"/>
    <mergeCell ref="B92:I92"/>
    <mergeCell ref="B21:C21"/>
    <mergeCell ref="B30:C30"/>
    <mergeCell ref="B47:C47"/>
    <mergeCell ref="B56:C56"/>
    <mergeCell ref="B72:C72"/>
    <mergeCell ref="B81:C81"/>
  </mergeCells>
  <conditionalFormatting sqref="D13">
    <cfRule type="expression" dxfId="0" priority="1">
      <formula>IF($H$45=2,TRUE,FALSE)</formula>
    </cfRule>
  </conditionalFormatting>
  <dataValidations count="1">
    <dataValidation type="list" allowBlank="1" showInputMessage="1" showErrorMessage="1" sqref="D13" xr:uid="{B564552F-24C9-0649-8D40-7D35E97FF8B9}">
      <formula1>"Yes,No"</formula1>
    </dataValidation>
  </dataValidation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9D00B-97E7-4A00-857B-37FBE786C7EB}">
  <sheetPr codeName="Planilha20">
    <tabColor rgb="FF726C5A"/>
  </sheetPr>
  <dimension ref="A1:Z77"/>
  <sheetViews>
    <sheetView showGridLines="0" showRowColHeaders="0" zoomScaleNormal="100" workbookViewId="0">
      <selection activeCell="M9" sqref="M9"/>
    </sheetView>
  </sheetViews>
  <sheetFormatPr defaultColWidth="8.77734375" defaultRowHeight="14.4"/>
  <cols>
    <col min="1" max="1" width="8.33203125" style="1" customWidth="1"/>
    <col min="2" max="2" width="31.6640625" style="1" customWidth="1"/>
    <col min="3" max="3" width="20.6640625" style="1" customWidth="1"/>
    <col min="4" max="7" width="18.109375" style="1" customWidth="1"/>
    <col min="8" max="8" width="25.6640625" style="1" customWidth="1"/>
    <col min="9" max="9" width="21.44140625" style="1" customWidth="1"/>
    <col min="10" max="21" width="8.77734375" style="1" customWidth="1"/>
    <col min="22" max="22" width="17.33203125" style="1" customWidth="1"/>
    <col min="23" max="23" width="21.77734375" style="1" customWidth="1"/>
    <col min="24" max="24" width="17.6640625" style="1" customWidth="1"/>
    <col min="25" max="44" width="8.77734375" style="1" customWidth="1"/>
    <col min="45" max="16384" width="8.77734375" style="1"/>
  </cols>
  <sheetData>
    <row r="1" spans="1:26" s="33" customFormat="1" ht="33.6">
      <c r="A1" s="36"/>
      <c r="B1" s="34" t="str">
        <f>Introduction!$B$1</f>
        <v>Budget impact analysis of treatments for Advanced cancer</v>
      </c>
      <c r="C1" s="34"/>
      <c r="D1" s="35"/>
      <c r="E1" s="36"/>
      <c r="F1" s="36"/>
      <c r="G1" s="36"/>
      <c r="H1" s="36"/>
      <c r="I1" s="36"/>
      <c r="J1" s="36"/>
      <c r="K1" s="36"/>
      <c r="L1" s="36"/>
      <c r="M1" s="36"/>
      <c r="N1" s="36"/>
      <c r="O1" s="36"/>
      <c r="P1" s="36"/>
      <c r="Q1" s="36"/>
      <c r="R1" s="36"/>
      <c r="S1" s="36"/>
      <c r="T1" s="36"/>
      <c r="U1" s="36"/>
      <c r="V1" s="36"/>
      <c r="W1" s="36"/>
      <c r="X1" s="36"/>
      <c r="Y1" s="36"/>
      <c r="Z1" s="36"/>
    </row>
    <row r="2" spans="1:26" s="33" customFormat="1" ht="18">
      <c r="A2" s="36"/>
      <c r="B2" s="37"/>
      <c r="C2" s="37"/>
      <c r="D2" s="38"/>
      <c r="E2" s="39"/>
      <c r="F2" s="39"/>
      <c r="G2" s="39"/>
      <c r="H2" s="39"/>
      <c r="I2" s="39"/>
      <c r="J2" s="39"/>
      <c r="K2" s="39"/>
      <c r="L2" s="39"/>
      <c r="M2" s="36"/>
      <c r="N2" s="36"/>
      <c r="O2" s="36"/>
      <c r="P2" s="36"/>
      <c r="Q2" s="36"/>
      <c r="R2" s="36"/>
      <c r="S2" s="36"/>
      <c r="T2" s="36"/>
      <c r="U2" s="36"/>
      <c r="V2" s="36"/>
      <c r="W2" s="36"/>
      <c r="X2" s="36"/>
      <c r="Y2" s="36"/>
      <c r="Z2" s="36"/>
    </row>
    <row r="3" spans="1:26" s="45" customFormat="1" ht="2.25" customHeight="1">
      <c r="D3" s="46"/>
    </row>
    <row r="4" spans="1:26">
      <c r="A4" s="8"/>
      <c r="B4" s="8"/>
      <c r="C4" s="8"/>
      <c r="D4" s="8"/>
      <c r="E4" s="8"/>
      <c r="F4" s="8"/>
      <c r="G4" s="8"/>
      <c r="H4" s="8"/>
      <c r="I4" s="8"/>
      <c r="J4" s="8"/>
      <c r="K4" s="8"/>
      <c r="L4" s="8"/>
      <c r="M4" s="8"/>
      <c r="N4" s="8"/>
      <c r="O4" s="8"/>
      <c r="P4" s="8"/>
      <c r="Q4" s="8"/>
      <c r="R4" s="8"/>
      <c r="S4" s="8"/>
      <c r="T4" s="8"/>
      <c r="U4" s="8"/>
      <c r="V4" s="8"/>
      <c r="W4" s="8"/>
      <c r="X4" s="8"/>
      <c r="Y4" s="8"/>
      <c r="Z4" s="8"/>
    </row>
    <row r="5" spans="1:26" s="40" customFormat="1" ht="18">
      <c r="A5" s="31"/>
      <c r="B5" s="47" t="s">
        <v>312</v>
      </c>
      <c r="D5" s="41"/>
      <c r="F5" s="272"/>
    </row>
    <row r="6" spans="1:26" s="40" customFormat="1" ht="15" customHeight="1">
      <c r="A6" s="31"/>
      <c r="B6" s="31"/>
      <c r="D6" s="31"/>
      <c r="E6" s="31"/>
      <c r="F6" s="272"/>
    </row>
    <row r="7" spans="1:26">
      <c r="A7" s="8"/>
      <c r="B7" s="58"/>
      <c r="C7" s="58"/>
      <c r="D7" s="273"/>
      <c r="E7" s="58"/>
      <c r="F7" s="58"/>
      <c r="G7" s="58"/>
      <c r="H7" s="58"/>
      <c r="I7" s="58"/>
      <c r="J7" s="8"/>
      <c r="K7" s="8"/>
      <c r="L7" s="8"/>
      <c r="M7" s="8"/>
      <c r="N7" s="8"/>
      <c r="O7" s="8"/>
      <c r="P7" s="8"/>
      <c r="Q7" s="8"/>
      <c r="R7" s="8"/>
      <c r="S7" s="8"/>
      <c r="T7" s="8"/>
      <c r="U7" s="8"/>
      <c r="V7" s="8"/>
      <c r="W7" s="8"/>
      <c r="X7" s="8"/>
      <c r="Y7" s="8"/>
      <c r="Z7" s="8"/>
    </row>
    <row r="8" spans="1:26" ht="18">
      <c r="A8" s="8"/>
      <c r="B8" s="57" t="str">
        <f>'Mkt share'!B39</f>
        <v>Alternative scenario 1:</v>
      </c>
      <c r="C8" s="47" t="str">
        <f>cen_prop1</f>
        <v>Drug 1 only</v>
      </c>
      <c r="D8" s="47"/>
      <c r="E8" s="47"/>
      <c r="F8" s="47"/>
      <c r="G8" s="47"/>
      <c r="H8" s="47"/>
      <c r="I8" s="47"/>
      <c r="J8" s="8"/>
      <c r="K8" s="8"/>
      <c r="L8" s="8"/>
      <c r="M8" s="8"/>
      <c r="N8" s="8"/>
      <c r="O8" s="8"/>
      <c r="P8" s="8"/>
      <c r="Q8" s="8"/>
      <c r="R8" s="8"/>
      <c r="S8" s="8"/>
      <c r="T8" s="8"/>
      <c r="U8" s="8"/>
      <c r="V8" s="8"/>
      <c r="W8" s="8"/>
      <c r="X8" s="8"/>
      <c r="Y8" s="8"/>
      <c r="Z8" s="8"/>
    </row>
    <row r="9" spans="1:26">
      <c r="A9" s="8"/>
      <c r="B9" s="8"/>
      <c r="C9" s="8"/>
      <c r="D9" s="8"/>
      <c r="E9" s="8"/>
      <c r="F9" s="8"/>
      <c r="G9" s="8"/>
      <c r="H9" s="8"/>
      <c r="I9" s="8"/>
      <c r="J9" s="8"/>
      <c r="K9" s="8"/>
      <c r="L9" s="8"/>
      <c r="M9" s="8"/>
      <c r="N9" s="8"/>
      <c r="O9" s="8"/>
      <c r="P9" s="8"/>
      <c r="Q9" s="8"/>
      <c r="R9" s="8"/>
      <c r="S9" s="8"/>
      <c r="T9" s="8"/>
      <c r="U9" s="8"/>
      <c r="V9" s="8"/>
      <c r="W9" s="8"/>
      <c r="X9" s="8"/>
      <c r="Y9" s="8"/>
      <c r="Z9" s="8"/>
    </row>
    <row r="10" spans="1:26" ht="14.55" customHeight="1">
      <c r="A10" s="8"/>
      <c r="B10" s="8"/>
      <c r="C10" s="8"/>
      <c r="D10" s="8"/>
      <c r="E10" s="8"/>
      <c r="F10" s="8"/>
      <c r="G10" s="8"/>
      <c r="H10" s="8"/>
      <c r="I10" s="8"/>
      <c r="J10" s="8"/>
      <c r="K10" s="8"/>
      <c r="L10" s="8"/>
      <c r="M10" s="8"/>
      <c r="N10" s="8"/>
      <c r="O10" s="8"/>
      <c r="P10" s="8"/>
      <c r="Q10" s="8"/>
      <c r="R10" s="8"/>
      <c r="S10" s="8"/>
      <c r="T10" s="494"/>
      <c r="U10" s="494"/>
      <c r="V10" s="494"/>
      <c r="W10" s="494"/>
      <c r="X10" s="8"/>
      <c r="Y10" s="8"/>
      <c r="Z10" s="8"/>
    </row>
    <row r="11" spans="1:26">
      <c r="A11" s="8"/>
      <c r="B11" s="8"/>
      <c r="C11" s="8"/>
      <c r="D11" s="8"/>
      <c r="E11" s="8"/>
      <c r="F11" s="8"/>
      <c r="G11" s="8"/>
      <c r="H11" s="8"/>
      <c r="I11" s="8"/>
      <c r="J11" s="8"/>
      <c r="K11" s="8"/>
      <c r="L11" s="8"/>
      <c r="M11" s="8"/>
      <c r="N11" s="8"/>
      <c r="O11" s="8"/>
      <c r="P11" s="8"/>
      <c r="Q11" s="8"/>
      <c r="R11" s="8"/>
      <c r="S11" s="8"/>
      <c r="T11" s="494"/>
      <c r="U11" s="494"/>
      <c r="V11" s="494"/>
      <c r="W11" s="494"/>
      <c r="X11" s="8"/>
      <c r="Y11" s="8"/>
      <c r="Z11" s="8"/>
    </row>
    <row r="12" spans="1:26">
      <c r="A12" s="8"/>
      <c r="B12" s="8"/>
      <c r="C12" s="8"/>
      <c r="D12" s="8"/>
      <c r="E12" s="8"/>
      <c r="F12" s="8"/>
      <c r="G12" s="8"/>
      <c r="H12" s="8"/>
      <c r="I12" s="8"/>
      <c r="J12" s="8"/>
      <c r="K12" s="8"/>
      <c r="L12" s="8"/>
      <c r="M12" s="8"/>
      <c r="N12" s="8"/>
      <c r="O12" s="8"/>
      <c r="P12" s="8"/>
      <c r="Q12" s="8"/>
      <c r="R12" s="8"/>
      <c r="S12" s="8"/>
      <c r="T12" s="494"/>
      <c r="U12" s="494"/>
      <c r="V12" s="494"/>
      <c r="W12" s="494"/>
      <c r="X12" s="8"/>
      <c r="Y12" s="8"/>
      <c r="Z12" s="8"/>
    </row>
    <row r="13" spans="1:26">
      <c r="A13" s="8"/>
      <c r="B13" s="8"/>
      <c r="C13" s="8"/>
      <c r="D13" s="8"/>
      <c r="E13" s="8"/>
      <c r="F13" s="8"/>
      <c r="G13" s="8"/>
      <c r="H13" s="8"/>
      <c r="I13" s="8"/>
      <c r="J13" s="8"/>
      <c r="K13" s="8"/>
      <c r="L13" s="8"/>
      <c r="M13" s="8"/>
      <c r="N13" s="8"/>
      <c r="O13" s="8"/>
      <c r="P13" s="8"/>
      <c r="Q13" s="8"/>
      <c r="R13" s="8"/>
      <c r="S13" s="8"/>
      <c r="T13" s="8"/>
      <c r="U13" s="8"/>
      <c r="V13" s="8"/>
      <c r="W13" s="8"/>
      <c r="X13" s="8"/>
      <c r="Y13" s="8"/>
      <c r="Z13" s="8"/>
    </row>
    <row r="14" spans="1:26">
      <c r="A14" s="8"/>
      <c r="B14" s="8"/>
      <c r="C14" s="8"/>
      <c r="D14" s="8"/>
      <c r="E14" s="8"/>
      <c r="F14" s="8"/>
      <c r="G14" s="8"/>
      <c r="H14" s="8"/>
      <c r="I14" s="8"/>
      <c r="J14" s="8"/>
      <c r="K14" s="8"/>
      <c r="L14" s="8"/>
      <c r="M14" s="8"/>
      <c r="N14" s="8"/>
      <c r="O14" s="8"/>
      <c r="P14" s="8"/>
      <c r="Q14" s="8"/>
      <c r="R14" s="8"/>
      <c r="S14" s="8"/>
      <c r="T14" s="8"/>
      <c r="U14" s="8"/>
      <c r="V14" s="8"/>
      <c r="W14" s="8"/>
      <c r="X14" s="8"/>
      <c r="Y14" s="8"/>
      <c r="Z14" s="8"/>
    </row>
    <row r="15" spans="1:26">
      <c r="A15" s="8"/>
      <c r="B15" s="8"/>
      <c r="C15" s="8"/>
      <c r="D15" s="8"/>
      <c r="E15" s="8"/>
      <c r="F15" s="8"/>
      <c r="G15" s="8"/>
      <c r="H15" s="8"/>
      <c r="I15" s="8"/>
      <c r="J15" s="8"/>
      <c r="K15" s="8"/>
      <c r="L15" s="8"/>
      <c r="M15" s="8"/>
      <c r="N15" s="8"/>
      <c r="O15" s="8"/>
      <c r="P15" s="8"/>
      <c r="Q15" s="8"/>
      <c r="R15" s="8"/>
      <c r="S15" s="8"/>
      <c r="T15" s="8"/>
      <c r="U15" s="8"/>
      <c r="V15" s="8"/>
      <c r="W15" s="8"/>
      <c r="X15" s="8"/>
      <c r="Y15" s="8"/>
      <c r="Z15" s="8"/>
    </row>
    <row r="18" spans="8:23">
      <c r="H18" s="8"/>
      <c r="I18" s="8"/>
      <c r="J18" s="8"/>
      <c r="K18" s="8"/>
      <c r="L18" s="8"/>
      <c r="M18" s="8"/>
      <c r="N18" s="8"/>
      <c r="O18" s="8"/>
      <c r="P18" s="8"/>
      <c r="Q18" s="8"/>
      <c r="R18" s="8"/>
      <c r="S18" s="8"/>
      <c r="T18" s="8"/>
      <c r="U18" s="8"/>
      <c r="V18" s="8"/>
      <c r="W18" s="8"/>
    </row>
    <row r="19" spans="8:23">
      <c r="H19" s="8"/>
      <c r="I19" s="119"/>
      <c r="J19" s="8"/>
      <c r="K19" s="8"/>
      <c r="L19" s="8"/>
      <c r="M19" s="8"/>
      <c r="N19" s="8"/>
      <c r="O19" s="8"/>
      <c r="P19" s="8"/>
      <c r="Q19" s="8"/>
      <c r="R19" s="8"/>
      <c r="S19" s="8"/>
      <c r="T19" s="8"/>
      <c r="U19" s="8"/>
      <c r="V19" s="8"/>
      <c r="W19" s="8"/>
    </row>
    <row r="20" spans="8:23">
      <c r="H20" s="52" t="s">
        <v>311</v>
      </c>
      <c r="I20" s="317">
        <f ca="1">Results!I24</f>
        <v>25441631.619969293</v>
      </c>
      <c r="J20" s="8"/>
      <c r="K20" s="8"/>
      <c r="L20" s="8"/>
      <c r="M20" s="8"/>
      <c r="N20" s="8"/>
      <c r="O20" s="8"/>
      <c r="P20" s="8"/>
      <c r="Q20" s="8"/>
      <c r="R20" s="8"/>
      <c r="S20" s="8"/>
      <c r="T20" s="8"/>
      <c r="U20" s="8"/>
      <c r="V20" s="8"/>
      <c r="W20" s="8"/>
    </row>
    <row r="21" spans="8:23">
      <c r="H21" s="52" t="s">
        <v>309</v>
      </c>
      <c r="I21" s="317">
        <f>MIN(DSA!C70:D129)*0.8</f>
        <v>14445280.50673151</v>
      </c>
      <c r="J21" s="8"/>
      <c r="K21" s="8"/>
      <c r="L21" s="8"/>
      <c r="M21" s="8"/>
      <c r="N21" s="8"/>
      <c r="O21" s="8"/>
      <c r="P21" s="8"/>
      <c r="Q21" s="8"/>
      <c r="R21" s="8"/>
      <c r="S21" s="8"/>
      <c r="T21" s="8"/>
      <c r="U21" s="8"/>
      <c r="V21" s="8"/>
      <c r="W21" s="8"/>
    </row>
    <row r="22" spans="8:23">
      <c r="H22" s="52" t="s">
        <v>310</v>
      </c>
      <c r="I22" s="317">
        <f>MAX(DSA!C70:D129)*1.2</f>
        <v>39391995.127829023</v>
      </c>
      <c r="J22" s="8"/>
      <c r="K22" s="8"/>
      <c r="L22" s="8"/>
      <c r="M22" s="8"/>
      <c r="N22" s="8"/>
      <c r="O22" s="8"/>
      <c r="P22" s="8"/>
      <c r="Q22" s="8"/>
      <c r="R22" s="8"/>
      <c r="S22" s="8"/>
      <c r="T22" s="8"/>
      <c r="U22" s="8"/>
      <c r="V22" s="8"/>
      <c r="W22" s="8"/>
    </row>
    <row r="39" spans="2:24">
      <c r="B39" s="8"/>
      <c r="C39" s="8"/>
      <c r="D39" s="272"/>
      <c r="E39" s="8"/>
      <c r="F39" s="8"/>
      <c r="G39" s="8"/>
      <c r="H39" s="8"/>
      <c r="I39" s="8"/>
      <c r="J39" s="8"/>
      <c r="K39" s="8"/>
      <c r="L39" s="8"/>
      <c r="M39" s="8"/>
      <c r="N39" s="8"/>
      <c r="O39" s="8"/>
      <c r="P39" s="8"/>
      <c r="Q39" s="8"/>
      <c r="R39" s="8"/>
      <c r="S39" s="8"/>
      <c r="T39" s="8"/>
      <c r="U39" s="8"/>
      <c r="V39" s="8"/>
      <c r="W39" s="8"/>
      <c r="X39" s="8"/>
    </row>
    <row r="40" spans="2:24">
      <c r="B40" s="58"/>
      <c r="C40" s="58"/>
      <c r="D40" s="273"/>
      <c r="E40" s="58"/>
      <c r="F40" s="58"/>
      <c r="G40" s="58"/>
      <c r="H40" s="58"/>
      <c r="I40" s="58"/>
      <c r="J40" s="8"/>
      <c r="K40" s="8"/>
      <c r="L40" s="8"/>
      <c r="M40" s="8"/>
      <c r="N40" s="8"/>
      <c r="O40" s="8"/>
      <c r="P40" s="8"/>
      <c r="Q40" s="8"/>
      <c r="R40" s="8"/>
      <c r="S40" s="8"/>
      <c r="T40" s="8"/>
      <c r="U40" s="8"/>
      <c r="V40" s="8"/>
      <c r="W40" s="8"/>
      <c r="X40" s="8"/>
    </row>
    <row r="41" spans="2:24" ht="18">
      <c r="B41" s="57" t="str">
        <f>'Mkt share'!B59</f>
        <v>Alternative scenario 2:</v>
      </c>
      <c r="C41" s="47" t="str">
        <f>cen_prop2</f>
        <v>Drug 2 only</v>
      </c>
      <c r="D41" s="47"/>
      <c r="E41" s="47"/>
      <c r="F41" s="47"/>
      <c r="G41" s="47"/>
      <c r="H41" s="47"/>
      <c r="I41" s="47"/>
      <c r="J41" s="8"/>
      <c r="K41" s="8"/>
      <c r="L41" s="8"/>
      <c r="M41" s="8"/>
      <c r="N41" s="8"/>
      <c r="O41" s="8"/>
      <c r="P41" s="8"/>
      <c r="Q41" s="8"/>
      <c r="R41" s="8"/>
      <c r="S41" s="8"/>
      <c r="T41" s="8"/>
      <c r="U41" s="8"/>
      <c r="V41" s="8"/>
      <c r="W41" s="8"/>
      <c r="X41" s="8"/>
    </row>
    <row r="42" spans="2:24">
      <c r="B42" s="8"/>
      <c r="C42" s="8"/>
      <c r="D42" s="8"/>
      <c r="E42" s="8"/>
      <c r="F42" s="8"/>
      <c r="G42" s="8"/>
      <c r="H42" s="8"/>
      <c r="I42" s="8"/>
      <c r="J42" s="8"/>
      <c r="K42" s="8"/>
      <c r="L42" s="8"/>
      <c r="M42" s="8"/>
      <c r="N42" s="8"/>
      <c r="O42" s="8"/>
      <c r="P42" s="8"/>
      <c r="Q42" s="8"/>
      <c r="R42" s="8"/>
      <c r="S42" s="8"/>
      <c r="T42" s="8"/>
      <c r="U42" s="8"/>
      <c r="V42" s="8"/>
      <c r="W42" s="8"/>
      <c r="X42" s="8"/>
    </row>
    <row r="43" spans="2:24" ht="14.55" customHeight="1">
      <c r="B43" s="8"/>
      <c r="C43" s="8"/>
      <c r="D43" s="8"/>
      <c r="E43" s="8"/>
      <c r="F43" s="8"/>
      <c r="G43" s="8"/>
      <c r="H43" s="8"/>
      <c r="I43" s="8"/>
      <c r="J43" s="8"/>
      <c r="K43" s="8"/>
      <c r="L43" s="8"/>
      <c r="M43" s="8"/>
      <c r="N43" s="8"/>
      <c r="O43" s="8"/>
      <c r="P43" s="8"/>
      <c r="Q43" s="8"/>
      <c r="R43" s="8"/>
      <c r="S43" s="8"/>
      <c r="T43" s="494"/>
      <c r="U43" s="494"/>
      <c r="V43" s="494"/>
      <c r="W43" s="494"/>
      <c r="X43" s="8"/>
    </row>
    <row r="44" spans="2:24">
      <c r="B44" s="8"/>
      <c r="C44" s="8"/>
      <c r="D44" s="8"/>
      <c r="E44" s="8"/>
      <c r="F44" s="8"/>
      <c r="G44" s="8"/>
      <c r="H44" s="8"/>
      <c r="I44" s="8"/>
      <c r="J44" s="8"/>
      <c r="K44" s="8"/>
      <c r="L44" s="8"/>
      <c r="M44" s="8"/>
      <c r="N44" s="8"/>
      <c r="O44" s="8"/>
      <c r="P44" s="8"/>
      <c r="Q44" s="8"/>
      <c r="R44" s="8"/>
      <c r="S44" s="8"/>
      <c r="T44" s="494"/>
      <c r="U44" s="494"/>
      <c r="V44" s="494"/>
      <c r="W44" s="494"/>
      <c r="X44" s="8"/>
    </row>
    <row r="45" spans="2:24">
      <c r="B45" s="8"/>
      <c r="C45" s="8"/>
      <c r="D45" s="8"/>
      <c r="E45" s="8"/>
      <c r="F45" s="8"/>
      <c r="G45" s="8"/>
      <c r="H45" s="8"/>
      <c r="I45" s="8"/>
      <c r="J45" s="8"/>
      <c r="K45" s="8"/>
      <c r="L45" s="8"/>
      <c r="M45" s="8"/>
      <c r="N45" s="8"/>
      <c r="O45" s="8"/>
      <c r="P45" s="8"/>
      <c r="Q45" s="8"/>
      <c r="R45" s="8"/>
      <c r="S45" s="8"/>
      <c r="T45" s="494"/>
      <c r="U45" s="494"/>
      <c r="V45" s="494"/>
      <c r="W45" s="494"/>
      <c r="X45" s="8"/>
    </row>
    <row r="46" spans="2:24">
      <c r="B46" s="8"/>
      <c r="C46" s="8"/>
      <c r="D46" s="8"/>
      <c r="E46" s="8"/>
      <c r="F46" s="8"/>
      <c r="G46" s="8"/>
      <c r="H46" s="8"/>
      <c r="I46" s="8"/>
      <c r="J46" s="8"/>
      <c r="K46" s="8"/>
      <c r="L46" s="8"/>
      <c r="M46" s="8"/>
      <c r="N46" s="8"/>
      <c r="O46" s="8"/>
      <c r="P46" s="8"/>
      <c r="Q46" s="8"/>
      <c r="R46" s="8"/>
      <c r="S46" s="8"/>
      <c r="T46" s="8"/>
      <c r="U46" s="8"/>
      <c r="V46" s="8"/>
      <c r="W46" s="8"/>
      <c r="X46" s="8"/>
    </row>
    <row r="47" spans="2:24">
      <c r="B47" s="8"/>
      <c r="C47" s="8"/>
      <c r="D47" s="8"/>
      <c r="E47" s="8"/>
      <c r="F47" s="8"/>
      <c r="G47" s="8"/>
      <c r="H47" s="8"/>
      <c r="I47" s="8"/>
      <c r="J47" s="8"/>
      <c r="K47" s="8"/>
      <c r="L47" s="8"/>
      <c r="M47" s="8"/>
      <c r="N47" s="8"/>
      <c r="O47" s="8"/>
      <c r="P47" s="8"/>
      <c r="Q47" s="8"/>
      <c r="R47" s="8"/>
      <c r="S47" s="8"/>
      <c r="T47" s="8"/>
      <c r="U47" s="8"/>
      <c r="V47" s="8"/>
      <c r="W47" s="8"/>
      <c r="X47" s="8"/>
    </row>
    <row r="48" spans="2:24">
      <c r="B48" s="8"/>
      <c r="C48" s="8"/>
      <c r="D48" s="8"/>
      <c r="E48" s="8"/>
      <c r="F48" s="8"/>
      <c r="G48" s="8"/>
      <c r="H48" s="8"/>
      <c r="I48" s="8"/>
      <c r="J48" s="8"/>
      <c r="K48" s="8"/>
      <c r="L48" s="8"/>
      <c r="M48" s="8"/>
      <c r="N48" s="8"/>
      <c r="O48" s="8"/>
      <c r="P48" s="8"/>
      <c r="Q48" s="8"/>
      <c r="R48" s="8"/>
      <c r="S48" s="8"/>
      <c r="T48" s="8"/>
      <c r="U48" s="8"/>
      <c r="V48" s="8"/>
      <c r="W48" s="8"/>
      <c r="X48" s="8"/>
    </row>
    <row r="50" spans="8:23">
      <c r="H50" s="52" t="s">
        <v>311</v>
      </c>
      <c r="I50" s="317">
        <f ca="1">Results!I33</f>
        <v>25501998.148789361</v>
      </c>
      <c r="J50" s="8"/>
      <c r="K50" s="8"/>
      <c r="L50" s="8"/>
      <c r="M50" s="8"/>
      <c r="N50" s="8"/>
      <c r="O50" s="8"/>
      <c r="P50" s="8"/>
      <c r="Q50" s="8"/>
      <c r="R50" s="8"/>
      <c r="S50" s="8"/>
      <c r="T50" s="8"/>
      <c r="U50" s="8"/>
      <c r="V50" s="8"/>
      <c r="W50" s="8"/>
    </row>
    <row r="51" spans="8:23">
      <c r="H51" s="52" t="s">
        <v>309</v>
      </c>
      <c r="I51" s="317">
        <f>MIN(DSA!I70:J123)*0.8</f>
        <v>14493573.729787571</v>
      </c>
      <c r="J51" s="8"/>
      <c r="K51" s="8"/>
      <c r="L51" s="8"/>
      <c r="M51" s="8"/>
      <c r="N51" s="8"/>
      <c r="O51" s="8"/>
      <c r="P51" s="8"/>
      <c r="Q51" s="8"/>
      <c r="R51" s="8"/>
      <c r="S51" s="8"/>
      <c r="T51" s="8"/>
      <c r="U51" s="8"/>
      <c r="V51" s="8"/>
      <c r="W51" s="8"/>
    </row>
    <row r="52" spans="8:23">
      <c r="H52" s="52" t="s">
        <v>310</v>
      </c>
      <c r="I52" s="317">
        <f>MAX(DSA!I70:J123)*1.2</f>
        <v>39464434.962413125</v>
      </c>
      <c r="J52" s="8"/>
      <c r="K52" s="8"/>
      <c r="L52" s="8"/>
      <c r="M52" s="8"/>
      <c r="N52" s="8"/>
      <c r="O52" s="8"/>
      <c r="P52" s="8"/>
      <c r="Q52" s="8"/>
      <c r="R52" s="8"/>
      <c r="S52" s="8"/>
      <c r="T52" s="8"/>
      <c r="U52" s="8"/>
      <c r="V52" s="8"/>
      <c r="W52" s="8"/>
    </row>
    <row r="53" spans="8:23">
      <c r="H53" s="8"/>
      <c r="I53" s="8"/>
      <c r="J53" s="8"/>
      <c r="K53" s="8"/>
      <c r="L53" s="8"/>
      <c r="M53" s="8"/>
      <c r="N53" s="8"/>
      <c r="O53" s="8"/>
      <c r="P53" s="8"/>
      <c r="Q53" s="8"/>
      <c r="R53" s="8"/>
      <c r="S53" s="8"/>
      <c r="T53" s="8"/>
      <c r="U53" s="8"/>
      <c r="V53" s="8"/>
      <c r="W53" s="8"/>
    </row>
    <row r="54" spans="8:23">
      <c r="H54" s="8"/>
      <c r="I54" s="8"/>
      <c r="J54" s="8"/>
      <c r="K54" s="8"/>
      <c r="L54" s="8"/>
      <c r="M54" s="8"/>
      <c r="N54" s="8"/>
      <c r="O54" s="8"/>
      <c r="P54" s="8"/>
      <c r="Q54" s="8"/>
      <c r="R54" s="8"/>
      <c r="S54" s="8"/>
      <c r="T54" s="8"/>
      <c r="U54" s="8"/>
      <c r="V54" s="8"/>
      <c r="W54" s="8"/>
    </row>
    <row r="72" spans="2:24">
      <c r="B72" s="8"/>
      <c r="C72" s="8"/>
      <c r="D72" s="272"/>
      <c r="E72" s="8"/>
      <c r="F72" s="8"/>
      <c r="G72" s="8"/>
      <c r="H72" s="8"/>
      <c r="I72" s="8"/>
      <c r="J72" s="8"/>
      <c r="K72" s="8"/>
      <c r="L72" s="8"/>
      <c r="M72" s="8"/>
      <c r="N72" s="8"/>
      <c r="O72" s="8"/>
      <c r="P72" s="8"/>
      <c r="Q72" s="8"/>
      <c r="R72" s="8"/>
      <c r="S72" s="8"/>
      <c r="T72" s="8"/>
      <c r="U72" s="8"/>
      <c r="V72" s="8"/>
      <c r="W72" s="8"/>
      <c r="X72" s="8"/>
    </row>
    <row r="73" spans="2:24" s="3" customFormat="1" ht="13.95" customHeight="1">
      <c r="B73" s="7"/>
      <c r="C73" s="7"/>
      <c r="D73" s="7"/>
      <c r="E73" s="7"/>
      <c r="F73" s="7"/>
      <c r="G73" s="7"/>
      <c r="H73" s="7"/>
      <c r="I73" s="7"/>
      <c r="J73" s="7"/>
      <c r="K73" s="7"/>
      <c r="L73" s="142"/>
      <c r="M73" s="142"/>
      <c r="N73" s="9"/>
      <c r="O73" s="9"/>
      <c r="P73" s="9"/>
      <c r="Q73" s="9"/>
      <c r="R73" s="9"/>
      <c r="S73" s="9"/>
      <c r="T73" s="9"/>
      <c r="U73" s="9"/>
      <c r="V73" s="9"/>
      <c r="W73" s="9"/>
      <c r="X73" s="9"/>
    </row>
    <row r="74" spans="2:24" s="3" customFormat="1">
      <c r="B74" s="65"/>
      <c r="C74" s="65"/>
      <c r="D74" s="65"/>
      <c r="E74" s="65"/>
      <c r="F74" s="65"/>
      <c r="G74" s="65"/>
      <c r="H74" s="65"/>
      <c r="I74" s="65"/>
      <c r="J74" s="65"/>
      <c r="K74" s="65"/>
      <c r="L74" s="65"/>
      <c r="M74" s="65"/>
    </row>
    <row r="75" spans="2:24" s="3" customFormat="1">
      <c r="B75" s="404" t="s">
        <v>77</v>
      </c>
      <c r="C75" s="404"/>
      <c r="D75" s="404"/>
      <c r="E75" s="404"/>
      <c r="F75" s="404"/>
      <c r="G75" s="404"/>
      <c r="H75" s="404"/>
      <c r="I75" s="404"/>
      <c r="J75" s="404"/>
      <c r="K75" s="404"/>
      <c r="L75" s="404"/>
      <c r="M75" s="404"/>
    </row>
    <row r="76" spans="2:24" s="3" customFormat="1">
      <c r="B76" s="404"/>
      <c r="C76" s="404"/>
      <c r="D76" s="404"/>
      <c r="E76" s="404"/>
      <c r="F76" s="404"/>
      <c r="G76" s="404"/>
      <c r="H76" s="404"/>
      <c r="I76" s="404"/>
      <c r="J76" s="404"/>
      <c r="K76" s="404"/>
      <c r="L76" s="404"/>
      <c r="M76" s="404"/>
    </row>
    <row r="77" spans="2:24" ht="85.95" customHeight="1">
      <c r="B77" s="403" t="e" vm="1">
        <v>#VALUE!</v>
      </c>
      <c r="C77" s="403"/>
      <c r="D77" s="403"/>
      <c r="E77" s="403"/>
      <c r="F77" s="403"/>
      <c r="G77" s="403"/>
      <c r="H77" s="403"/>
      <c r="I77" s="403"/>
      <c r="J77" s="403"/>
      <c r="K77" s="403"/>
      <c r="L77" s="403"/>
      <c r="M77" s="403"/>
    </row>
  </sheetData>
  <sheetProtection sort="0" autoFilter="0" pivotTables="0"/>
  <mergeCells count="4">
    <mergeCell ref="B77:M77"/>
    <mergeCell ref="T10:W12"/>
    <mergeCell ref="T43:W45"/>
    <mergeCell ref="B75:M76"/>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7514B-B031-49EE-B417-12410A586E2E}">
  <sheetPr codeName="Planilha3">
    <tabColor rgb="FF726C5A"/>
  </sheetPr>
  <dimension ref="A1:ED1029"/>
  <sheetViews>
    <sheetView showGridLines="0" showRowColHeaders="0" zoomScaleNormal="100" workbookViewId="0">
      <selection activeCell="AF1015" sqref="AF1015:AR1015"/>
    </sheetView>
  </sheetViews>
  <sheetFormatPr defaultColWidth="0" defaultRowHeight="14.4" zeroHeight="1"/>
  <cols>
    <col min="1" max="1" width="10.33203125" style="327" customWidth="1"/>
    <col min="2" max="2" width="6.6640625" customWidth="1"/>
    <col min="3" max="3" width="22.109375" style="325" customWidth="1"/>
    <col min="4" max="4" width="20.44140625" style="325" customWidth="1"/>
    <col min="5" max="5" width="18.6640625" style="325" customWidth="1"/>
    <col min="6" max="7" width="19.109375" style="325" customWidth="1"/>
    <col min="8" max="8" width="19.6640625" style="325" customWidth="1"/>
    <col min="9" max="9" width="5.109375" customWidth="1"/>
    <col min="10" max="10" width="20" style="325" customWidth="1"/>
    <col min="11" max="12" width="19.109375" style="325" customWidth="1"/>
    <col min="13" max="14" width="18.77734375" style="325" customWidth="1"/>
    <col min="15" max="15" width="18.109375" style="325" customWidth="1"/>
    <col min="16" max="16" width="5.6640625" customWidth="1"/>
    <col min="17" max="17" width="18.109375" customWidth="1"/>
    <col min="18" max="21" width="18.44140625" customWidth="1"/>
    <col min="22" max="22" width="18.6640625" customWidth="1"/>
    <col min="23" max="29" width="5.44140625" style="328" customWidth="1"/>
    <col min="30" max="30" width="4.44140625" style="328" customWidth="1"/>
    <col min="31" max="31" width="6.77734375" customWidth="1"/>
    <col min="32" max="32" width="24" customWidth="1"/>
    <col min="33" max="33" width="18.44140625" customWidth="1"/>
    <col min="34" max="34" width="25.44140625" customWidth="1"/>
    <col min="35" max="35" width="19" customWidth="1"/>
    <col min="36" max="36" width="22.109375" customWidth="1"/>
    <col min="37" max="37" width="19.6640625" customWidth="1"/>
    <col min="38" max="38" width="5.44140625" customWidth="1"/>
    <col min="39" max="40" width="23.109375" customWidth="1"/>
    <col min="41" max="41" width="18.109375" customWidth="1"/>
    <col min="42" max="42" width="24" customWidth="1"/>
    <col min="43" max="43" width="13.109375" customWidth="1"/>
    <col min="44" max="44" width="21.109375" customWidth="1"/>
    <col min="45" max="45" width="6.109375" customWidth="1"/>
    <col min="46" max="48" width="27.77734375" customWidth="1"/>
    <col min="49" max="49" width="27.77734375" style="324" customWidth="1"/>
    <col min="50" max="51" width="27.77734375" customWidth="1"/>
    <col min="52" max="52" width="8.77734375" customWidth="1"/>
    <col min="53" max="53" width="6.77734375" customWidth="1"/>
    <col min="54" max="57" width="7.109375" customWidth="1"/>
    <col min="58" max="58" width="6.6640625" customWidth="1"/>
    <col min="59" max="59" width="8.77734375" customWidth="1"/>
    <col min="60" max="134" width="0" hidden="1" customWidth="1"/>
    <col min="135" max="16384" width="8.77734375" hidden="1"/>
  </cols>
  <sheetData>
    <row r="1" spans="1:134" s="328" customFormat="1" ht="33.6">
      <c r="A1" s="333"/>
      <c r="B1" s="334" t="str">
        <f>Introduction!$B$1</f>
        <v>Budget impact analysis of treatments for Advanced cancer</v>
      </c>
      <c r="C1" s="334"/>
      <c r="D1" s="335"/>
      <c r="E1" s="336"/>
      <c r="F1" s="336"/>
      <c r="G1" s="336"/>
      <c r="H1" s="336"/>
      <c r="I1" s="336"/>
      <c r="J1" s="336"/>
      <c r="K1" s="336"/>
      <c r="L1" s="336"/>
      <c r="M1" s="336"/>
      <c r="N1" s="336"/>
      <c r="O1" s="336"/>
      <c r="P1" s="336"/>
      <c r="Q1" s="336"/>
      <c r="R1" s="336"/>
      <c r="S1" s="336"/>
      <c r="T1" s="337"/>
      <c r="U1" s="337"/>
      <c r="V1" s="337"/>
      <c r="W1" s="337"/>
      <c r="X1" s="337"/>
      <c r="Y1" s="337"/>
      <c r="Z1" s="337"/>
      <c r="AA1" s="337"/>
      <c r="AB1" s="337"/>
      <c r="AC1" s="337"/>
      <c r="AD1" s="337"/>
      <c r="AE1" s="337"/>
      <c r="AF1" s="337"/>
      <c r="AG1" s="337"/>
      <c r="AH1" s="337"/>
      <c r="AI1" s="337"/>
      <c r="AJ1" s="337"/>
      <c r="AK1" s="338"/>
      <c r="AL1" s="338"/>
      <c r="AM1" s="338"/>
      <c r="AN1" s="338"/>
      <c r="AO1" s="338"/>
      <c r="AP1" s="338"/>
      <c r="AQ1" s="338"/>
      <c r="AR1" s="338"/>
      <c r="AS1" s="338"/>
      <c r="AT1" s="338"/>
      <c r="AU1" s="338"/>
      <c r="AV1" s="338"/>
      <c r="AW1" s="338"/>
      <c r="AX1" s="338"/>
      <c r="AY1" s="338"/>
      <c r="AZ1" s="338"/>
      <c r="BA1" s="338"/>
      <c r="BB1" s="338"/>
      <c r="BC1" s="338"/>
      <c r="BD1" s="338"/>
      <c r="BE1" s="338"/>
      <c r="BF1" s="338"/>
      <c r="BG1" s="338"/>
      <c r="BH1" s="338"/>
      <c r="BI1" s="338"/>
      <c r="BJ1" s="338"/>
      <c r="BK1" s="338"/>
      <c r="BL1" s="338"/>
      <c r="BM1" s="338"/>
      <c r="BN1" s="338"/>
      <c r="BO1" s="338"/>
      <c r="BP1" s="338"/>
      <c r="BQ1" s="338"/>
      <c r="BR1" s="338"/>
      <c r="BS1" s="338"/>
      <c r="BT1" s="338"/>
      <c r="BU1" s="338"/>
      <c r="BV1" s="338"/>
      <c r="BW1" s="338"/>
      <c r="BX1" s="338"/>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c r="DA1" s="338"/>
      <c r="DB1" s="338"/>
      <c r="DC1" s="338"/>
      <c r="DD1" s="338"/>
      <c r="DE1" s="338"/>
      <c r="DF1" s="338"/>
      <c r="DG1" s="338"/>
      <c r="DH1" s="338"/>
      <c r="DI1" s="338"/>
      <c r="DJ1" s="338"/>
      <c r="DK1" s="338"/>
      <c r="DL1" s="338"/>
      <c r="DM1" s="338"/>
      <c r="DN1" s="338"/>
      <c r="DO1" s="338"/>
      <c r="DP1" s="338"/>
      <c r="DQ1" s="338"/>
      <c r="DR1" s="338"/>
      <c r="DS1" s="338"/>
      <c r="DT1" s="338"/>
      <c r="DU1" s="338"/>
      <c r="DV1" s="338"/>
      <c r="DW1" s="338"/>
      <c r="DX1" s="338"/>
      <c r="DY1" s="338"/>
      <c r="DZ1" s="338"/>
      <c r="EA1" s="338"/>
      <c r="EB1" s="338"/>
      <c r="EC1" s="338"/>
      <c r="ED1" s="338"/>
    </row>
    <row r="2" spans="1:134" s="328" customFormat="1" ht="18.600000000000001" thickBot="1">
      <c r="A2" s="339"/>
      <c r="B2" s="37"/>
      <c r="C2" s="37"/>
      <c r="D2" s="38"/>
      <c r="E2" s="39"/>
      <c r="F2" s="39"/>
      <c r="G2" s="39"/>
      <c r="H2" s="39"/>
      <c r="I2" s="39"/>
      <c r="J2" s="39"/>
      <c r="K2" s="133"/>
      <c r="L2" s="133"/>
      <c r="M2" s="133"/>
      <c r="N2" s="133"/>
      <c r="O2" s="133"/>
      <c r="P2" s="133"/>
      <c r="Q2" s="133"/>
      <c r="R2" s="133"/>
      <c r="S2" s="39"/>
      <c r="T2" s="33"/>
      <c r="U2" s="33"/>
      <c r="V2" s="33"/>
      <c r="W2" s="33"/>
      <c r="X2" s="33"/>
      <c r="Y2" s="33"/>
      <c r="Z2" s="33"/>
      <c r="AA2" s="33"/>
      <c r="AB2" s="33"/>
      <c r="AC2" s="33"/>
      <c r="AD2" s="340"/>
      <c r="AE2" s="340"/>
      <c r="AF2" s="340"/>
      <c r="AG2" s="340"/>
      <c r="AH2" s="340"/>
      <c r="AI2" s="340"/>
      <c r="AJ2" s="340"/>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c r="BJ2" s="341"/>
      <c r="BK2" s="341"/>
      <c r="BL2" s="341"/>
      <c r="BM2" s="341"/>
      <c r="BN2" s="341"/>
      <c r="BO2" s="341"/>
      <c r="BP2" s="341"/>
      <c r="BQ2" s="341"/>
      <c r="BR2" s="341"/>
      <c r="BS2" s="341"/>
      <c r="BT2" s="341"/>
      <c r="BU2" s="341"/>
      <c r="BV2" s="341"/>
      <c r="BW2" s="341"/>
      <c r="BX2" s="341"/>
      <c r="BY2" s="34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c r="DA2" s="341"/>
      <c r="DB2" s="341"/>
      <c r="DC2" s="341"/>
      <c r="DD2" s="341"/>
      <c r="DE2" s="341"/>
      <c r="DF2" s="341"/>
      <c r="DG2" s="341"/>
      <c r="DH2" s="341"/>
      <c r="DI2" s="341"/>
      <c r="DJ2" s="341"/>
      <c r="DK2" s="341"/>
      <c r="DL2" s="341"/>
      <c r="DM2" s="341"/>
      <c r="DN2" s="341"/>
      <c r="DO2" s="341"/>
      <c r="DP2" s="341"/>
      <c r="DQ2" s="341"/>
      <c r="DR2" s="341"/>
      <c r="DS2" s="341"/>
      <c r="DT2" s="341"/>
      <c r="DU2" s="341"/>
      <c r="DV2" s="341"/>
      <c r="DW2" s="341"/>
      <c r="DX2" s="341"/>
      <c r="DY2" s="341"/>
      <c r="DZ2" s="341"/>
      <c r="EA2" s="341"/>
      <c r="EB2" s="341"/>
      <c r="EC2" s="341"/>
      <c r="ED2" s="341"/>
    </row>
    <row r="3" spans="1:134" ht="18">
      <c r="A3" s="326"/>
      <c r="B3" s="342"/>
      <c r="C3" s="497" t="s">
        <v>324</v>
      </c>
      <c r="D3" s="497"/>
      <c r="E3" s="497"/>
      <c r="F3" s="497"/>
      <c r="G3" s="497"/>
      <c r="H3" s="497"/>
      <c r="I3" s="343"/>
      <c r="J3" s="497" t="s">
        <v>325</v>
      </c>
      <c r="K3" s="497"/>
      <c r="L3" s="497"/>
      <c r="M3" s="497"/>
      <c r="N3" s="497"/>
      <c r="O3" s="497"/>
      <c r="P3" s="343"/>
      <c r="Q3" s="498" t="s">
        <v>327</v>
      </c>
      <c r="R3" s="498"/>
      <c r="S3" s="498"/>
      <c r="T3" s="498"/>
      <c r="U3" s="498"/>
      <c r="V3" s="498"/>
      <c r="W3" s="343"/>
      <c r="X3" s="343"/>
      <c r="Y3" s="343"/>
      <c r="Z3" s="343"/>
      <c r="AA3" s="343"/>
      <c r="AB3" s="343"/>
      <c r="AC3" s="358"/>
      <c r="AD3" s="360"/>
      <c r="AE3" s="342"/>
      <c r="AF3" s="497" t="s">
        <v>324</v>
      </c>
      <c r="AG3" s="497"/>
      <c r="AH3" s="497"/>
      <c r="AI3" s="497"/>
      <c r="AJ3" s="497"/>
      <c r="AK3" s="497"/>
      <c r="AL3" s="343"/>
      <c r="AM3" s="497" t="s">
        <v>325</v>
      </c>
      <c r="AN3" s="497"/>
      <c r="AO3" s="497"/>
      <c r="AP3" s="497"/>
      <c r="AQ3" s="497"/>
      <c r="AR3" s="497"/>
      <c r="AS3" s="343"/>
      <c r="AT3" s="498" t="s">
        <v>327</v>
      </c>
      <c r="AU3" s="498"/>
      <c r="AV3" s="498"/>
      <c r="AW3" s="498"/>
      <c r="AX3" s="498"/>
      <c r="AY3" s="498"/>
      <c r="AZ3" s="343"/>
      <c r="BA3" s="343"/>
      <c r="BB3" s="343"/>
      <c r="BC3" s="343"/>
      <c r="BD3" s="343"/>
      <c r="BE3" s="343"/>
      <c r="BF3" s="358"/>
      <c r="BG3" s="360"/>
    </row>
    <row r="4" spans="1:134" ht="18">
      <c r="A4" s="326"/>
      <c r="B4" s="344"/>
      <c r="C4" s="345">
        <f>ano_1</f>
        <v>2026</v>
      </c>
      <c r="D4" s="345">
        <f>C4+1</f>
        <v>2027</v>
      </c>
      <c r="E4" s="345">
        <f t="shared" ref="E4:G4" si="0">D4+1</f>
        <v>2028</v>
      </c>
      <c r="F4" s="345">
        <f t="shared" si="0"/>
        <v>2029</v>
      </c>
      <c r="G4" s="345">
        <f t="shared" si="0"/>
        <v>2030</v>
      </c>
      <c r="H4" s="345" t="s">
        <v>313</v>
      </c>
      <c r="I4" s="346"/>
      <c r="J4" s="345">
        <f>ano_1</f>
        <v>2026</v>
      </c>
      <c r="K4" s="345">
        <f>J4+1</f>
        <v>2027</v>
      </c>
      <c r="L4" s="345">
        <f t="shared" ref="L4:N4" si="1">K4+1</f>
        <v>2028</v>
      </c>
      <c r="M4" s="345">
        <f t="shared" si="1"/>
        <v>2029</v>
      </c>
      <c r="N4" s="345">
        <f t="shared" si="1"/>
        <v>2030</v>
      </c>
      <c r="O4" s="347" t="s">
        <v>313</v>
      </c>
      <c r="P4" s="365"/>
      <c r="Q4" s="345">
        <f>ano_1</f>
        <v>2026</v>
      </c>
      <c r="R4" s="345">
        <f>Q4+1</f>
        <v>2027</v>
      </c>
      <c r="S4" s="345">
        <f t="shared" ref="S4:U4" si="2">R4+1</f>
        <v>2028</v>
      </c>
      <c r="T4" s="345">
        <f t="shared" si="2"/>
        <v>2029</v>
      </c>
      <c r="U4" s="345">
        <f t="shared" si="2"/>
        <v>2030</v>
      </c>
      <c r="V4" s="347" t="s">
        <v>313</v>
      </c>
      <c r="W4" s="365"/>
      <c r="X4" s="365"/>
      <c r="Y4" s="365"/>
      <c r="Z4" s="365"/>
      <c r="AA4" s="365"/>
      <c r="AB4" s="365"/>
      <c r="AC4" s="366"/>
      <c r="AD4" s="367"/>
      <c r="AE4" s="344"/>
      <c r="AF4" s="345">
        <f>ano_1</f>
        <v>2026</v>
      </c>
      <c r="AG4" s="345">
        <f>AF4+1</f>
        <v>2027</v>
      </c>
      <c r="AH4" s="345">
        <f t="shared" ref="AH4:AJ4" si="3">AG4+1</f>
        <v>2028</v>
      </c>
      <c r="AI4" s="345">
        <f t="shared" si="3"/>
        <v>2029</v>
      </c>
      <c r="AJ4" s="345">
        <f t="shared" si="3"/>
        <v>2030</v>
      </c>
      <c r="AK4" s="345" t="s">
        <v>313</v>
      </c>
      <c r="AL4" s="346"/>
      <c r="AM4" s="345">
        <f>ano_1</f>
        <v>2026</v>
      </c>
      <c r="AN4" s="345">
        <f>AM4+1</f>
        <v>2027</v>
      </c>
      <c r="AO4" s="345">
        <f t="shared" ref="AO4:AQ4" si="4">AN4+1</f>
        <v>2028</v>
      </c>
      <c r="AP4" s="345">
        <f t="shared" si="4"/>
        <v>2029</v>
      </c>
      <c r="AQ4" s="345">
        <f t="shared" si="4"/>
        <v>2030</v>
      </c>
      <c r="AR4" s="347" t="s">
        <v>313</v>
      </c>
      <c r="AS4" s="365"/>
      <c r="AT4" s="345">
        <f>ano_1</f>
        <v>2026</v>
      </c>
      <c r="AU4" s="345">
        <f>AT4+1</f>
        <v>2027</v>
      </c>
      <c r="AV4" s="345">
        <f t="shared" ref="AV4:AX4" si="5">AU4+1</f>
        <v>2028</v>
      </c>
      <c r="AW4" s="345">
        <f t="shared" si="5"/>
        <v>2029</v>
      </c>
      <c r="AX4" s="345">
        <f t="shared" si="5"/>
        <v>2030</v>
      </c>
      <c r="AY4" s="347" t="s">
        <v>313</v>
      </c>
      <c r="AZ4" s="365"/>
      <c r="BA4" s="365"/>
      <c r="BB4" s="365"/>
      <c r="BC4" s="365"/>
      <c r="BD4" s="365"/>
      <c r="BE4" s="365"/>
      <c r="BF4" s="366"/>
      <c r="BG4" s="359"/>
    </row>
    <row r="5" spans="1:134" ht="18">
      <c r="A5" s="326"/>
      <c r="B5" s="344"/>
      <c r="C5" s="348">
        <f ca="1">Results!D22</f>
        <v>8174700.2145509999</v>
      </c>
      <c r="D5" s="348">
        <f ca="1">Results!E22</f>
        <v>15386109.045819752</v>
      </c>
      <c r="E5" s="348">
        <f ca="1">Results!F22</f>
        <v>22651801.248015001</v>
      </c>
      <c r="F5" s="348">
        <f ca="1">Results!G22</f>
        <v>29972283.956600249</v>
      </c>
      <c r="G5" s="348">
        <f ca="1">Results!H22</f>
        <v>37348728.764348254</v>
      </c>
      <c r="H5" s="348">
        <f ca="1">SUM(C5:G5)</f>
        <v>113533623.22933425</v>
      </c>
      <c r="I5" s="349"/>
      <c r="J5" s="350">
        <f ca="1">Results!D23</f>
        <v>9332885.4938172009</v>
      </c>
      <c r="K5" s="350">
        <f ca="1">Results!E23</f>
        <v>18803176.060058542</v>
      </c>
      <c r="L5" s="350">
        <f ca="1">Results!F23</f>
        <v>28037339.923410244</v>
      </c>
      <c r="M5" s="350">
        <f ca="1">Results!G23</f>
        <v>37028746.938061014</v>
      </c>
      <c r="N5" s="350">
        <f ca="1">Results!H23</f>
        <v>45773106.433956549</v>
      </c>
      <c r="O5" s="348">
        <f ca="1">SUM(J5:N5)</f>
        <v>138975254.84930354</v>
      </c>
      <c r="P5" s="368"/>
      <c r="Q5" s="350">
        <f ca="1">J5-C5</f>
        <v>1158185.279266201</v>
      </c>
      <c r="R5" s="350">
        <f t="shared" ref="R5:U5" ca="1" si="6">K5-D5</f>
        <v>3417067.0142387897</v>
      </c>
      <c r="S5" s="350">
        <f t="shared" ca="1" si="6"/>
        <v>5385538.6753952429</v>
      </c>
      <c r="T5" s="350">
        <f t="shared" ca="1" si="6"/>
        <v>7056462.981460765</v>
      </c>
      <c r="U5" s="350">
        <f t="shared" ca="1" si="6"/>
        <v>8424377.669608295</v>
      </c>
      <c r="V5" s="350">
        <f ca="1">O5-H5</f>
        <v>25441631.619969293</v>
      </c>
      <c r="W5" s="365"/>
      <c r="X5" s="365"/>
      <c r="Y5" s="365"/>
      <c r="Z5" s="365"/>
      <c r="AA5" s="365"/>
      <c r="AB5" s="365"/>
      <c r="AC5" s="366"/>
      <c r="AD5" s="367"/>
      <c r="AE5" s="344"/>
      <c r="AF5" s="348">
        <f ca="1">Results!D31</f>
        <v>6427969.3994760001</v>
      </c>
      <c r="AG5" s="348">
        <f ca="1">Results!E31</f>
        <v>12906418.751901001</v>
      </c>
      <c r="AH5" s="348">
        <f ca="1">Results!F31</f>
        <v>19433897.355390001</v>
      </c>
      <c r="AI5" s="348">
        <f ca="1">Results!G31</f>
        <v>26010621.642519001</v>
      </c>
      <c r="AJ5" s="348">
        <f ca="1">Results!H31</f>
        <v>32637540.069417</v>
      </c>
      <c r="AK5" s="348">
        <f ca="1">SUM(AF5:AJ5)</f>
        <v>97416447.218703002</v>
      </c>
      <c r="AL5" s="349"/>
      <c r="AM5" s="350">
        <f ca="1">Results!D32</f>
        <v>7586154.6787422001</v>
      </c>
      <c r="AN5" s="350">
        <f ca="1">Results!E32</f>
        <v>16325186.259962702</v>
      </c>
      <c r="AO5" s="350">
        <f ca="1">Results!F32</f>
        <v>24826284.236905351</v>
      </c>
      <c r="AP5" s="350">
        <f ca="1">Results!G32</f>
        <v>33084300.349357054</v>
      </c>
      <c r="AQ5" s="350">
        <f ca="1">Results!H32</f>
        <v>41096519.842525057</v>
      </c>
      <c r="AR5" s="348">
        <f ca="1">SUM(AM5:AQ5)</f>
        <v>122918445.36749238</v>
      </c>
      <c r="AS5" s="368"/>
      <c r="AT5" s="350">
        <f ca="1">AM5-AF5</f>
        <v>1158185.2792662</v>
      </c>
      <c r="AU5" s="350">
        <f t="shared" ref="AU5" ca="1" si="7">AN5-AG5</f>
        <v>3418767.5080617014</v>
      </c>
      <c r="AV5" s="350">
        <f t="shared" ref="AV5" ca="1" si="8">AO5-AH5</f>
        <v>5392386.8815153502</v>
      </c>
      <c r="AW5" s="350">
        <f t="shared" ref="AW5" ca="1" si="9">AP5-AI5</f>
        <v>7073678.7068380527</v>
      </c>
      <c r="AX5" s="350">
        <f t="shared" ref="AX5" ca="1" si="10">AQ5-AJ5</f>
        <v>8458979.7731080577</v>
      </c>
      <c r="AY5" s="350">
        <f t="shared" ref="AY5" ca="1" si="11">AR5-AK5</f>
        <v>25501998.148789376</v>
      </c>
      <c r="AZ5" s="365"/>
      <c r="BA5" s="365"/>
      <c r="BB5" s="365"/>
      <c r="BC5" s="365"/>
      <c r="BD5" s="365"/>
      <c r="BE5" s="365"/>
      <c r="BF5" s="366"/>
      <c r="BG5" s="359"/>
    </row>
    <row r="6" spans="1:134" ht="18">
      <c r="A6" s="326"/>
      <c r="B6" s="344"/>
      <c r="C6" s="369"/>
      <c r="D6" s="369"/>
      <c r="E6" s="369"/>
      <c r="F6" s="369"/>
      <c r="G6" s="369"/>
      <c r="H6" s="369"/>
      <c r="I6" s="369"/>
      <c r="J6" s="369"/>
      <c r="K6" s="369"/>
      <c r="L6" s="369"/>
      <c r="M6" s="369"/>
      <c r="N6" s="369"/>
      <c r="O6" s="369"/>
      <c r="P6" s="369"/>
      <c r="Q6" s="369"/>
      <c r="R6" s="369"/>
      <c r="S6" s="369"/>
      <c r="T6" s="369"/>
      <c r="U6" s="369"/>
      <c r="V6" s="369"/>
      <c r="W6" s="365"/>
      <c r="X6" s="365"/>
      <c r="Y6" s="365"/>
      <c r="Z6" s="365"/>
      <c r="AA6" s="365"/>
      <c r="AB6" s="365"/>
      <c r="AC6" s="366"/>
      <c r="AD6" s="367"/>
      <c r="AE6" s="344"/>
      <c r="AF6" s="369"/>
      <c r="AG6" s="369"/>
      <c r="AH6" s="369"/>
      <c r="AI6" s="369"/>
      <c r="AJ6" s="369"/>
      <c r="AK6" s="369"/>
      <c r="AL6" s="369"/>
      <c r="AM6" s="369"/>
      <c r="AN6" s="369"/>
      <c r="AO6" s="369"/>
      <c r="AP6" s="369"/>
      <c r="AQ6" s="369"/>
      <c r="AR6" s="369"/>
      <c r="AS6" s="369"/>
      <c r="AT6" s="369"/>
      <c r="AU6" s="369"/>
      <c r="AV6" s="369"/>
      <c r="AW6" s="369"/>
      <c r="AX6" s="369"/>
      <c r="AY6" s="369"/>
      <c r="AZ6" s="365"/>
      <c r="BA6" s="365"/>
      <c r="BB6" s="365"/>
      <c r="BC6" s="365"/>
      <c r="BD6" s="365"/>
      <c r="BE6" s="365"/>
      <c r="BF6" s="366"/>
      <c r="BG6" s="359"/>
    </row>
    <row r="7" spans="1:134" ht="18">
      <c r="A7" s="326"/>
      <c r="B7" s="351" t="s">
        <v>326</v>
      </c>
      <c r="C7" s="350">
        <f>AVERAGEIF(C16:C1015,"&gt;0")</f>
        <v>8080254.3140285872</v>
      </c>
      <c r="D7" s="350">
        <f t="shared" ref="D7:O7" si="12">AVERAGEIF(D16:D1015,"&gt;0")</f>
        <v>15206273.202658944</v>
      </c>
      <c r="E7" s="350">
        <f t="shared" si="12"/>
        <v>22385932.020064</v>
      </c>
      <c r="F7" s="350">
        <f t="shared" si="12"/>
        <v>29619732.510479011</v>
      </c>
      <c r="G7" s="350">
        <f t="shared" si="12"/>
        <v>36908832.66093985</v>
      </c>
      <c r="H7" s="350">
        <f t="shared" si="12"/>
        <v>112201024.70817044</v>
      </c>
      <c r="I7" s="369"/>
      <c r="J7" s="350">
        <f>AVERAGEIF(J16:J1015,"&gt;0")</f>
        <v>9235475.0385845546</v>
      </c>
      <c r="K7" s="350">
        <f t="shared" si="12"/>
        <v>18614758.523747813</v>
      </c>
      <c r="L7" s="350">
        <f t="shared" si="12"/>
        <v>27761162.57155038</v>
      </c>
      <c r="M7" s="350">
        <f t="shared" si="12"/>
        <v>36668127.843332022</v>
      </c>
      <c r="N7" s="350">
        <f t="shared" si="12"/>
        <v>45331420.151840463</v>
      </c>
      <c r="O7" s="350">
        <f t="shared" si="12"/>
        <v>137610944.12905523</v>
      </c>
      <c r="P7" s="368"/>
      <c r="Q7" s="370">
        <f t="shared" ref="Q7:V7" si="13">AVERAGE(Q16:Q1015)</f>
        <v>1155220.7245559758</v>
      </c>
      <c r="R7" s="370">
        <f t="shared" si="13"/>
        <v>3408485.3210889264</v>
      </c>
      <c r="S7" s="370">
        <f t="shared" si="13"/>
        <v>5375230.5514863832</v>
      </c>
      <c r="T7" s="370">
        <f t="shared" si="13"/>
        <v>7048395.3328529987</v>
      </c>
      <c r="U7" s="370">
        <f t="shared" si="13"/>
        <v>8422587.4909006543</v>
      </c>
      <c r="V7" s="370">
        <f t="shared" si="13"/>
        <v>25409919.420884944</v>
      </c>
      <c r="W7" s="365"/>
      <c r="X7" s="365"/>
      <c r="Y7" s="365"/>
      <c r="Z7" s="365"/>
      <c r="AA7" s="365"/>
      <c r="AB7" s="365"/>
      <c r="AC7" s="366"/>
      <c r="AD7" s="367"/>
      <c r="AE7" s="351" t="s">
        <v>326</v>
      </c>
      <c r="AF7" s="350">
        <f>AVERAGEIF(AF16:AF1015,"&gt;0")</f>
        <v>6439423.1196053838</v>
      </c>
      <c r="AG7" s="350">
        <f t="shared" ref="AG7:AK7" si="14">AVERAGEIF(AG16:AG1015,"&gt;0")</f>
        <v>12929416.140200481</v>
      </c>
      <c r="AH7" s="350">
        <f t="shared" si="14"/>
        <v>19468525.774957437</v>
      </c>
      <c r="AI7" s="350">
        <f t="shared" si="14"/>
        <v>26056968.842104152</v>
      </c>
      <c r="AJ7" s="350">
        <f t="shared" si="14"/>
        <v>32695695.487782381</v>
      </c>
      <c r="AK7" s="350">
        <f t="shared" si="14"/>
        <v>97590029.364649922</v>
      </c>
      <c r="AL7" s="369"/>
      <c r="AM7" s="350">
        <f>AVERAGEIF(AM16:AM1015,"&gt;0")</f>
        <v>7601624.8122229557</v>
      </c>
      <c r="AN7" s="350">
        <f t="shared" ref="AN7:AR7" si="15">AVERAGEIF(AN16:AN1015,"&gt;0")</f>
        <v>16360066.516522687</v>
      </c>
      <c r="AO7" s="350">
        <f t="shared" si="15"/>
        <v>24880209.136742409</v>
      </c>
      <c r="AP7" s="350">
        <f t="shared" si="15"/>
        <v>33156894.686913192</v>
      </c>
      <c r="AQ7" s="350">
        <f t="shared" si="15"/>
        <v>41187405.552558713</v>
      </c>
      <c r="AR7" s="350">
        <f t="shared" si="15"/>
        <v>123186200.70496003</v>
      </c>
      <c r="AS7" s="368"/>
      <c r="AT7" s="370">
        <f t="shared" ref="AT7:AY7" si="16">AVERAGE(AT16:AT1015)</f>
        <v>1162201.6926175726</v>
      </c>
      <c r="AU7" s="370">
        <f t="shared" si="16"/>
        <v>3430650.376322228</v>
      </c>
      <c r="AV7" s="370">
        <f t="shared" si="16"/>
        <v>5411683.361784975</v>
      </c>
      <c r="AW7" s="370">
        <f t="shared" si="16"/>
        <v>7099925.8448090442</v>
      </c>
      <c r="AX7" s="370">
        <f t="shared" si="16"/>
        <v>8491710.0647762809</v>
      </c>
      <c r="AY7" s="370">
        <f t="shared" si="16"/>
        <v>25596171.340310052</v>
      </c>
      <c r="AZ7" s="365"/>
      <c r="BA7" s="365"/>
      <c r="BB7" s="365"/>
      <c r="BC7" s="365"/>
      <c r="BD7" s="365"/>
      <c r="BE7" s="365"/>
      <c r="BF7" s="366"/>
      <c r="BG7" s="359"/>
    </row>
    <row r="8" spans="1:134" ht="18">
      <c r="A8" s="326"/>
      <c r="B8" s="344"/>
      <c r="C8" s="371"/>
      <c r="D8" s="371"/>
      <c r="E8" s="371"/>
      <c r="F8" s="371"/>
      <c r="G8" s="371"/>
      <c r="H8" s="371"/>
      <c r="I8" s="365"/>
      <c r="J8" s="371"/>
      <c r="K8" s="371"/>
      <c r="L8" s="371"/>
      <c r="M8" s="371"/>
      <c r="N8" s="371"/>
      <c r="O8" s="371"/>
      <c r="P8" s="365"/>
      <c r="Q8" s="372">
        <v>0</v>
      </c>
      <c r="R8" s="372">
        <v>0</v>
      </c>
      <c r="S8" s="372">
        <v>0</v>
      </c>
      <c r="T8" s="372">
        <v>0</v>
      </c>
      <c r="U8" s="372">
        <v>0</v>
      </c>
      <c r="V8" s="372">
        <v>0</v>
      </c>
      <c r="W8" s="365"/>
      <c r="X8" s="365"/>
      <c r="Y8" s="365"/>
      <c r="Z8" s="365"/>
      <c r="AA8" s="365"/>
      <c r="AB8" s="365"/>
      <c r="AC8" s="366"/>
      <c r="AD8" s="367"/>
      <c r="AE8" s="344"/>
      <c r="AF8" s="371"/>
      <c r="AG8" s="371"/>
      <c r="AH8" s="371"/>
      <c r="AI8" s="371"/>
      <c r="AJ8" s="371"/>
      <c r="AK8" s="371"/>
      <c r="AL8" s="365"/>
      <c r="AM8" s="371"/>
      <c r="AN8" s="371"/>
      <c r="AO8" s="371"/>
      <c r="AP8" s="371"/>
      <c r="AQ8" s="371"/>
      <c r="AR8" s="371"/>
      <c r="AS8" s="365"/>
      <c r="AT8" s="372">
        <v>0</v>
      </c>
      <c r="AU8" s="372">
        <v>0</v>
      </c>
      <c r="AV8" s="372">
        <v>0</v>
      </c>
      <c r="AW8" s="372">
        <v>0</v>
      </c>
      <c r="AX8" s="372">
        <v>0</v>
      </c>
      <c r="AY8" s="372">
        <v>0</v>
      </c>
      <c r="AZ8" s="365"/>
      <c r="BA8" s="365"/>
      <c r="BB8" s="365"/>
      <c r="BC8" s="365"/>
      <c r="BD8" s="365"/>
      <c r="BE8" s="365"/>
      <c r="BF8" s="366"/>
      <c r="BG8" s="359"/>
    </row>
    <row r="9" spans="1:134" ht="18">
      <c r="A9" s="326"/>
      <c r="B9" s="344"/>
      <c r="C9" s="371"/>
      <c r="D9" s="371"/>
      <c r="E9" s="371"/>
      <c r="F9" s="371"/>
      <c r="G9" s="371"/>
      <c r="H9" s="371"/>
      <c r="I9" s="365"/>
      <c r="J9" s="371"/>
      <c r="K9" s="371"/>
      <c r="L9" s="371"/>
      <c r="M9" s="371"/>
      <c r="N9" s="371"/>
      <c r="O9" s="371"/>
      <c r="P9" s="365"/>
      <c r="Q9" s="370">
        <f t="shared" ref="Q9:V9" si="17">MIN(Q16:Q1015)</f>
        <v>518518.5211642785</v>
      </c>
      <c r="R9" s="370">
        <f t="shared" si="17"/>
        <v>1530519.5647111638</v>
      </c>
      <c r="S9" s="370">
        <f t="shared" si="17"/>
        <v>2427084.4584587682</v>
      </c>
      <c r="T9" s="370">
        <f t="shared" si="17"/>
        <v>3205214.9563680943</v>
      </c>
      <c r="U9" s="370">
        <f t="shared" si="17"/>
        <v>3785894.3954140842</v>
      </c>
      <c r="V9" s="370">
        <f t="shared" si="17"/>
        <v>11543990.590429626</v>
      </c>
      <c r="W9" s="365"/>
      <c r="X9" s="365"/>
      <c r="Y9" s="365"/>
      <c r="Z9" s="365"/>
      <c r="AA9" s="365"/>
      <c r="AB9" s="365"/>
      <c r="AC9" s="366"/>
      <c r="AD9" s="367"/>
      <c r="AE9" s="344"/>
      <c r="AF9" s="371"/>
      <c r="AG9" s="371"/>
      <c r="AH9" s="371"/>
      <c r="AI9" s="371"/>
      <c r="AJ9" s="371"/>
      <c r="AK9" s="371"/>
      <c r="AL9" s="365"/>
      <c r="AM9" s="371"/>
      <c r="AN9" s="371"/>
      <c r="AO9" s="371"/>
      <c r="AP9" s="371"/>
      <c r="AQ9" s="371"/>
      <c r="AR9" s="371"/>
      <c r="AS9" s="365"/>
      <c r="AT9" s="370">
        <f t="shared" ref="AT9:AY9" si="18">MIN(AT16:AT1015)</f>
        <v>532010.00657882821</v>
      </c>
      <c r="AU9" s="370">
        <f t="shared" si="18"/>
        <v>1566744.0317550804</v>
      </c>
      <c r="AV9" s="370">
        <f t="shared" si="18"/>
        <v>2396410.0954511557</v>
      </c>
      <c r="AW9" s="370">
        <f t="shared" si="18"/>
        <v>3017396.7939798348</v>
      </c>
      <c r="AX9" s="370">
        <f t="shared" si="18"/>
        <v>3396795.3265496194</v>
      </c>
      <c r="AY9" s="370">
        <f t="shared" si="18"/>
        <v>10939480.983906761</v>
      </c>
      <c r="AZ9" s="365"/>
      <c r="BA9" s="365"/>
      <c r="BB9" s="365"/>
      <c r="BC9" s="365"/>
      <c r="BD9" s="365"/>
      <c r="BE9" s="365"/>
      <c r="BF9" s="366"/>
      <c r="BG9" s="359"/>
    </row>
    <row r="10" spans="1:134" ht="18">
      <c r="A10" s="326"/>
      <c r="B10" s="344"/>
      <c r="C10" s="371"/>
      <c r="D10" s="371"/>
      <c r="E10" s="371"/>
      <c r="F10" s="371"/>
      <c r="G10" s="371"/>
      <c r="H10" s="371"/>
      <c r="I10" s="365"/>
      <c r="J10" s="371"/>
      <c r="K10" s="371"/>
      <c r="L10" s="371"/>
      <c r="M10" s="371"/>
      <c r="N10" s="371"/>
      <c r="O10" s="371"/>
      <c r="P10" s="365"/>
      <c r="Q10" s="370">
        <f t="shared" ref="Q10:V10" si="19">MAX(Q16:Q1015)</f>
        <v>2180102.8802884333</v>
      </c>
      <c r="R10" s="370">
        <f t="shared" si="19"/>
        <v>6440629.1454443</v>
      </c>
      <c r="S10" s="370">
        <f t="shared" si="19"/>
        <v>10312619.805554658</v>
      </c>
      <c r="T10" s="370">
        <f t="shared" si="19"/>
        <v>13785828.084257394</v>
      </c>
      <c r="U10" s="370">
        <f t="shared" si="19"/>
        <v>16853073.24729462</v>
      </c>
      <c r="V10" s="370">
        <f t="shared" si="19"/>
        <v>49572253.162839442</v>
      </c>
      <c r="W10" s="365"/>
      <c r="X10" s="365"/>
      <c r="Y10" s="365"/>
      <c r="Z10" s="365"/>
      <c r="AA10" s="365"/>
      <c r="AB10" s="365"/>
      <c r="AC10" s="366"/>
      <c r="AD10" s="367"/>
      <c r="AE10" s="344"/>
      <c r="AF10" s="371"/>
      <c r="AG10" s="371"/>
      <c r="AH10" s="371"/>
      <c r="AI10" s="371"/>
      <c r="AJ10" s="371"/>
      <c r="AK10" s="371"/>
      <c r="AL10" s="365"/>
      <c r="AM10" s="371"/>
      <c r="AN10" s="371"/>
      <c r="AO10" s="371"/>
      <c r="AP10" s="371"/>
      <c r="AQ10" s="371"/>
      <c r="AR10" s="371"/>
      <c r="AS10" s="365"/>
      <c r="AT10" s="370">
        <f t="shared" ref="AT10:AY10" si="20">MAX(AT16:AT1015)</f>
        <v>2017750.6478236429</v>
      </c>
      <c r="AU10" s="370">
        <f t="shared" si="20"/>
        <v>5955631.3321929574</v>
      </c>
      <c r="AV10" s="370">
        <f t="shared" si="20"/>
        <v>9468786.5064812973</v>
      </c>
      <c r="AW10" s="370">
        <f t="shared" si="20"/>
        <v>12690450.614819072</v>
      </c>
      <c r="AX10" s="370">
        <f t="shared" si="20"/>
        <v>15562989.968289249</v>
      </c>
      <c r="AY10" s="370">
        <f t="shared" si="20"/>
        <v>45620966.186943471</v>
      </c>
      <c r="AZ10" s="365"/>
      <c r="BA10" s="365"/>
      <c r="BB10" s="365"/>
      <c r="BC10" s="365"/>
      <c r="BD10" s="365"/>
      <c r="BE10" s="365"/>
      <c r="BF10" s="366"/>
      <c r="BG10" s="359"/>
    </row>
    <row r="11" spans="1:134" ht="18">
      <c r="A11" s="326"/>
      <c r="B11" s="344"/>
      <c r="C11" s="371"/>
      <c r="D11" s="371"/>
      <c r="E11" s="371"/>
      <c r="F11" s="371"/>
      <c r="G11" s="371"/>
      <c r="H11" s="371"/>
      <c r="I11" s="365"/>
      <c r="J11" s="371"/>
      <c r="K11" s="371"/>
      <c r="L11" s="371"/>
      <c r="M11" s="371"/>
      <c r="N11" s="371"/>
      <c r="O11" s="371"/>
      <c r="P11" s="362" t="s">
        <v>323</v>
      </c>
      <c r="Q11" s="357">
        <f t="shared" ref="Q11:V11" si="21">SUM(X16:X1015)/1000</f>
        <v>0</v>
      </c>
      <c r="R11" s="357">
        <f t="shared" si="21"/>
        <v>0</v>
      </c>
      <c r="S11" s="357">
        <f t="shared" si="21"/>
        <v>0</v>
      </c>
      <c r="T11" s="357">
        <f t="shared" si="21"/>
        <v>0</v>
      </c>
      <c r="U11" s="357">
        <f t="shared" si="21"/>
        <v>0</v>
      </c>
      <c r="V11" s="357">
        <f t="shared" si="21"/>
        <v>0</v>
      </c>
      <c r="W11" s="365"/>
      <c r="X11" s="365"/>
      <c r="Y11" s="365"/>
      <c r="Z11" s="365"/>
      <c r="AA11" s="365"/>
      <c r="AB11" s="365"/>
      <c r="AC11" s="366"/>
      <c r="AD11" s="367"/>
      <c r="AE11" s="344"/>
      <c r="AF11" s="371"/>
      <c r="AG11" s="371"/>
      <c r="AH11" s="371"/>
      <c r="AI11" s="371"/>
      <c r="AJ11" s="371"/>
      <c r="AK11" s="371"/>
      <c r="AL11" s="365"/>
      <c r="AM11" s="371"/>
      <c r="AN11" s="371"/>
      <c r="AO11" s="371"/>
      <c r="AP11" s="371"/>
      <c r="AQ11" s="371"/>
      <c r="AR11" s="371"/>
      <c r="AS11" s="362" t="s">
        <v>323</v>
      </c>
      <c r="AT11" s="357">
        <f t="shared" ref="AT11:AY11" si="22">SUM(BA16:BA1015)/1000</f>
        <v>0</v>
      </c>
      <c r="AU11" s="357">
        <f t="shared" si="22"/>
        <v>0</v>
      </c>
      <c r="AV11" s="357">
        <f t="shared" si="22"/>
        <v>0</v>
      </c>
      <c r="AW11" s="357">
        <f t="shared" si="22"/>
        <v>0</v>
      </c>
      <c r="AX11" s="357">
        <f t="shared" si="22"/>
        <v>0</v>
      </c>
      <c r="AY11" s="357">
        <f t="shared" si="22"/>
        <v>0</v>
      </c>
      <c r="AZ11" s="365"/>
      <c r="BA11" s="365"/>
      <c r="BB11" s="365"/>
      <c r="BC11" s="365"/>
      <c r="BD11" s="365"/>
      <c r="BE11" s="365"/>
      <c r="BF11" s="366"/>
      <c r="BG11" s="359"/>
    </row>
    <row r="12" spans="1:134" ht="18">
      <c r="A12" s="326"/>
      <c r="B12" s="344"/>
      <c r="C12" s="371"/>
      <c r="D12" s="371"/>
      <c r="E12" s="371"/>
      <c r="F12" s="371"/>
      <c r="G12" s="371"/>
      <c r="H12" s="371"/>
      <c r="I12" s="365"/>
      <c r="J12" s="371"/>
      <c r="K12" s="371"/>
      <c r="L12" s="371"/>
      <c r="M12" s="371"/>
      <c r="N12" s="371"/>
      <c r="O12" s="371"/>
      <c r="P12" s="362" t="s">
        <v>328</v>
      </c>
      <c r="Q12" s="370">
        <f>_xlfn.STDEV.P(Q16:Q1015)*(-1.96)+Q7</f>
        <v>653916.56087588612</v>
      </c>
      <c r="R12" s="370">
        <f t="shared" ref="R12:V12" si="23">_xlfn.STDEV.P(R16:R1015)*(-1.96)+R7</f>
        <v>1926287.0628050412</v>
      </c>
      <c r="S12" s="370">
        <f t="shared" si="23"/>
        <v>2977088.9951196248</v>
      </c>
      <c r="T12" s="370">
        <f t="shared" si="23"/>
        <v>3793733.0252553453</v>
      </c>
      <c r="U12" s="370">
        <f t="shared" si="23"/>
        <v>4362713.3408773877</v>
      </c>
      <c r="V12" s="370">
        <f t="shared" si="23"/>
        <v>13731222.33519651</v>
      </c>
      <c r="W12" s="365"/>
      <c r="X12" s="365"/>
      <c r="Y12" s="365"/>
      <c r="Z12" s="365"/>
      <c r="AA12" s="365"/>
      <c r="AB12" s="365"/>
      <c r="AC12" s="366"/>
      <c r="AD12" s="367"/>
      <c r="AE12" s="344"/>
      <c r="AF12" s="371"/>
      <c r="AG12" s="371"/>
      <c r="AH12" s="371"/>
      <c r="AI12" s="371"/>
      <c r="AJ12" s="371"/>
      <c r="AK12" s="371"/>
      <c r="AL12" s="365"/>
      <c r="AM12" s="371"/>
      <c r="AN12" s="371"/>
      <c r="AO12" s="371"/>
      <c r="AP12" s="371"/>
      <c r="AQ12" s="371"/>
      <c r="AR12" s="371"/>
      <c r="AS12" s="362" t="s">
        <v>328</v>
      </c>
      <c r="AT12" s="370">
        <f t="shared" ref="AT12:AY12" si="24">_xlfn.STDEV.P(AT16:AT1015)*(-1.96)+AT7</f>
        <v>663472.77899040352</v>
      </c>
      <c r="AU12" s="370">
        <f t="shared" si="24"/>
        <v>1955415.9726034831</v>
      </c>
      <c r="AV12" s="370">
        <f t="shared" si="24"/>
        <v>3019641.4507553736</v>
      </c>
      <c r="AW12" s="370">
        <f t="shared" si="24"/>
        <v>3844051.2732521528</v>
      </c>
      <c r="AX12" s="370">
        <f t="shared" si="24"/>
        <v>4415673.0239687571</v>
      </c>
      <c r="AY12" s="370">
        <f t="shared" si="24"/>
        <v>13917111.729987467</v>
      </c>
      <c r="AZ12" s="365"/>
      <c r="BA12" s="365"/>
      <c r="BB12" s="365"/>
      <c r="BC12" s="365"/>
      <c r="BD12" s="365"/>
      <c r="BE12" s="365"/>
      <c r="BF12" s="366"/>
      <c r="BG12" s="359"/>
    </row>
    <row r="13" spans="1:134" ht="18">
      <c r="A13" s="326"/>
      <c r="B13" s="344"/>
      <c r="C13" s="371"/>
      <c r="D13" s="371"/>
      <c r="E13" s="371"/>
      <c r="F13" s="371"/>
      <c r="G13" s="371"/>
      <c r="H13" s="371"/>
      <c r="I13" s="365"/>
      <c r="J13" s="371"/>
      <c r="K13" s="349"/>
      <c r="L13" s="349"/>
      <c r="M13" s="349"/>
      <c r="N13" s="349"/>
      <c r="O13" s="349"/>
      <c r="P13" s="362" t="s">
        <v>329</v>
      </c>
      <c r="Q13" s="370">
        <f t="shared" ref="Q13:V13" si="25">(_xlfn.STDEV.P(Q16:Q1015)*(1.96)+Q7)</f>
        <v>1656524.8882360654</v>
      </c>
      <c r="R13" s="370">
        <f t="shared" si="25"/>
        <v>4890683.5793728121</v>
      </c>
      <c r="S13" s="370">
        <f t="shared" si="25"/>
        <v>7773372.1078531416</v>
      </c>
      <c r="T13" s="370">
        <f t="shared" si="25"/>
        <v>10303057.640450653</v>
      </c>
      <c r="U13" s="370">
        <f t="shared" si="25"/>
        <v>12482461.640923921</v>
      </c>
      <c r="V13" s="370">
        <f t="shared" si="25"/>
        <v>37088616.506573379</v>
      </c>
      <c r="W13" s="349"/>
      <c r="X13" s="365"/>
      <c r="Y13" s="365"/>
      <c r="Z13" s="365"/>
      <c r="AA13" s="365"/>
      <c r="AB13" s="365"/>
      <c r="AC13" s="366"/>
      <c r="AD13" s="367"/>
      <c r="AE13" s="344"/>
      <c r="AF13" s="371"/>
      <c r="AG13" s="371"/>
      <c r="AH13" s="371"/>
      <c r="AI13" s="371"/>
      <c r="AJ13" s="371"/>
      <c r="AK13" s="371"/>
      <c r="AL13" s="365"/>
      <c r="AM13" s="371"/>
      <c r="AN13" s="371"/>
      <c r="AO13" s="371"/>
      <c r="AP13" s="371"/>
      <c r="AQ13" s="371"/>
      <c r="AR13" s="371"/>
      <c r="AS13" s="362" t="s">
        <v>329</v>
      </c>
      <c r="AT13" s="370">
        <f t="shared" ref="AT13:AY13" si="26">(_xlfn.STDEV.P(AT16:AT1015)*(1.96)+AT7)</f>
        <v>1660930.6062447417</v>
      </c>
      <c r="AU13" s="370">
        <f t="shared" si="26"/>
        <v>4905884.7800409729</v>
      </c>
      <c r="AV13" s="370">
        <f t="shared" si="26"/>
        <v>7803725.2728145765</v>
      </c>
      <c r="AW13" s="370">
        <f t="shared" si="26"/>
        <v>10355800.416365936</v>
      </c>
      <c r="AX13" s="370">
        <f t="shared" si="26"/>
        <v>12567747.105583806</v>
      </c>
      <c r="AY13" s="370">
        <f t="shared" si="26"/>
        <v>37275230.950632639</v>
      </c>
      <c r="AZ13" s="365"/>
      <c r="BA13" s="365"/>
      <c r="BB13" s="365"/>
      <c r="BC13" s="365"/>
      <c r="BD13" s="365"/>
      <c r="BE13" s="365"/>
      <c r="BF13" s="366"/>
      <c r="BG13" s="359"/>
    </row>
    <row r="14" spans="1:134" ht="18.600000000000001" thickBot="1">
      <c r="A14" s="326"/>
      <c r="B14" s="352"/>
      <c r="C14" s="373"/>
      <c r="D14" s="373"/>
      <c r="E14" s="373"/>
      <c r="F14" s="373"/>
      <c r="G14" s="373"/>
      <c r="H14" s="373"/>
      <c r="I14" s="374"/>
      <c r="J14" s="373"/>
      <c r="K14" s="373"/>
      <c r="L14" s="373"/>
      <c r="M14" s="373"/>
      <c r="N14" s="373"/>
      <c r="O14" s="373"/>
      <c r="P14" s="374"/>
      <c r="Q14" s="374"/>
      <c r="R14" s="374"/>
      <c r="S14" s="374"/>
      <c r="T14" s="374"/>
      <c r="U14" s="374"/>
      <c r="V14" s="374"/>
      <c r="W14" s="374"/>
      <c r="X14" s="374"/>
      <c r="Y14" s="374"/>
      <c r="Z14" s="374"/>
      <c r="AA14" s="374"/>
      <c r="AB14" s="374"/>
      <c r="AC14" s="375"/>
      <c r="AD14" s="376"/>
      <c r="AE14" s="352"/>
      <c r="AF14" s="373"/>
      <c r="AG14" s="373"/>
      <c r="AH14" s="373"/>
      <c r="AI14" s="373"/>
      <c r="AJ14" s="373"/>
      <c r="AK14" s="373"/>
      <c r="AL14" s="374"/>
      <c r="AM14" s="373"/>
      <c r="AN14" s="373"/>
      <c r="AO14" s="373"/>
      <c r="AP14" s="373"/>
      <c r="AQ14" s="373"/>
      <c r="AR14" s="373"/>
      <c r="AS14" s="374"/>
      <c r="AT14" s="374"/>
      <c r="AU14" s="374"/>
      <c r="AV14" s="374"/>
      <c r="AW14" s="374"/>
      <c r="AX14" s="374"/>
      <c r="AY14" s="374"/>
      <c r="AZ14" s="374"/>
      <c r="BA14" s="374"/>
      <c r="BB14" s="374"/>
      <c r="BC14" s="374"/>
      <c r="BD14" s="374"/>
      <c r="BE14" s="374"/>
      <c r="BF14" s="375"/>
      <c r="BG14" s="328"/>
    </row>
    <row r="15" spans="1:134" ht="18">
      <c r="A15" s="326"/>
      <c r="B15" s="332"/>
      <c r="C15" s="371"/>
      <c r="D15" s="371"/>
      <c r="E15" s="371"/>
      <c r="F15" s="371"/>
      <c r="G15" s="371"/>
      <c r="H15" s="371"/>
      <c r="I15" s="365"/>
      <c r="J15" s="371"/>
      <c r="K15" s="371"/>
      <c r="L15" s="371"/>
      <c r="M15" s="371"/>
      <c r="N15" s="371"/>
      <c r="O15" s="371"/>
      <c r="P15" s="365"/>
      <c r="Q15" s="365"/>
      <c r="R15" s="365"/>
      <c r="S15" s="365"/>
      <c r="T15" s="365"/>
      <c r="U15" s="365"/>
      <c r="V15" s="365"/>
      <c r="W15" s="365"/>
      <c r="X15" s="365"/>
      <c r="Y15" s="365"/>
      <c r="Z15" s="365"/>
      <c r="AA15" s="365"/>
      <c r="AB15" s="365"/>
      <c r="AC15" s="365"/>
      <c r="AD15" s="376"/>
      <c r="AE15" s="332"/>
      <c r="AF15" s="371"/>
      <c r="AG15" s="371"/>
      <c r="AH15" s="371"/>
      <c r="AI15" s="371"/>
      <c r="AJ15" s="371"/>
      <c r="AK15" s="371"/>
      <c r="AL15" s="365"/>
      <c r="AM15" s="371"/>
      <c r="AN15" s="371"/>
      <c r="AO15" s="371"/>
      <c r="AP15" s="371"/>
      <c r="AQ15" s="371"/>
      <c r="AR15" s="371"/>
      <c r="AS15" s="365"/>
      <c r="AT15" s="365"/>
      <c r="AU15" s="365"/>
      <c r="AV15" s="365"/>
      <c r="AW15" s="365"/>
      <c r="AX15" s="365"/>
      <c r="AY15" s="365"/>
      <c r="AZ15" s="365"/>
      <c r="BA15" s="365"/>
      <c r="BB15" s="365"/>
      <c r="BC15" s="365"/>
      <c r="BD15" s="365"/>
      <c r="BE15" s="365"/>
      <c r="BF15" s="365"/>
      <c r="BG15" s="328"/>
    </row>
    <row r="16" spans="1:134" ht="18">
      <c r="A16" s="326"/>
      <c r="B16" s="332">
        <v>1</v>
      </c>
      <c r="C16" s="348">
        <v>8895188.7314245235</v>
      </c>
      <c r="D16" s="348">
        <v>16536503.025519837</v>
      </c>
      <c r="E16" s="348">
        <v>24235269.774050921</v>
      </c>
      <c r="F16" s="348">
        <v>31992087.229096781</v>
      </c>
      <c r="G16" s="348">
        <v>39808223.317975447</v>
      </c>
      <c r="H16" s="348">
        <v>121467272.07806751</v>
      </c>
      <c r="I16" s="349"/>
      <c r="J16" s="350">
        <v>10288332.511457145</v>
      </c>
      <c r="K16" s="350">
        <v>20649341.662829056</v>
      </c>
      <c r="L16" s="350">
        <v>30774527.58063107</v>
      </c>
      <c r="M16" s="350">
        <v>40656513.876355805</v>
      </c>
      <c r="N16" s="350">
        <v>50290569.195777968</v>
      </c>
      <c r="O16" s="348">
        <v>152659284.82705104</v>
      </c>
      <c r="P16" s="369"/>
      <c r="Q16" s="350">
        <f>J16-C16</f>
        <v>1393143.7800326217</v>
      </c>
      <c r="R16" s="350">
        <f t="shared" ref="R16:V16" si="27">K16-D16</f>
        <v>4112838.6373092197</v>
      </c>
      <c r="S16" s="350">
        <f t="shared" si="27"/>
        <v>6539257.8065801486</v>
      </c>
      <c r="T16" s="350">
        <f t="shared" si="27"/>
        <v>8664426.647259023</v>
      </c>
      <c r="U16" s="350">
        <f t="shared" si="27"/>
        <v>10482345.877802521</v>
      </c>
      <c r="V16" s="350">
        <f t="shared" si="27"/>
        <v>31192012.748983532</v>
      </c>
      <c r="W16" s="365"/>
      <c r="X16" s="377">
        <f t="shared" ref="X16:X79" si="28">IF(Q16&lt;Q$8,1,0)</f>
        <v>0</v>
      </c>
      <c r="Y16" s="377">
        <f t="shared" ref="Y16:Y79" si="29">IF(R16&lt;R$8,1,0)</f>
        <v>0</v>
      </c>
      <c r="Z16" s="377">
        <f t="shared" ref="Z16:Z79" si="30">IF(S16&lt;S$8,1,0)</f>
        <v>0</v>
      </c>
      <c r="AA16" s="377">
        <f t="shared" ref="AA16:AA79" si="31">IF(T16&lt;T$8,1,0)</f>
        <v>0</v>
      </c>
      <c r="AB16" s="377">
        <f t="shared" ref="AB16:AB79" si="32">IF(U16&lt;U$8,1,0)</f>
        <v>0</v>
      </c>
      <c r="AC16" s="377">
        <f t="shared" ref="AC16:AC79" si="33">IF(V16&lt;V$8,1,0)</f>
        <v>0</v>
      </c>
      <c r="AD16" s="376"/>
      <c r="AE16" s="332">
        <v>1</v>
      </c>
      <c r="AF16" s="348">
        <v>4822211.8318804009</v>
      </c>
      <c r="AG16" s="348">
        <v>9682293.3254308291</v>
      </c>
      <c r="AH16" s="348">
        <v>14579156.175564617</v>
      </c>
      <c r="AI16" s="348">
        <v>19512962.748289429</v>
      </c>
      <c r="AJ16" s="348">
        <v>24484424.567895919</v>
      </c>
      <c r="AK16" s="348">
        <v>73081048.649061203</v>
      </c>
      <c r="AL16" s="349"/>
      <c r="AM16" s="350">
        <v>5681080.7751936177</v>
      </c>
      <c r="AN16" s="350">
        <v>12217390.870673537</v>
      </c>
      <c r="AO16" s="350">
        <v>18574905.778567292</v>
      </c>
      <c r="AP16" s="350">
        <v>24749766.141007919</v>
      </c>
      <c r="AQ16" s="350">
        <v>30739925.250351489</v>
      </c>
      <c r="AR16" s="348">
        <v>91963068.815793857</v>
      </c>
      <c r="AS16" s="369"/>
      <c r="AT16" s="350">
        <f>AM16-AF16</f>
        <v>858868.94331321679</v>
      </c>
      <c r="AU16" s="350">
        <f t="shared" ref="AU16:AU79" si="34">AN16-AG16</f>
        <v>2535097.5452427082</v>
      </c>
      <c r="AV16" s="350">
        <f t="shared" ref="AV16:AV79" si="35">AO16-AH16</f>
        <v>3995749.6030026749</v>
      </c>
      <c r="AW16" s="350">
        <f t="shared" ref="AW16:AW79" si="36">AP16-AI16</f>
        <v>5236803.3927184902</v>
      </c>
      <c r="AX16" s="350">
        <f t="shared" ref="AX16:AX79" si="37">AQ16-AJ16</f>
        <v>6255500.6824555695</v>
      </c>
      <c r="AY16" s="350">
        <f t="shared" ref="AY16:AY79" si="38">AR16-AK16</f>
        <v>18882020.166732654</v>
      </c>
      <c r="AZ16" s="365"/>
      <c r="BA16" s="377">
        <f>IF(AT16&lt;AT$8,1,0)</f>
        <v>0</v>
      </c>
      <c r="BB16" s="377">
        <f t="shared" ref="BB16:BB79" si="39">IF(AU16&lt;AU$8,1,0)</f>
        <v>0</v>
      </c>
      <c r="BC16" s="377">
        <f t="shared" ref="BC16:BC79" si="40">IF(AV16&lt;AV$8,1,0)</f>
        <v>0</v>
      </c>
      <c r="BD16" s="377">
        <f t="shared" ref="BD16:BD79" si="41">IF(AW16&lt;AW$8,1,0)</f>
        <v>0</v>
      </c>
      <c r="BE16" s="377">
        <f t="shared" ref="BE16:BE79" si="42">IF(AX16&lt;AX$8,1,0)</f>
        <v>0</v>
      </c>
      <c r="BF16" s="377">
        <f t="shared" ref="BF16:BF79" si="43">IF(AY16&lt;AY$8,1,0)</f>
        <v>0</v>
      </c>
      <c r="BG16" s="328"/>
    </row>
    <row r="17" spans="2:59">
      <c r="B17" s="332">
        <v>2</v>
      </c>
      <c r="C17" s="350">
        <v>8594958.5357971974</v>
      </c>
      <c r="D17" s="350">
        <v>16256773.903112687</v>
      </c>
      <c r="E17" s="350">
        <v>23976288.996936038</v>
      </c>
      <c r="F17" s="350">
        <v>31754019.043833226</v>
      </c>
      <c r="G17" s="350">
        <v>39591198.550275803</v>
      </c>
      <c r="H17" s="348">
        <v>120173239.02995495</v>
      </c>
      <c r="I17" s="369"/>
      <c r="J17" s="350">
        <v>9815080.1579007152</v>
      </c>
      <c r="K17" s="350">
        <v>19856389.700677775</v>
      </c>
      <c r="L17" s="350">
        <v>29640509.165088847</v>
      </c>
      <c r="M17" s="350">
        <v>39160589.883268185</v>
      </c>
      <c r="N17" s="350">
        <v>48412277.565796904</v>
      </c>
      <c r="O17" s="348">
        <v>146884846.47273242</v>
      </c>
      <c r="P17" s="369"/>
      <c r="Q17" s="350">
        <f t="shared" ref="Q17:Q80" si="44">J17-C17</f>
        <v>1220121.6221035179</v>
      </c>
      <c r="R17" s="350">
        <f t="shared" ref="R17:R80" si="45">K17-D17</f>
        <v>3599615.7975650877</v>
      </c>
      <c r="S17" s="350">
        <f t="shared" ref="S17:S80" si="46">L17-E17</f>
        <v>5664220.1681528091</v>
      </c>
      <c r="T17" s="350">
        <f t="shared" ref="T17:T80" si="47">M17-F17</f>
        <v>7406570.839434959</v>
      </c>
      <c r="U17" s="350">
        <f t="shared" ref="U17:U80" si="48">N17-G17</f>
        <v>8821079.0155211017</v>
      </c>
      <c r="V17" s="350">
        <f t="shared" ref="V17:V80" si="49">O17-H17</f>
        <v>26711607.44277747</v>
      </c>
      <c r="W17" s="365"/>
      <c r="X17" s="377">
        <f t="shared" si="28"/>
        <v>0</v>
      </c>
      <c r="Y17" s="377">
        <f t="shared" si="29"/>
        <v>0</v>
      </c>
      <c r="Z17" s="377">
        <f t="shared" si="30"/>
        <v>0</v>
      </c>
      <c r="AA17" s="377">
        <f t="shared" si="31"/>
        <v>0</v>
      </c>
      <c r="AB17" s="377">
        <f t="shared" si="32"/>
        <v>0</v>
      </c>
      <c r="AC17" s="377">
        <f t="shared" si="33"/>
        <v>0</v>
      </c>
      <c r="AD17" s="376"/>
      <c r="AE17" s="332">
        <v>2</v>
      </c>
      <c r="AF17" s="350">
        <v>6447334.479725264</v>
      </c>
      <c r="AG17" s="350">
        <v>12945300.989716498</v>
      </c>
      <c r="AH17" s="350">
        <v>19492444.457663663</v>
      </c>
      <c r="AI17" s="350">
        <v>26088981.968173586</v>
      </c>
      <c r="AJ17" s="350">
        <v>32735864.834720701</v>
      </c>
      <c r="AK17" s="348">
        <v>97709926.729999721</v>
      </c>
      <c r="AL17" s="369"/>
      <c r="AM17" s="350">
        <v>7740174.5363372257</v>
      </c>
      <c r="AN17" s="350">
        <v>16763366.612654487</v>
      </c>
      <c r="AO17" s="350">
        <v>25551836.730237357</v>
      </c>
      <c r="AP17" s="350">
        <v>34100384.020584188</v>
      </c>
      <c r="AQ17" s="350">
        <v>42406418.390355252</v>
      </c>
      <c r="AR17" s="348">
        <v>126562180.29016852</v>
      </c>
      <c r="AS17" s="369"/>
      <c r="AT17" s="350">
        <f t="shared" ref="AT17:AT80" si="50">AM17-AF17</f>
        <v>1292840.0566119617</v>
      </c>
      <c r="AU17" s="350">
        <f t="shared" si="34"/>
        <v>3818065.6229379885</v>
      </c>
      <c r="AV17" s="350">
        <f t="shared" si="35"/>
        <v>6059392.2725736946</v>
      </c>
      <c r="AW17" s="350">
        <f t="shared" si="36"/>
        <v>8011402.0524106026</v>
      </c>
      <c r="AX17" s="350">
        <f t="shared" si="37"/>
        <v>9670553.5556345508</v>
      </c>
      <c r="AY17" s="350">
        <f t="shared" si="38"/>
        <v>28852253.560168803</v>
      </c>
      <c r="AZ17" s="365"/>
      <c r="BA17" s="377">
        <f t="shared" ref="BA17:BA79" si="51">IF(AT17&lt;AT$8,1,0)</f>
        <v>0</v>
      </c>
      <c r="BB17" s="377">
        <f t="shared" si="39"/>
        <v>0</v>
      </c>
      <c r="BC17" s="377">
        <f t="shared" si="40"/>
        <v>0</v>
      </c>
      <c r="BD17" s="377">
        <f t="shared" si="41"/>
        <v>0</v>
      </c>
      <c r="BE17" s="377">
        <f t="shared" si="42"/>
        <v>0</v>
      </c>
      <c r="BF17" s="377">
        <f t="shared" si="43"/>
        <v>0</v>
      </c>
      <c r="BG17" s="328"/>
    </row>
    <row r="18" spans="2:59">
      <c r="B18" s="332">
        <v>3</v>
      </c>
      <c r="C18" s="350">
        <v>10199718.665598769</v>
      </c>
      <c r="D18" s="350">
        <v>19360356.077837687</v>
      </c>
      <c r="E18" s="350">
        <v>28590002.583780412</v>
      </c>
      <c r="F18" s="350">
        <v>37889254.195903033</v>
      </c>
      <c r="G18" s="350">
        <v>47259578.214029476</v>
      </c>
      <c r="H18" s="348">
        <v>143298909.73714936</v>
      </c>
      <c r="I18" s="369"/>
      <c r="J18" s="350">
        <v>11422727.552463977</v>
      </c>
      <c r="K18" s="350">
        <v>22964849.319454774</v>
      </c>
      <c r="L18" s="350">
        <v>34196512.286482334</v>
      </c>
      <c r="M18" s="350">
        <v>45109423.57983578</v>
      </c>
      <c r="N18" s="350">
        <v>55697972.330990583</v>
      </c>
      <c r="O18" s="348">
        <v>169391485.06922746</v>
      </c>
      <c r="P18" s="369"/>
      <c r="Q18" s="350">
        <f t="shared" si="44"/>
        <v>1223008.8868652079</v>
      </c>
      <c r="R18" s="350">
        <f t="shared" si="45"/>
        <v>3604493.2416170873</v>
      </c>
      <c r="S18" s="350">
        <f t="shared" si="46"/>
        <v>5606509.7027019225</v>
      </c>
      <c r="T18" s="350">
        <f t="shared" si="47"/>
        <v>7220169.3839327469</v>
      </c>
      <c r="U18" s="350">
        <f t="shared" si="48"/>
        <v>8438394.1169611067</v>
      </c>
      <c r="V18" s="350">
        <f t="shared" si="49"/>
        <v>26092575.332078099</v>
      </c>
      <c r="W18" s="365"/>
      <c r="X18" s="377">
        <f t="shared" si="28"/>
        <v>0</v>
      </c>
      <c r="Y18" s="377">
        <f t="shared" si="29"/>
        <v>0</v>
      </c>
      <c r="Z18" s="377">
        <f t="shared" si="30"/>
        <v>0</v>
      </c>
      <c r="AA18" s="377">
        <f t="shared" si="31"/>
        <v>0</v>
      </c>
      <c r="AB18" s="377">
        <f t="shared" si="32"/>
        <v>0</v>
      </c>
      <c r="AC18" s="377">
        <f t="shared" si="33"/>
        <v>0</v>
      </c>
      <c r="AD18" s="376"/>
      <c r="AE18" s="332">
        <v>3</v>
      </c>
      <c r="AF18" s="350">
        <v>7932770.4638004145</v>
      </c>
      <c r="AG18" s="350">
        <v>15927838.342986859</v>
      </c>
      <c r="AH18" s="350">
        <v>23983413.32333257</v>
      </c>
      <c r="AI18" s="350">
        <v>32099762.504731711</v>
      </c>
      <c r="AJ18" s="350">
        <v>40278056.378874391</v>
      </c>
      <c r="AK18" s="348">
        <v>120221841.01372595</v>
      </c>
      <c r="AL18" s="369"/>
      <c r="AM18" s="350">
        <v>8943403.6756170765</v>
      </c>
      <c r="AN18" s="350">
        <v>18905247.745715037</v>
      </c>
      <c r="AO18" s="350">
        <v>28560917.690145116</v>
      </c>
      <c r="AP18" s="350">
        <v>37904178.450059161</v>
      </c>
      <c r="AQ18" s="350">
        <v>46931255.710475817</v>
      </c>
      <c r="AR18" s="348">
        <v>141245003.2720122</v>
      </c>
      <c r="AS18" s="369"/>
      <c r="AT18" s="350">
        <f t="shared" si="50"/>
        <v>1010633.211816662</v>
      </c>
      <c r="AU18" s="350">
        <f t="shared" si="34"/>
        <v>2977409.4027281776</v>
      </c>
      <c r="AV18" s="350">
        <f t="shared" si="35"/>
        <v>4577504.3668125458</v>
      </c>
      <c r="AW18" s="350">
        <f t="shared" si="36"/>
        <v>5804415.9453274496</v>
      </c>
      <c r="AX18" s="350">
        <f t="shared" si="37"/>
        <v>6653199.331601426</v>
      </c>
      <c r="AY18" s="350">
        <f t="shared" si="38"/>
        <v>21023162.258286253</v>
      </c>
      <c r="AZ18" s="365"/>
      <c r="BA18" s="377">
        <f t="shared" si="51"/>
        <v>0</v>
      </c>
      <c r="BB18" s="377">
        <f t="shared" si="39"/>
        <v>0</v>
      </c>
      <c r="BC18" s="377">
        <f t="shared" si="40"/>
        <v>0</v>
      </c>
      <c r="BD18" s="377">
        <f t="shared" si="41"/>
        <v>0</v>
      </c>
      <c r="BE18" s="377">
        <f t="shared" si="42"/>
        <v>0</v>
      </c>
      <c r="BF18" s="377">
        <f t="shared" si="43"/>
        <v>0</v>
      </c>
      <c r="BG18" s="328"/>
    </row>
    <row r="19" spans="2:59">
      <c r="B19" s="332">
        <v>4</v>
      </c>
      <c r="C19" s="350">
        <v>8966774.9422678277</v>
      </c>
      <c r="D19" s="350">
        <v>16907017.339913137</v>
      </c>
      <c r="E19" s="350">
        <v>24907039.155092359</v>
      </c>
      <c r="F19" s="350">
        <v>32967389.869246241</v>
      </c>
      <c r="G19" s="350">
        <v>41089355.608114548</v>
      </c>
      <c r="H19" s="348">
        <v>124837576.91463411</v>
      </c>
      <c r="I19" s="369"/>
      <c r="J19" s="350">
        <v>10263713.15140109</v>
      </c>
      <c r="K19" s="350">
        <v>20733795.983258776</v>
      </c>
      <c r="L19" s="350">
        <v>30947148.009827793</v>
      </c>
      <c r="M19" s="350">
        <v>40896356.636701696</v>
      </c>
      <c r="N19" s="350">
        <v>50576614.410767995</v>
      </c>
      <c r="O19" s="348">
        <v>153417628.19195735</v>
      </c>
      <c r="P19" s="369"/>
      <c r="Q19" s="350">
        <f t="shared" si="44"/>
        <v>1296938.2091332618</v>
      </c>
      <c r="R19" s="350">
        <f t="shared" si="45"/>
        <v>3826778.6433456391</v>
      </c>
      <c r="S19" s="350">
        <f t="shared" si="46"/>
        <v>6040108.8547354341</v>
      </c>
      <c r="T19" s="350">
        <f t="shared" si="47"/>
        <v>7928966.7674554549</v>
      </c>
      <c r="U19" s="350">
        <f t="shared" si="48"/>
        <v>9487258.8026534468</v>
      </c>
      <c r="V19" s="350">
        <f t="shared" si="49"/>
        <v>28580051.277323246</v>
      </c>
      <c r="W19" s="365"/>
      <c r="X19" s="377">
        <f t="shared" si="28"/>
        <v>0</v>
      </c>
      <c r="Y19" s="377">
        <f t="shared" si="29"/>
        <v>0</v>
      </c>
      <c r="Z19" s="377">
        <f t="shared" si="30"/>
        <v>0</v>
      </c>
      <c r="AA19" s="377">
        <f t="shared" si="31"/>
        <v>0</v>
      </c>
      <c r="AB19" s="377">
        <f t="shared" si="32"/>
        <v>0</v>
      </c>
      <c r="AC19" s="377">
        <f t="shared" si="33"/>
        <v>0</v>
      </c>
      <c r="AD19" s="376"/>
      <c r="AE19" s="332">
        <v>4</v>
      </c>
      <c r="AF19" s="350">
        <v>5637704.5771811334</v>
      </c>
      <c r="AG19" s="350">
        <v>11319683.021288212</v>
      </c>
      <c r="AH19" s="350">
        <v>17044662.982042495</v>
      </c>
      <c r="AI19" s="350">
        <v>22812834.283453483</v>
      </c>
      <c r="AJ19" s="350">
        <v>28625028.776939161</v>
      </c>
      <c r="AK19" s="348">
        <v>85439913.640904486</v>
      </c>
      <c r="AL19" s="369"/>
      <c r="AM19" s="350">
        <v>6922037.3965632673</v>
      </c>
      <c r="AN19" s="350">
        <v>15114542.751550501</v>
      </c>
      <c r="AO19" s="350">
        <v>23106409.198000379</v>
      </c>
      <c r="AP19" s="350">
        <v>30893045.458894935</v>
      </c>
      <c r="AQ19" s="350">
        <v>38472342.500441432</v>
      </c>
      <c r="AR19" s="348">
        <v>114508377.30545051</v>
      </c>
      <c r="AS19" s="369"/>
      <c r="AT19" s="350">
        <f t="shared" si="50"/>
        <v>1284332.8193821339</v>
      </c>
      <c r="AU19" s="350">
        <f t="shared" si="34"/>
        <v>3794859.7302622888</v>
      </c>
      <c r="AV19" s="350">
        <f t="shared" si="35"/>
        <v>6061746.2159578837</v>
      </c>
      <c r="AW19" s="350">
        <f t="shared" si="36"/>
        <v>8080211.1754414514</v>
      </c>
      <c r="AX19" s="350">
        <f t="shared" si="37"/>
        <v>9847313.7235022709</v>
      </c>
      <c r="AY19" s="350">
        <f t="shared" si="38"/>
        <v>29068463.664546028</v>
      </c>
      <c r="AZ19" s="365"/>
      <c r="BA19" s="377">
        <f t="shared" si="51"/>
        <v>0</v>
      </c>
      <c r="BB19" s="377">
        <f t="shared" si="39"/>
        <v>0</v>
      </c>
      <c r="BC19" s="377">
        <f t="shared" si="40"/>
        <v>0</v>
      </c>
      <c r="BD19" s="377">
        <f t="shared" si="41"/>
        <v>0</v>
      </c>
      <c r="BE19" s="377">
        <f t="shared" si="42"/>
        <v>0</v>
      </c>
      <c r="BF19" s="377">
        <f t="shared" si="43"/>
        <v>0</v>
      </c>
      <c r="BG19" s="328"/>
    </row>
    <row r="20" spans="2:59">
      <c r="B20" s="332">
        <v>5</v>
      </c>
      <c r="C20" s="350">
        <v>7930279.4293239564</v>
      </c>
      <c r="D20" s="350">
        <v>15058351.695334347</v>
      </c>
      <c r="E20" s="350">
        <v>22240123.112158127</v>
      </c>
      <c r="F20" s="350">
        <v>29476055.797870733</v>
      </c>
      <c r="G20" s="350">
        <v>36767290.769013248</v>
      </c>
      <c r="H20" s="348">
        <v>111472100.80370042</v>
      </c>
      <c r="I20" s="369"/>
      <c r="J20" s="350">
        <v>9073652.0055065155</v>
      </c>
      <c r="K20" s="350">
        <v>18431680.712783515</v>
      </c>
      <c r="L20" s="350">
        <v>27553442.967279863</v>
      </c>
      <c r="M20" s="350">
        <v>36432448.282640591</v>
      </c>
      <c r="N20" s="350">
        <v>45064543.116600037</v>
      </c>
      <c r="O20" s="348">
        <v>136555767.08481053</v>
      </c>
      <c r="P20" s="369"/>
      <c r="Q20" s="350">
        <f t="shared" si="44"/>
        <v>1143372.5761825591</v>
      </c>
      <c r="R20" s="350">
        <f t="shared" si="45"/>
        <v>3373329.0174491685</v>
      </c>
      <c r="S20" s="350">
        <f t="shared" si="46"/>
        <v>5313319.8551217355</v>
      </c>
      <c r="T20" s="350">
        <f t="shared" si="47"/>
        <v>6956392.4847698584</v>
      </c>
      <c r="U20" s="350">
        <f t="shared" si="48"/>
        <v>8297252.3475867882</v>
      </c>
      <c r="V20" s="350">
        <f t="shared" si="49"/>
        <v>25083666.281110108</v>
      </c>
      <c r="W20" s="365"/>
      <c r="X20" s="377">
        <f t="shared" si="28"/>
        <v>0</v>
      </c>
      <c r="Y20" s="377">
        <f t="shared" si="29"/>
        <v>0</v>
      </c>
      <c r="Z20" s="377">
        <f t="shared" si="30"/>
        <v>0</v>
      </c>
      <c r="AA20" s="377">
        <f t="shared" si="31"/>
        <v>0</v>
      </c>
      <c r="AB20" s="377">
        <f t="shared" si="32"/>
        <v>0</v>
      </c>
      <c r="AC20" s="377">
        <f t="shared" si="33"/>
        <v>0</v>
      </c>
      <c r="AD20" s="376"/>
      <c r="AE20" s="332">
        <v>5</v>
      </c>
      <c r="AF20" s="350">
        <v>8411552.0372699443</v>
      </c>
      <c r="AG20" s="350">
        <v>16889161.444244243</v>
      </c>
      <c r="AH20" s="350">
        <v>25430929.852458782</v>
      </c>
      <c r="AI20" s="350">
        <v>34037140.48259531</v>
      </c>
      <c r="AJ20" s="350">
        <v>42709034.471253633</v>
      </c>
      <c r="AK20" s="348">
        <v>127477818.28782192</v>
      </c>
      <c r="AL20" s="369"/>
      <c r="AM20" s="350">
        <v>9648664.8900631815</v>
      </c>
      <c r="AN20" s="350">
        <v>20537046.001326609</v>
      </c>
      <c r="AO20" s="350">
        <v>31105730.145235233</v>
      </c>
      <c r="AP20" s="350">
        <v>41348059.141860001</v>
      </c>
      <c r="AQ20" s="350">
        <v>51260198.473271549</v>
      </c>
      <c r="AR20" s="348">
        <v>153899698.65175658</v>
      </c>
      <c r="AS20" s="369"/>
      <c r="AT20" s="350">
        <f t="shared" si="50"/>
        <v>1237112.8527932372</v>
      </c>
      <c r="AU20" s="350">
        <f t="shared" si="34"/>
        <v>3647884.5570823662</v>
      </c>
      <c r="AV20" s="350">
        <f t="shared" si="35"/>
        <v>5674800.2927764505</v>
      </c>
      <c r="AW20" s="350">
        <f t="shared" si="36"/>
        <v>7310918.6592646912</v>
      </c>
      <c r="AX20" s="350">
        <f t="shared" si="37"/>
        <v>8551164.0020179152</v>
      </c>
      <c r="AY20" s="350">
        <f t="shared" si="38"/>
        <v>26421880.363934666</v>
      </c>
      <c r="AZ20" s="365"/>
      <c r="BA20" s="377">
        <f t="shared" si="51"/>
        <v>0</v>
      </c>
      <c r="BB20" s="377">
        <f t="shared" si="39"/>
        <v>0</v>
      </c>
      <c r="BC20" s="377">
        <f t="shared" si="40"/>
        <v>0</v>
      </c>
      <c r="BD20" s="377">
        <f t="shared" si="41"/>
        <v>0</v>
      </c>
      <c r="BE20" s="377">
        <f t="shared" si="42"/>
        <v>0</v>
      </c>
      <c r="BF20" s="377">
        <f t="shared" si="43"/>
        <v>0</v>
      </c>
      <c r="BG20" s="328"/>
    </row>
    <row r="21" spans="2:59">
      <c r="B21" s="332">
        <v>6</v>
      </c>
      <c r="C21" s="350">
        <v>9457124.3258642014</v>
      </c>
      <c r="D21" s="350">
        <v>17806108.346011911</v>
      </c>
      <c r="E21" s="350">
        <v>26217940.796277869</v>
      </c>
      <c r="F21" s="350">
        <v>34693206.955173284</v>
      </c>
      <c r="G21" s="350">
        <v>43233262.422767103</v>
      </c>
      <c r="H21" s="348">
        <v>131407642.84609437</v>
      </c>
      <c r="I21" s="369"/>
      <c r="J21" s="350">
        <v>10896176.87915103</v>
      </c>
      <c r="K21" s="350">
        <v>22053300.417733975</v>
      </c>
      <c r="L21" s="350">
        <v>32940292.793372374</v>
      </c>
      <c r="M21" s="350">
        <v>43549398.894108057</v>
      </c>
      <c r="N21" s="350">
        <v>53875699.262920707</v>
      </c>
      <c r="O21" s="348">
        <v>163314868.24728614</v>
      </c>
      <c r="P21" s="369"/>
      <c r="Q21" s="350">
        <f t="shared" si="44"/>
        <v>1439052.5532868281</v>
      </c>
      <c r="R21" s="350">
        <f t="shared" si="45"/>
        <v>4247192.0717220642</v>
      </c>
      <c r="S21" s="350">
        <f t="shared" si="46"/>
        <v>6722351.9970945045</v>
      </c>
      <c r="T21" s="350">
        <f t="shared" si="47"/>
        <v>8856191.9389347732</v>
      </c>
      <c r="U21" s="350">
        <f t="shared" si="48"/>
        <v>10642436.840153605</v>
      </c>
      <c r="V21" s="350">
        <f t="shared" si="49"/>
        <v>31907225.401191771</v>
      </c>
      <c r="W21" s="365"/>
      <c r="X21" s="377">
        <f t="shared" si="28"/>
        <v>0</v>
      </c>
      <c r="Y21" s="377">
        <f t="shared" si="29"/>
        <v>0</v>
      </c>
      <c r="Z21" s="377">
        <f t="shared" si="30"/>
        <v>0</v>
      </c>
      <c r="AA21" s="377">
        <f t="shared" si="31"/>
        <v>0</v>
      </c>
      <c r="AB21" s="377">
        <f t="shared" si="32"/>
        <v>0</v>
      </c>
      <c r="AC21" s="377">
        <f t="shared" si="33"/>
        <v>0</v>
      </c>
      <c r="AD21" s="376"/>
      <c r="AE21" s="332">
        <v>6</v>
      </c>
      <c r="AF21" s="350">
        <v>5214188.8603944425</v>
      </c>
      <c r="AG21" s="350">
        <v>10469325.645706102</v>
      </c>
      <c r="AH21" s="350">
        <v>15764233.587170469</v>
      </c>
      <c r="AI21" s="350">
        <v>21099088.248835329</v>
      </c>
      <c r="AJ21" s="350">
        <v>26474658.991765596</v>
      </c>
      <c r="AK21" s="348">
        <v>79021495.333871931</v>
      </c>
      <c r="AL21" s="369"/>
      <c r="AM21" s="350">
        <v>6252586.4375687167</v>
      </c>
      <c r="AN21" s="350">
        <v>13535872.456952479</v>
      </c>
      <c r="AO21" s="350">
        <v>20629115.784783565</v>
      </c>
      <c r="AP21" s="350">
        <v>27528112.321030963</v>
      </c>
      <c r="AQ21" s="350">
        <v>34230760.105331004</v>
      </c>
      <c r="AR21" s="348">
        <v>102176447.10566673</v>
      </c>
      <c r="AS21" s="369"/>
      <c r="AT21" s="350">
        <f t="shared" si="50"/>
        <v>1038397.5771742743</v>
      </c>
      <c r="AU21" s="350">
        <f t="shared" si="34"/>
        <v>3066546.8112463765</v>
      </c>
      <c r="AV21" s="350">
        <f t="shared" si="35"/>
        <v>4864882.1976130959</v>
      </c>
      <c r="AW21" s="350">
        <f t="shared" si="36"/>
        <v>6429024.0721956342</v>
      </c>
      <c r="AX21" s="350">
        <f t="shared" si="37"/>
        <v>7756101.1135654077</v>
      </c>
      <c r="AY21" s="350">
        <f t="shared" si="38"/>
        <v>23154951.771794796</v>
      </c>
      <c r="AZ21" s="365"/>
      <c r="BA21" s="377">
        <f t="shared" si="51"/>
        <v>0</v>
      </c>
      <c r="BB21" s="377">
        <f t="shared" si="39"/>
        <v>0</v>
      </c>
      <c r="BC21" s="377">
        <f t="shared" si="40"/>
        <v>0</v>
      </c>
      <c r="BD21" s="377">
        <f t="shared" si="41"/>
        <v>0</v>
      </c>
      <c r="BE21" s="377">
        <f t="shared" si="42"/>
        <v>0</v>
      </c>
      <c r="BF21" s="377">
        <f t="shared" si="43"/>
        <v>0</v>
      </c>
      <c r="BG21" s="328"/>
    </row>
    <row r="22" spans="2:59">
      <c r="B22" s="332">
        <v>7</v>
      </c>
      <c r="C22" s="350">
        <v>8087636.9702367475</v>
      </c>
      <c r="D22" s="350">
        <v>15127936.684588928</v>
      </c>
      <c r="E22" s="350">
        <v>22221201.038781192</v>
      </c>
      <c r="F22" s="350">
        <v>29367953.050478622</v>
      </c>
      <c r="G22" s="350">
        <v>36569348.659306563</v>
      </c>
      <c r="H22" s="348">
        <v>111374076.40339205</v>
      </c>
      <c r="I22" s="369"/>
      <c r="J22" s="350">
        <v>9191502.3061924148</v>
      </c>
      <c r="K22" s="350">
        <v>18384321.600702081</v>
      </c>
      <c r="L22" s="350">
        <v>27343032.704528462</v>
      </c>
      <c r="M22" s="350">
        <v>36061302.238268979</v>
      </c>
      <c r="N22" s="350">
        <v>44535034.411473401</v>
      </c>
      <c r="O22" s="348">
        <v>135515193.26116532</v>
      </c>
      <c r="P22" s="369"/>
      <c r="Q22" s="350">
        <f t="shared" si="44"/>
        <v>1103865.3359556673</v>
      </c>
      <c r="R22" s="350">
        <f t="shared" si="45"/>
        <v>3256384.9161131531</v>
      </c>
      <c r="S22" s="350">
        <f t="shared" si="46"/>
        <v>5121831.66574727</v>
      </c>
      <c r="T22" s="350">
        <f t="shared" si="47"/>
        <v>6693349.1877903566</v>
      </c>
      <c r="U22" s="350">
        <f t="shared" si="48"/>
        <v>7965685.7521668375</v>
      </c>
      <c r="V22" s="350">
        <f t="shared" si="49"/>
        <v>24141116.857773274</v>
      </c>
      <c r="W22" s="365"/>
      <c r="X22" s="377">
        <f t="shared" si="28"/>
        <v>0</v>
      </c>
      <c r="Y22" s="377">
        <f t="shared" si="29"/>
        <v>0</v>
      </c>
      <c r="Z22" s="377">
        <f t="shared" si="30"/>
        <v>0</v>
      </c>
      <c r="AA22" s="377">
        <f t="shared" si="31"/>
        <v>0</v>
      </c>
      <c r="AB22" s="377">
        <f t="shared" si="32"/>
        <v>0</v>
      </c>
      <c r="AC22" s="377">
        <f t="shared" si="33"/>
        <v>0</v>
      </c>
      <c r="AD22" s="376"/>
      <c r="AE22" s="332">
        <v>7</v>
      </c>
      <c r="AF22" s="350">
        <v>7001461.6085634073</v>
      </c>
      <c r="AG22" s="350">
        <v>14057906.903359566</v>
      </c>
      <c r="AH22" s="350">
        <v>21167755.753413655</v>
      </c>
      <c r="AI22" s="350">
        <v>28331243.9010383</v>
      </c>
      <c r="AJ22" s="350">
        <v>35549404.421962693</v>
      </c>
      <c r="AK22" s="348">
        <v>106107772.58833763</v>
      </c>
      <c r="AL22" s="369"/>
      <c r="AM22" s="350">
        <v>8116806.7220813036</v>
      </c>
      <c r="AN22" s="350">
        <v>17348189.32951222</v>
      </c>
      <c r="AO22" s="350">
        <v>26316032.43126281</v>
      </c>
      <c r="AP22" s="350">
        <v>35014769.791034371</v>
      </c>
      <c r="AQ22" s="350">
        <v>43441296.410954602</v>
      </c>
      <c r="AR22" s="348">
        <v>130237094.6848453</v>
      </c>
      <c r="AS22" s="369"/>
      <c r="AT22" s="350">
        <f t="shared" si="50"/>
        <v>1115345.1135178963</v>
      </c>
      <c r="AU22" s="350">
        <f t="shared" si="34"/>
        <v>3290282.426152654</v>
      </c>
      <c r="AV22" s="350">
        <f t="shared" si="35"/>
        <v>5148276.6778491549</v>
      </c>
      <c r="AW22" s="350">
        <f t="shared" si="36"/>
        <v>6683525.8899960704</v>
      </c>
      <c r="AX22" s="350">
        <f t="shared" si="37"/>
        <v>7891891.9889919087</v>
      </c>
      <c r="AY22" s="350">
        <f t="shared" si="38"/>
        <v>24129322.096507668</v>
      </c>
      <c r="AZ22" s="365"/>
      <c r="BA22" s="377">
        <f t="shared" si="51"/>
        <v>0</v>
      </c>
      <c r="BB22" s="377">
        <f t="shared" si="39"/>
        <v>0</v>
      </c>
      <c r="BC22" s="377">
        <f t="shared" si="40"/>
        <v>0</v>
      </c>
      <c r="BD22" s="377">
        <f t="shared" si="41"/>
        <v>0</v>
      </c>
      <c r="BE22" s="377">
        <f t="shared" si="42"/>
        <v>0</v>
      </c>
      <c r="BF22" s="377">
        <f t="shared" si="43"/>
        <v>0</v>
      </c>
      <c r="BG22" s="328"/>
    </row>
    <row r="23" spans="2:59">
      <c r="B23" s="332">
        <v>8</v>
      </c>
      <c r="C23" s="350">
        <v>8921627.1882187836</v>
      </c>
      <c r="D23" s="350">
        <v>16790055.472032569</v>
      </c>
      <c r="E23" s="350">
        <v>24717712.178328592</v>
      </c>
      <c r="F23" s="350">
        <v>32705151.206605792</v>
      </c>
      <c r="G23" s="350">
        <v>40753651.135057718</v>
      </c>
      <c r="H23" s="348">
        <v>123888197.18024346</v>
      </c>
      <c r="I23" s="369"/>
      <c r="J23" s="350">
        <v>9993495.9748398531</v>
      </c>
      <c r="K23" s="350">
        <v>19949507.400204245</v>
      </c>
      <c r="L23" s="350">
        <v>29640650.288364623</v>
      </c>
      <c r="M23" s="350">
        <v>39059798.322639167</v>
      </c>
      <c r="N23" s="350">
        <v>48202131.143287018</v>
      </c>
      <c r="O23" s="348">
        <v>146845583.12933493</v>
      </c>
      <c r="P23" s="369"/>
      <c r="Q23" s="350">
        <f t="shared" si="44"/>
        <v>1071868.7866210695</v>
      </c>
      <c r="R23" s="350">
        <f t="shared" si="45"/>
        <v>3159451.9281716757</v>
      </c>
      <c r="S23" s="350">
        <f t="shared" si="46"/>
        <v>4922938.1100360304</v>
      </c>
      <c r="T23" s="350">
        <f t="shared" si="47"/>
        <v>6354647.1160333753</v>
      </c>
      <c r="U23" s="350">
        <f t="shared" si="48"/>
        <v>7448480.0082293004</v>
      </c>
      <c r="V23" s="350">
        <f t="shared" si="49"/>
        <v>22957385.949091464</v>
      </c>
      <c r="W23" s="365"/>
      <c r="X23" s="377">
        <f t="shared" si="28"/>
        <v>0</v>
      </c>
      <c r="Y23" s="377">
        <f t="shared" si="29"/>
        <v>0</v>
      </c>
      <c r="Z23" s="377">
        <f t="shared" si="30"/>
        <v>0</v>
      </c>
      <c r="AA23" s="377">
        <f t="shared" si="31"/>
        <v>0</v>
      </c>
      <c r="AB23" s="377">
        <f t="shared" si="32"/>
        <v>0</v>
      </c>
      <c r="AC23" s="377">
        <f t="shared" si="33"/>
        <v>0</v>
      </c>
      <c r="AD23" s="376"/>
      <c r="AE23" s="332">
        <v>8</v>
      </c>
      <c r="AF23" s="350">
        <v>5001289.5947015025</v>
      </c>
      <c r="AG23" s="350">
        <v>10041855.179647364</v>
      </c>
      <c r="AH23" s="350">
        <v>15120568.034429695</v>
      </c>
      <c r="AI23" s="350">
        <v>20237596.554683734</v>
      </c>
      <c r="AJ23" s="350">
        <v>25393678.687881567</v>
      </c>
      <c r="AK23" s="348">
        <v>75794988.051343858</v>
      </c>
      <c r="AL23" s="369"/>
      <c r="AM23" s="350">
        <v>5842918.6049177079</v>
      </c>
      <c r="AN23" s="350">
        <v>12525376.451507531</v>
      </c>
      <c r="AO23" s="350">
        <v>19020927.762546781</v>
      </c>
      <c r="AP23" s="350">
        <v>25325583.756146103</v>
      </c>
      <c r="AQ23" s="350">
        <v>31437171.95593857</v>
      </c>
      <c r="AR23" s="348">
        <v>94151978.531056702</v>
      </c>
      <c r="AS23" s="369"/>
      <c r="AT23" s="350">
        <f t="shared" si="50"/>
        <v>841629.01021620538</v>
      </c>
      <c r="AU23" s="350">
        <f t="shared" si="34"/>
        <v>2483521.2718601674</v>
      </c>
      <c r="AV23" s="350">
        <f t="shared" si="35"/>
        <v>3900359.728117086</v>
      </c>
      <c r="AW23" s="350">
        <f t="shared" si="36"/>
        <v>5087987.2014623694</v>
      </c>
      <c r="AX23" s="350">
        <f t="shared" si="37"/>
        <v>6043493.2680570036</v>
      </c>
      <c r="AY23" s="350">
        <f t="shared" si="38"/>
        <v>18356990.479712844</v>
      </c>
      <c r="AZ23" s="365"/>
      <c r="BA23" s="377">
        <f t="shared" si="51"/>
        <v>0</v>
      </c>
      <c r="BB23" s="377">
        <f t="shared" si="39"/>
        <v>0</v>
      </c>
      <c r="BC23" s="377">
        <f t="shared" si="40"/>
        <v>0</v>
      </c>
      <c r="BD23" s="377">
        <f t="shared" si="41"/>
        <v>0</v>
      </c>
      <c r="BE23" s="377">
        <f t="shared" si="42"/>
        <v>0</v>
      </c>
      <c r="BF23" s="377">
        <f t="shared" si="43"/>
        <v>0</v>
      </c>
      <c r="BG23" s="328"/>
    </row>
    <row r="24" spans="2:59">
      <c r="B24" s="332">
        <v>9</v>
      </c>
      <c r="C24" s="350">
        <v>6876196.2249017954</v>
      </c>
      <c r="D24" s="350">
        <v>12887914.228453726</v>
      </c>
      <c r="E24" s="350">
        <v>18944867.359594274</v>
      </c>
      <c r="F24" s="350">
        <v>25047494.430444241</v>
      </c>
      <c r="G24" s="350">
        <v>31196779.108078394</v>
      </c>
      <c r="H24" s="348">
        <v>94953251.351472422</v>
      </c>
      <c r="I24" s="369"/>
      <c r="J24" s="350">
        <v>7798837.3414727692</v>
      </c>
      <c r="K24" s="350">
        <v>15609370.369486203</v>
      </c>
      <c r="L24" s="350">
        <v>23220912.301147889</v>
      </c>
      <c r="M24" s="350">
        <v>30627986.964618444</v>
      </c>
      <c r="N24" s="350">
        <v>37827004.990541711</v>
      </c>
      <c r="O24" s="348">
        <v>115084111.96726702</v>
      </c>
      <c r="P24" s="369"/>
      <c r="Q24" s="350">
        <f t="shared" si="44"/>
        <v>922641.11657097377</v>
      </c>
      <c r="R24" s="350">
        <f t="shared" si="45"/>
        <v>2721456.1410324778</v>
      </c>
      <c r="S24" s="350">
        <f t="shared" si="46"/>
        <v>4276044.941553615</v>
      </c>
      <c r="T24" s="350">
        <f t="shared" si="47"/>
        <v>5580492.5341742039</v>
      </c>
      <c r="U24" s="350">
        <f t="shared" si="48"/>
        <v>6630225.8824633174</v>
      </c>
      <c r="V24" s="350">
        <f t="shared" si="49"/>
        <v>20130860.615794599</v>
      </c>
      <c r="W24" s="365"/>
      <c r="X24" s="377">
        <f t="shared" si="28"/>
        <v>0</v>
      </c>
      <c r="Y24" s="377">
        <f t="shared" si="29"/>
        <v>0</v>
      </c>
      <c r="Z24" s="377">
        <f t="shared" si="30"/>
        <v>0</v>
      </c>
      <c r="AA24" s="377">
        <f t="shared" si="31"/>
        <v>0</v>
      </c>
      <c r="AB24" s="377">
        <f t="shared" si="32"/>
        <v>0</v>
      </c>
      <c r="AC24" s="377">
        <f t="shared" si="33"/>
        <v>0</v>
      </c>
      <c r="AD24" s="376"/>
      <c r="AE24" s="332">
        <v>9</v>
      </c>
      <c r="AF24" s="350">
        <v>5742749.0575424721</v>
      </c>
      <c r="AG24" s="350">
        <v>11530596.914442373</v>
      </c>
      <c r="AH24" s="350">
        <v>17362247.513365712</v>
      </c>
      <c r="AI24" s="350">
        <v>23237894.21521616</v>
      </c>
      <c r="AJ24" s="350">
        <v>29158384.370875843</v>
      </c>
      <c r="AK24" s="348">
        <v>87031872.071442559</v>
      </c>
      <c r="AL24" s="369"/>
      <c r="AM24" s="350">
        <v>6818771.4397953209</v>
      </c>
      <c r="AN24" s="350">
        <v>14707406.448351832</v>
      </c>
      <c r="AO24" s="350">
        <v>22384708.461775474</v>
      </c>
      <c r="AP24" s="350">
        <v>29846066.342420839</v>
      </c>
      <c r="AQ24" s="350">
        <v>37089096.554499939</v>
      </c>
      <c r="AR24" s="348">
        <v>110846049.24684341</v>
      </c>
      <c r="AS24" s="369"/>
      <c r="AT24" s="350">
        <f t="shared" si="50"/>
        <v>1076022.3822528487</v>
      </c>
      <c r="AU24" s="350">
        <f t="shared" si="34"/>
        <v>3176809.5339094587</v>
      </c>
      <c r="AV24" s="350">
        <f t="shared" si="35"/>
        <v>5022460.9484097622</v>
      </c>
      <c r="AW24" s="350">
        <f t="shared" si="36"/>
        <v>6608172.127204679</v>
      </c>
      <c r="AX24" s="350">
        <f t="shared" si="37"/>
        <v>7930712.1836240962</v>
      </c>
      <c r="AY24" s="350">
        <f t="shared" si="38"/>
        <v>23814177.175400853</v>
      </c>
      <c r="AZ24" s="365"/>
      <c r="BA24" s="377">
        <f t="shared" si="51"/>
        <v>0</v>
      </c>
      <c r="BB24" s="377">
        <f t="shared" si="39"/>
        <v>0</v>
      </c>
      <c r="BC24" s="377">
        <f t="shared" si="40"/>
        <v>0</v>
      </c>
      <c r="BD24" s="377">
        <f t="shared" si="41"/>
        <v>0</v>
      </c>
      <c r="BE24" s="377">
        <f t="shared" si="42"/>
        <v>0</v>
      </c>
      <c r="BF24" s="377">
        <f t="shared" si="43"/>
        <v>0</v>
      </c>
      <c r="BG24" s="328"/>
    </row>
    <row r="25" spans="2:59">
      <c r="B25" s="332">
        <v>10</v>
      </c>
      <c r="C25" s="350">
        <v>8884883.6472972482</v>
      </c>
      <c r="D25" s="350">
        <v>16378598.701819092</v>
      </c>
      <c r="E25" s="350">
        <v>23928610.049727939</v>
      </c>
      <c r="F25" s="350">
        <v>31535546.563213143</v>
      </c>
      <c r="G25" s="350">
        <v>39200670.02903261</v>
      </c>
      <c r="H25" s="348">
        <v>119928308.99109003</v>
      </c>
      <c r="I25" s="369"/>
      <c r="J25" s="350">
        <v>9852526.7111971918</v>
      </c>
      <c r="K25" s="350">
        <v>19229894.074744429</v>
      </c>
      <c r="L25" s="350">
        <v>28355386.284434572</v>
      </c>
      <c r="M25" s="350">
        <v>37222271.726409405</v>
      </c>
      <c r="N25" s="350">
        <v>45825885.914125316</v>
      </c>
      <c r="O25" s="348">
        <v>140485964.71091092</v>
      </c>
      <c r="P25" s="369"/>
      <c r="Q25" s="350">
        <f t="shared" si="44"/>
        <v>967643.06389994361</v>
      </c>
      <c r="R25" s="350">
        <f t="shared" si="45"/>
        <v>2851295.3729253374</v>
      </c>
      <c r="S25" s="350">
        <f t="shared" si="46"/>
        <v>4426776.2347066328</v>
      </c>
      <c r="T25" s="350">
        <f t="shared" si="47"/>
        <v>5686725.163196262</v>
      </c>
      <c r="U25" s="350">
        <f t="shared" si="48"/>
        <v>6625215.8850927055</v>
      </c>
      <c r="V25" s="350">
        <f t="shared" si="49"/>
        <v>20557655.719820887</v>
      </c>
      <c r="W25" s="365"/>
      <c r="X25" s="377">
        <f t="shared" si="28"/>
        <v>0</v>
      </c>
      <c r="Y25" s="377">
        <f t="shared" si="29"/>
        <v>0</v>
      </c>
      <c r="Z25" s="377">
        <f t="shared" si="30"/>
        <v>0</v>
      </c>
      <c r="AA25" s="377">
        <f t="shared" si="31"/>
        <v>0</v>
      </c>
      <c r="AB25" s="377">
        <f t="shared" si="32"/>
        <v>0</v>
      </c>
      <c r="AC25" s="377">
        <f t="shared" si="33"/>
        <v>0</v>
      </c>
      <c r="AD25" s="376"/>
      <c r="AE25" s="332">
        <v>10</v>
      </c>
      <c r="AF25" s="350">
        <v>3163987.2259910423</v>
      </c>
      <c r="AG25" s="350">
        <v>6352821.7896673391</v>
      </c>
      <c r="AH25" s="350">
        <v>9565789.6238098964</v>
      </c>
      <c r="AI25" s="350">
        <v>12802997.261269636</v>
      </c>
      <c r="AJ25" s="350">
        <v>16064911.552911904</v>
      </c>
      <c r="AK25" s="348">
        <v>47950507.453649819</v>
      </c>
      <c r="AL25" s="369"/>
      <c r="AM25" s="350">
        <v>3808556.9688618802</v>
      </c>
      <c r="AN25" s="350">
        <v>8256516.3979157005</v>
      </c>
      <c r="AO25" s="350">
        <v>12589590.566539092</v>
      </c>
      <c r="AP25" s="350">
        <v>16805224.32108584</v>
      </c>
      <c r="AQ25" s="350">
        <v>20902156.836280078</v>
      </c>
      <c r="AR25" s="348">
        <v>62362045.090682589</v>
      </c>
      <c r="AS25" s="369"/>
      <c r="AT25" s="350">
        <f t="shared" si="50"/>
        <v>644569.74287083792</v>
      </c>
      <c r="AU25" s="350">
        <f t="shared" si="34"/>
        <v>1903694.6082483614</v>
      </c>
      <c r="AV25" s="350">
        <f t="shared" si="35"/>
        <v>3023800.9427291956</v>
      </c>
      <c r="AW25" s="350">
        <f t="shared" si="36"/>
        <v>4002227.059816204</v>
      </c>
      <c r="AX25" s="350">
        <f t="shared" si="37"/>
        <v>4837245.283368174</v>
      </c>
      <c r="AY25" s="350">
        <f t="shared" si="38"/>
        <v>14411537.63703277</v>
      </c>
      <c r="AZ25" s="365"/>
      <c r="BA25" s="377">
        <f t="shared" si="51"/>
        <v>0</v>
      </c>
      <c r="BB25" s="377">
        <f t="shared" si="39"/>
        <v>0</v>
      </c>
      <c r="BC25" s="377">
        <f t="shared" si="40"/>
        <v>0</v>
      </c>
      <c r="BD25" s="377">
        <f t="shared" si="41"/>
        <v>0</v>
      </c>
      <c r="BE25" s="377">
        <f t="shared" si="42"/>
        <v>0</v>
      </c>
      <c r="BF25" s="377">
        <f t="shared" si="43"/>
        <v>0</v>
      </c>
      <c r="BG25" s="328"/>
    </row>
    <row r="26" spans="2:59">
      <c r="B26" s="332">
        <v>11</v>
      </c>
      <c r="C26" s="350">
        <v>7098780.8201931221</v>
      </c>
      <c r="D26" s="350">
        <v>13313290.058899155</v>
      </c>
      <c r="E26" s="350">
        <v>19574563.018251598</v>
      </c>
      <c r="F26" s="350">
        <v>25883050.866472725</v>
      </c>
      <c r="G26" s="350">
        <v>32239769.388007469</v>
      </c>
      <c r="H26" s="348">
        <v>98109454.151824057</v>
      </c>
      <c r="I26" s="369"/>
      <c r="J26" s="350">
        <v>8200782.7510195496</v>
      </c>
      <c r="K26" s="350">
        <v>16566182.582858697</v>
      </c>
      <c r="L26" s="350">
        <v>24729684.522988413</v>
      </c>
      <c r="M26" s="350">
        <v>32685613.148396615</v>
      </c>
      <c r="N26" s="350">
        <v>40430437.986738995</v>
      </c>
      <c r="O26" s="348">
        <v>122612700.99200226</v>
      </c>
      <c r="P26" s="369"/>
      <c r="Q26" s="350">
        <f t="shared" si="44"/>
        <v>1102001.9308264274</v>
      </c>
      <c r="R26" s="350">
        <f t="shared" si="45"/>
        <v>3252892.5239595417</v>
      </c>
      <c r="S26" s="350">
        <f t="shared" si="46"/>
        <v>5155121.5047368146</v>
      </c>
      <c r="T26" s="350">
        <f t="shared" si="47"/>
        <v>6802562.2819238901</v>
      </c>
      <c r="U26" s="350">
        <f t="shared" si="48"/>
        <v>8190668.5987315252</v>
      </c>
      <c r="V26" s="350">
        <f t="shared" si="49"/>
        <v>24503246.840178207</v>
      </c>
      <c r="W26" s="365"/>
      <c r="X26" s="377">
        <f t="shared" si="28"/>
        <v>0</v>
      </c>
      <c r="Y26" s="377">
        <f t="shared" si="29"/>
        <v>0</v>
      </c>
      <c r="Z26" s="377">
        <f t="shared" si="30"/>
        <v>0</v>
      </c>
      <c r="AA26" s="377">
        <f t="shared" si="31"/>
        <v>0</v>
      </c>
      <c r="AB26" s="377">
        <f t="shared" si="32"/>
        <v>0</v>
      </c>
      <c r="AC26" s="377">
        <f t="shared" si="33"/>
        <v>0</v>
      </c>
      <c r="AD26" s="376"/>
      <c r="AE26" s="332">
        <v>11</v>
      </c>
      <c r="AF26" s="350">
        <v>4804819.917802359</v>
      </c>
      <c r="AG26" s="350">
        <v>9647372.9155722186</v>
      </c>
      <c r="AH26" s="350">
        <v>14526574.613332227</v>
      </c>
      <c r="AI26" s="350">
        <v>19442586.791496597</v>
      </c>
      <c r="AJ26" s="350">
        <v>24396118.408154048</v>
      </c>
      <c r="AK26" s="348">
        <v>72817472.646357447</v>
      </c>
      <c r="AL26" s="369"/>
      <c r="AM26" s="350">
        <v>5879582.769713304</v>
      </c>
      <c r="AN26" s="350">
        <v>12822791.875204157</v>
      </c>
      <c r="AO26" s="350">
        <v>19594409.505781822</v>
      </c>
      <c r="AP26" s="350">
        <v>26190528.283912156</v>
      </c>
      <c r="AQ26" s="350">
        <v>32609330.670738585</v>
      </c>
      <c r="AR26" s="348">
        <v>97096643.105350018</v>
      </c>
      <c r="AS26" s="369"/>
      <c r="AT26" s="350">
        <f t="shared" si="50"/>
        <v>1074762.851910945</v>
      </c>
      <c r="AU26" s="350">
        <f t="shared" si="34"/>
        <v>3175418.9596319385</v>
      </c>
      <c r="AV26" s="350">
        <f t="shared" si="35"/>
        <v>5067834.892449595</v>
      </c>
      <c r="AW26" s="350">
        <f t="shared" si="36"/>
        <v>6747941.4924155585</v>
      </c>
      <c r="AX26" s="350">
        <f t="shared" si="37"/>
        <v>8213212.2625845373</v>
      </c>
      <c r="AY26" s="350">
        <f t="shared" si="38"/>
        <v>24279170.458992571</v>
      </c>
      <c r="AZ26" s="365"/>
      <c r="BA26" s="377">
        <f t="shared" si="51"/>
        <v>0</v>
      </c>
      <c r="BB26" s="377">
        <f t="shared" si="39"/>
        <v>0</v>
      </c>
      <c r="BC26" s="377">
        <f t="shared" si="40"/>
        <v>0</v>
      </c>
      <c r="BD26" s="377">
        <f t="shared" si="41"/>
        <v>0</v>
      </c>
      <c r="BE26" s="377">
        <f t="shared" si="42"/>
        <v>0</v>
      </c>
      <c r="BF26" s="377">
        <f t="shared" si="43"/>
        <v>0</v>
      </c>
      <c r="BG26" s="328"/>
    </row>
    <row r="27" spans="2:59">
      <c r="B27" s="332">
        <v>12</v>
      </c>
      <c r="C27" s="350">
        <v>8186305.3355861111</v>
      </c>
      <c r="D27" s="350">
        <v>15312424.839533247</v>
      </c>
      <c r="E27" s="350">
        <v>22492154.587774705</v>
      </c>
      <c r="F27" s="350">
        <v>29726023.99480005</v>
      </c>
      <c r="G27" s="350">
        <v>37015203.10018672</v>
      </c>
      <c r="H27" s="348">
        <v>112732111.85788083</v>
      </c>
      <c r="I27" s="369"/>
      <c r="J27" s="350">
        <v>9439247.3509114273</v>
      </c>
      <c r="K27" s="350">
        <v>19010718.123377461</v>
      </c>
      <c r="L27" s="350">
        <v>28360987.836796265</v>
      </c>
      <c r="M27" s="350">
        <v>37483143.422798656</v>
      </c>
      <c r="N27" s="350">
        <v>46372694.281724066</v>
      </c>
      <c r="O27" s="348">
        <v>140666791.01560786</v>
      </c>
      <c r="P27" s="369"/>
      <c r="Q27" s="350">
        <f t="shared" si="44"/>
        <v>1252942.0153253162</v>
      </c>
      <c r="R27" s="350">
        <f t="shared" si="45"/>
        <v>3698293.2838442139</v>
      </c>
      <c r="S27" s="350">
        <f t="shared" si="46"/>
        <v>5868833.24902156</v>
      </c>
      <c r="T27" s="350">
        <f t="shared" si="47"/>
        <v>7757119.4279986061</v>
      </c>
      <c r="U27" s="350">
        <f t="shared" si="48"/>
        <v>9357491.1815373451</v>
      </c>
      <c r="V27" s="350">
        <f t="shared" si="49"/>
        <v>27934679.157727033</v>
      </c>
      <c r="W27" s="365"/>
      <c r="X27" s="377">
        <f t="shared" si="28"/>
        <v>0</v>
      </c>
      <c r="Y27" s="377">
        <f t="shared" si="29"/>
        <v>0</v>
      </c>
      <c r="Z27" s="377">
        <f t="shared" si="30"/>
        <v>0</v>
      </c>
      <c r="AA27" s="377">
        <f t="shared" si="31"/>
        <v>0</v>
      </c>
      <c r="AB27" s="377">
        <f t="shared" si="32"/>
        <v>0</v>
      </c>
      <c r="AC27" s="377">
        <f t="shared" si="33"/>
        <v>0</v>
      </c>
      <c r="AD27" s="376"/>
      <c r="AE27" s="332">
        <v>12</v>
      </c>
      <c r="AF27" s="350">
        <v>8069365.867600577</v>
      </c>
      <c r="AG27" s="350">
        <v>16202101.857865077</v>
      </c>
      <c r="AH27" s="350">
        <v>24396386.828913793</v>
      </c>
      <c r="AI27" s="350">
        <v>32652492.479868617</v>
      </c>
      <c r="AJ27" s="350">
        <v>40971609.457267925</v>
      </c>
      <c r="AK27" s="348">
        <v>122291956.49151599</v>
      </c>
      <c r="AL27" s="369"/>
      <c r="AM27" s="350">
        <v>9580226.7403217778</v>
      </c>
      <c r="AN27" s="350">
        <v>20662698.120039813</v>
      </c>
      <c r="AO27" s="350">
        <v>31448184.096200533</v>
      </c>
      <c r="AP27" s="350">
        <v>41930205.686725341</v>
      </c>
      <c r="AQ27" s="350">
        <v>52105412.575190455</v>
      </c>
      <c r="AR27" s="348">
        <v>155726727.2184779</v>
      </c>
      <c r="AS27" s="369"/>
      <c r="AT27" s="350">
        <f t="shared" si="50"/>
        <v>1510860.8727212008</v>
      </c>
      <c r="AU27" s="350">
        <f t="shared" si="34"/>
        <v>4460596.2621747367</v>
      </c>
      <c r="AV27" s="350">
        <f t="shared" si="35"/>
        <v>7051797.2672867402</v>
      </c>
      <c r="AW27" s="350">
        <f t="shared" si="36"/>
        <v>9277713.2068567239</v>
      </c>
      <c r="AX27" s="350">
        <f t="shared" si="37"/>
        <v>11133803.11792253</v>
      </c>
      <c r="AY27" s="350">
        <f t="shared" si="38"/>
        <v>33434770.726961911</v>
      </c>
      <c r="AZ27" s="365"/>
      <c r="BA27" s="377">
        <f t="shared" si="51"/>
        <v>0</v>
      </c>
      <c r="BB27" s="377">
        <f t="shared" si="39"/>
        <v>0</v>
      </c>
      <c r="BC27" s="377">
        <f t="shared" si="40"/>
        <v>0</v>
      </c>
      <c r="BD27" s="377">
        <f t="shared" si="41"/>
        <v>0</v>
      </c>
      <c r="BE27" s="377">
        <f t="shared" si="42"/>
        <v>0</v>
      </c>
      <c r="BF27" s="377">
        <f t="shared" si="43"/>
        <v>0</v>
      </c>
      <c r="BG27" s="328"/>
    </row>
    <row r="28" spans="2:59">
      <c r="B28" s="332">
        <v>13</v>
      </c>
      <c r="C28" s="350">
        <v>10348476.658309894</v>
      </c>
      <c r="D28" s="350">
        <v>19339322.834413886</v>
      </c>
      <c r="E28" s="350">
        <v>28397801.9575161</v>
      </c>
      <c r="F28" s="350">
        <v>37524587.204552121</v>
      </c>
      <c r="G28" s="350">
        <v>46721157.059773497</v>
      </c>
      <c r="H28" s="348">
        <v>142331345.71456552</v>
      </c>
      <c r="I28" s="369"/>
      <c r="J28" s="350">
        <v>11835759.839255609</v>
      </c>
      <c r="K28" s="350">
        <v>23728031.838253643</v>
      </c>
      <c r="L28" s="350">
        <v>35331717.819417335</v>
      </c>
      <c r="M28" s="350">
        <v>46638416.72143802</v>
      </c>
      <c r="N28" s="350">
        <v>57642670.485184565</v>
      </c>
      <c r="O28" s="348">
        <v>175176596.70354915</v>
      </c>
      <c r="P28" s="369"/>
      <c r="Q28" s="350">
        <f t="shared" si="44"/>
        <v>1487283.1809457149</v>
      </c>
      <c r="R28" s="350">
        <f t="shared" si="45"/>
        <v>4388709.0038397573</v>
      </c>
      <c r="S28" s="350">
        <f t="shared" si="46"/>
        <v>6933915.8619012348</v>
      </c>
      <c r="T28" s="350">
        <f t="shared" si="47"/>
        <v>9113829.516885899</v>
      </c>
      <c r="U28" s="350">
        <f t="shared" si="48"/>
        <v>10921513.425411068</v>
      </c>
      <c r="V28" s="350">
        <f t="shared" si="49"/>
        <v>32845250.988983631</v>
      </c>
      <c r="W28" s="365"/>
      <c r="X28" s="377">
        <f t="shared" si="28"/>
        <v>0</v>
      </c>
      <c r="Y28" s="377">
        <f t="shared" si="29"/>
        <v>0</v>
      </c>
      <c r="Z28" s="377">
        <f t="shared" si="30"/>
        <v>0</v>
      </c>
      <c r="AA28" s="377">
        <f t="shared" si="31"/>
        <v>0</v>
      </c>
      <c r="AB28" s="377">
        <f t="shared" si="32"/>
        <v>0</v>
      </c>
      <c r="AC28" s="377">
        <f t="shared" si="33"/>
        <v>0</v>
      </c>
      <c r="AD28" s="376"/>
      <c r="AE28" s="332">
        <v>13</v>
      </c>
      <c r="AF28" s="350">
        <v>8064807.8595371544</v>
      </c>
      <c r="AG28" s="350">
        <v>16192950.046914348</v>
      </c>
      <c r="AH28" s="350">
        <v>24382606.448929902</v>
      </c>
      <c r="AI28" s="350">
        <v>32634048.611235559</v>
      </c>
      <c r="AJ28" s="350">
        <v>40948466.507829055</v>
      </c>
      <c r="AK28" s="348">
        <v>122222879.47444601</v>
      </c>
      <c r="AL28" s="369"/>
      <c r="AM28" s="350">
        <v>9699623.9867939185</v>
      </c>
      <c r="AN28" s="350">
        <v>21021172.588998042</v>
      </c>
      <c r="AO28" s="350">
        <v>32049641.599844161</v>
      </c>
      <c r="AP28" s="350">
        <v>42778520.396406889</v>
      </c>
      <c r="AQ28" s="350">
        <v>53204586.956622481</v>
      </c>
      <c r="AR28" s="348">
        <v>158753545.52866548</v>
      </c>
      <c r="AS28" s="369"/>
      <c r="AT28" s="350">
        <f t="shared" si="50"/>
        <v>1634816.1272567641</v>
      </c>
      <c r="AU28" s="350">
        <f t="shared" si="34"/>
        <v>4828222.5420836937</v>
      </c>
      <c r="AV28" s="350">
        <f t="shared" si="35"/>
        <v>7667035.1509142593</v>
      </c>
      <c r="AW28" s="350">
        <f t="shared" si="36"/>
        <v>10144471.78517133</v>
      </c>
      <c r="AX28" s="350">
        <f t="shared" si="37"/>
        <v>12256120.448793426</v>
      </c>
      <c r="AY28" s="350">
        <f t="shared" si="38"/>
        <v>36530666.054219469</v>
      </c>
      <c r="AZ28" s="365"/>
      <c r="BA28" s="377">
        <f t="shared" si="51"/>
        <v>0</v>
      </c>
      <c r="BB28" s="377">
        <f t="shared" si="39"/>
        <v>0</v>
      </c>
      <c r="BC28" s="377">
        <f t="shared" si="40"/>
        <v>0</v>
      </c>
      <c r="BD28" s="377">
        <f t="shared" si="41"/>
        <v>0</v>
      </c>
      <c r="BE28" s="377">
        <f t="shared" si="42"/>
        <v>0</v>
      </c>
      <c r="BF28" s="377">
        <f t="shared" si="43"/>
        <v>0</v>
      </c>
      <c r="BG28" s="328"/>
    </row>
    <row r="29" spans="2:59">
      <c r="B29" s="332">
        <v>14</v>
      </c>
      <c r="C29" s="350">
        <v>10577686.085253177</v>
      </c>
      <c r="D29" s="350">
        <v>19974465.332056791</v>
      </c>
      <c r="E29" s="350">
        <v>29441999.523106873</v>
      </c>
      <c r="F29" s="350">
        <v>38980930.075131446</v>
      </c>
      <c r="G29" s="350">
        <v>48592775.182318479</v>
      </c>
      <c r="H29" s="348">
        <v>147567856.19786677</v>
      </c>
      <c r="I29" s="369"/>
      <c r="J29" s="350">
        <v>12344860.941106614</v>
      </c>
      <c r="K29" s="350">
        <v>25192225.95529316</v>
      </c>
      <c r="L29" s="350">
        <v>37742088.954594359</v>
      </c>
      <c r="M29" s="350">
        <v>49985616.060884826</v>
      </c>
      <c r="N29" s="350">
        <v>61917363.215662301</v>
      </c>
      <c r="O29" s="348">
        <v>187182155.12754127</v>
      </c>
      <c r="P29" s="369"/>
      <c r="Q29" s="350">
        <f t="shared" si="44"/>
        <v>1767174.8558534365</v>
      </c>
      <c r="R29" s="350">
        <f t="shared" si="45"/>
        <v>5217760.6232363693</v>
      </c>
      <c r="S29" s="350">
        <f t="shared" si="46"/>
        <v>8300089.4314874858</v>
      </c>
      <c r="T29" s="350">
        <f t="shared" si="47"/>
        <v>11004685.98575338</v>
      </c>
      <c r="U29" s="350">
        <f t="shared" si="48"/>
        <v>13324588.033343822</v>
      </c>
      <c r="V29" s="350">
        <f t="shared" si="49"/>
        <v>39614298.929674506</v>
      </c>
      <c r="W29" s="365"/>
      <c r="X29" s="377">
        <f t="shared" si="28"/>
        <v>0</v>
      </c>
      <c r="Y29" s="377">
        <f t="shared" si="29"/>
        <v>0</v>
      </c>
      <c r="Z29" s="377">
        <f t="shared" si="30"/>
        <v>0</v>
      </c>
      <c r="AA29" s="377">
        <f t="shared" si="31"/>
        <v>0</v>
      </c>
      <c r="AB29" s="377">
        <f t="shared" si="32"/>
        <v>0</v>
      </c>
      <c r="AC29" s="377">
        <f t="shared" si="33"/>
        <v>0</v>
      </c>
      <c r="AD29" s="376"/>
      <c r="AE29" s="332">
        <v>14</v>
      </c>
      <c r="AF29" s="350">
        <v>4937201.3378207562</v>
      </c>
      <c r="AG29" s="350">
        <v>9913175.3697450757</v>
      </c>
      <c r="AH29" s="350">
        <v>14926807.839179264</v>
      </c>
      <c r="AI29" s="350">
        <v>19978264.983878572</v>
      </c>
      <c r="AJ29" s="350">
        <v>25068275.29500062</v>
      </c>
      <c r="AK29" s="348">
        <v>74823724.825624287</v>
      </c>
      <c r="AL29" s="369"/>
      <c r="AM29" s="350">
        <v>5903383.6700662691</v>
      </c>
      <c r="AN29" s="350">
        <v>12766245.439697262</v>
      </c>
      <c r="AO29" s="350">
        <v>19448649.182053752</v>
      </c>
      <c r="AP29" s="350">
        <v>25946618.95020226</v>
      </c>
      <c r="AQ29" s="350">
        <v>32258147.172557462</v>
      </c>
      <c r="AR29" s="348">
        <v>96323044.414577007</v>
      </c>
      <c r="AS29" s="369"/>
      <c r="AT29" s="350">
        <f t="shared" si="50"/>
        <v>966182.33224551287</v>
      </c>
      <c r="AU29" s="350">
        <f t="shared" si="34"/>
        <v>2853070.0699521862</v>
      </c>
      <c r="AV29" s="350">
        <f t="shared" si="35"/>
        <v>4521841.3428744879</v>
      </c>
      <c r="AW29" s="350">
        <f t="shared" si="36"/>
        <v>5968353.9663236886</v>
      </c>
      <c r="AX29" s="350">
        <f t="shared" si="37"/>
        <v>7189871.8775568418</v>
      </c>
      <c r="AY29" s="350">
        <f t="shared" si="38"/>
        <v>21499319.58895272</v>
      </c>
      <c r="AZ29" s="365"/>
      <c r="BA29" s="377">
        <f t="shared" si="51"/>
        <v>0</v>
      </c>
      <c r="BB29" s="377">
        <f t="shared" si="39"/>
        <v>0</v>
      </c>
      <c r="BC29" s="377">
        <f t="shared" si="40"/>
        <v>0</v>
      </c>
      <c r="BD29" s="377">
        <f t="shared" si="41"/>
        <v>0</v>
      </c>
      <c r="BE29" s="377">
        <f t="shared" si="42"/>
        <v>0</v>
      </c>
      <c r="BF29" s="377">
        <f t="shared" si="43"/>
        <v>0</v>
      </c>
      <c r="BG29" s="328"/>
    </row>
    <row r="30" spans="2:59">
      <c r="B30" s="332">
        <v>15</v>
      </c>
      <c r="C30" s="350">
        <v>8363991.3384894114</v>
      </c>
      <c r="D30" s="350">
        <v>15832756.450601988</v>
      </c>
      <c r="E30" s="350">
        <v>23357771.602570519</v>
      </c>
      <c r="F30" s="350">
        <v>30939535.277520269</v>
      </c>
      <c r="G30" s="350">
        <v>38579249.240133189</v>
      </c>
      <c r="H30" s="348">
        <v>117073303.90931538</v>
      </c>
      <c r="I30" s="369"/>
      <c r="J30" s="350">
        <v>9389155.2281184532</v>
      </c>
      <c r="K30" s="350">
        <v>18854663.956530202</v>
      </c>
      <c r="L30" s="350">
        <v>28068157.352329832</v>
      </c>
      <c r="M30" s="350">
        <v>37022860.574890494</v>
      </c>
      <c r="N30" s="350">
        <v>45714214.128362231</v>
      </c>
      <c r="O30" s="348">
        <v>139049051.24023122</v>
      </c>
      <c r="P30" s="369"/>
      <c r="Q30" s="350">
        <f t="shared" si="44"/>
        <v>1025163.8896290418</v>
      </c>
      <c r="R30" s="350">
        <f t="shared" si="45"/>
        <v>3021907.5059282146</v>
      </c>
      <c r="S30" s="350">
        <f t="shared" si="46"/>
        <v>4710385.7497593127</v>
      </c>
      <c r="T30" s="350">
        <f t="shared" si="47"/>
        <v>6083325.2973702252</v>
      </c>
      <c r="U30" s="350">
        <f t="shared" si="48"/>
        <v>7134964.8882290423</v>
      </c>
      <c r="V30" s="350">
        <f t="shared" si="49"/>
        <v>21975747.330915838</v>
      </c>
      <c r="W30" s="365"/>
      <c r="X30" s="377">
        <f t="shared" si="28"/>
        <v>0</v>
      </c>
      <c r="Y30" s="377">
        <f t="shared" si="29"/>
        <v>0</v>
      </c>
      <c r="Z30" s="377">
        <f t="shared" si="30"/>
        <v>0</v>
      </c>
      <c r="AA30" s="377">
        <f t="shared" si="31"/>
        <v>0</v>
      </c>
      <c r="AB30" s="377">
        <f t="shared" si="32"/>
        <v>0</v>
      </c>
      <c r="AC30" s="377">
        <f t="shared" si="33"/>
        <v>0</v>
      </c>
      <c r="AD30" s="376"/>
      <c r="AE30" s="332">
        <v>15</v>
      </c>
      <c r="AF30" s="350">
        <v>5001337.6067436002</v>
      </c>
      <c r="AG30" s="350">
        <v>10041951.580778413</v>
      </c>
      <c r="AH30" s="350">
        <v>15120713.190860907</v>
      </c>
      <c r="AI30" s="350">
        <v>20237790.834242906</v>
      </c>
      <c r="AJ30" s="350">
        <v>25393922.465480745</v>
      </c>
      <c r="AK30" s="348">
        <v>75795715.678106576</v>
      </c>
      <c r="AL30" s="369"/>
      <c r="AM30" s="350">
        <v>5689753.5004908303</v>
      </c>
      <c r="AN30" s="350">
        <v>12071087.620938707</v>
      </c>
      <c r="AO30" s="350">
        <v>18260924.3883994</v>
      </c>
      <c r="AP30" s="350">
        <v>24255318.31932931</v>
      </c>
      <c r="AQ30" s="350">
        <v>30051941.739354409</v>
      </c>
      <c r="AR30" s="348">
        <v>90329025.568512648</v>
      </c>
      <c r="AS30" s="369"/>
      <c r="AT30" s="350">
        <f t="shared" si="50"/>
        <v>688415.89374723006</v>
      </c>
      <c r="AU30" s="350">
        <f t="shared" si="34"/>
        <v>2029136.0401602946</v>
      </c>
      <c r="AV30" s="350">
        <f t="shared" si="35"/>
        <v>3140211.1975384932</v>
      </c>
      <c r="AW30" s="350">
        <f t="shared" si="36"/>
        <v>4017527.4850864038</v>
      </c>
      <c r="AX30" s="350">
        <f t="shared" si="37"/>
        <v>4658019.2738736644</v>
      </c>
      <c r="AY30" s="350">
        <f t="shared" si="38"/>
        <v>14533309.890406072</v>
      </c>
      <c r="AZ30" s="365"/>
      <c r="BA30" s="377">
        <f t="shared" si="51"/>
        <v>0</v>
      </c>
      <c r="BB30" s="377">
        <f t="shared" si="39"/>
        <v>0</v>
      </c>
      <c r="BC30" s="377">
        <f t="shared" si="40"/>
        <v>0</v>
      </c>
      <c r="BD30" s="377">
        <f t="shared" si="41"/>
        <v>0</v>
      </c>
      <c r="BE30" s="377">
        <f t="shared" si="42"/>
        <v>0</v>
      </c>
      <c r="BF30" s="377">
        <f t="shared" si="43"/>
        <v>0</v>
      </c>
      <c r="BG30" s="328"/>
    </row>
    <row r="31" spans="2:59">
      <c r="B31" s="332">
        <v>16</v>
      </c>
      <c r="C31" s="350">
        <v>4955028.9477789924</v>
      </c>
      <c r="D31" s="350">
        <v>9256945.6029130518</v>
      </c>
      <c r="E31" s="350">
        <v>13591222.083747271</v>
      </c>
      <c r="F31" s="350">
        <v>17958181.408564378</v>
      </c>
      <c r="G31" s="350">
        <v>22358531.398223631</v>
      </c>
      <c r="H31" s="348">
        <v>68119909.441227317</v>
      </c>
      <c r="I31" s="369"/>
      <c r="J31" s="350">
        <v>5929203.6686217971</v>
      </c>
      <c r="K31" s="350">
        <v>12135470.871924741</v>
      </c>
      <c r="L31" s="350">
        <v>18213558.009628691</v>
      </c>
      <c r="M31" s="350">
        <v>24159291.458749242</v>
      </c>
      <c r="N31" s="350">
        <v>29970242.240760539</v>
      </c>
      <c r="O31" s="348">
        <v>90407766.249685004</v>
      </c>
      <c r="P31" s="369"/>
      <c r="Q31" s="350">
        <f t="shared" si="44"/>
        <v>974174.72084280476</v>
      </c>
      <c r="R31" s="350">
        <f t="shared" si="45"/>
        <v>2878525.2690116894</v>
      </c>
      <c r="S31" s="350">
        <f t="shared" si="46"/>
        <v>4622335.9258814193</v>
      </c>
      <c r="T31" s="350">
        <f t="shared" si="47"/>
        <v>6201110.0501848646</v>
      </c>
      <c r="U31" s="350">
        <f t="shared" si="48"/>
        <v>7611710.8425369076</v>
      </c>
      <c r="V31" s="350">
        <f t="shared" si="49"/>
        <v>22287856.808457687</v>
      </c>
      <c r="W31" s="365"/>
      <c r="X31" s="377">
        <f t="shared" si="28"/>
        <v>0</v>
      </c>
      <c r="Y31" s="377">
        <f t="shared" si="29"/>
        <v>0</v>
      </c>
      <c r="Z31" s="377">
        <f t="shared" si="30"/>
        <v>0</v>
      </c>
      <c r="AA31" s="377">
        <f t="shared" si="31"/>
        <v>0</v>
      </c>
      <c r="AB31" s="377">
        <f t="shared" si="32"/>
        <v>0</v>
      </c>
      <c r="AC31" s="377">
        <f t="shared" si="33"/>
        <v>0</v>
      </c>
      <c r="AD31" s="376"/>
      <c r="AE31" s="332">
        <v>16</v>
      </c>
      <c r="AF31" s="350">
        <v>7242881.1751917517</v>
      </c>
      <c r="AG31" s="350">
        <v>14542641.94613402</v>
      </c>
      <c r="AH31" s="350">
        <v>21897647.696866348</v>
      </c>
      <c r="AI31" s="350">
        <v>29308142.298405074</v>
      </c>
      <c r="AJ31" s="350">
        <v>36775194.448283635</v>
      </c>
      <c r="AK31" s="348">
        <v>109766507.56488085</v>
      </c>
      <c r="AL31" s="369"/>
      <c r="AM31" s="350">
        <v>8386343.9935186505</v>
      </c>
      <c r="AN31" s="350">
        <v>17915709.67893276</v>
      </c>
      <c r="AO31" s="350">
        <v>27172138.959446803</v>
      </c>
      <c r="AP31" s="350">
        <v>36149876.592421487</v>
      </c>
      <c r="AQ31" s="350">
        <v>44845700.042728588</v>
      </c>
      <c r="AR31" s="348">
        <v>134469769.2670483</v>
      </c>
      <c r="AS31" s="369"/>
      <c r="AT31" s="350">
        <f t="shared" si="50"/>
        <v>1143462.8183268989</v>
      </c>
      <c r="AU31" s="350">
        <f t="shared" si="34"/>
        <v>3373067.7327987403</v>
      </c>
      <c r="AV31" s="350">
        <f t="shared" si="35"/>
        <v>5274491.2625804543</v>
      </c>
      <c r="AW31" s="350">
        <f t="shared" si="36"/>
        <v>6841734.2940164134</v>
      </c>
      <c r="AX31" s="350">
        <f t="shared" si="37"/>
        <v>8070505.5944449529</v>
      </c>
      <c r="AY31" s="350">
        <f t="shared" si="38"/>
        <v>24703261.702167451</v>
      </c>
      <c r="AZ31" s="365"/>
      <c r="BA31" s="377">
        <f t="shared" si="51"/>
        <v>0</v>
      </c>
      <c r="BB31" s="377">
        <f t="shared" si="39"/>
        <v>0</v>
      </c>
      <c r="BC31" s="377">
        <f t="shared" si="40"/>
        <v>0</v>
      </c>
      <c r="BD31" s="377">
        <f t="shared" si="41"/>
        <v>0</v>
      </c>
      <c r="BE31" s="377">
        <f t="shared" si="42"/>
        <v>0</v>
      </c>
      <c r="BF31" s="377">
        <f t="shared" si="43"/>
        <v>0</v>
      </c>
      <c r="BG31" s="328"/>
    </row>
    <row r="32" spans="2:59">
      <c r="B32" s="332">
        <v>17</v>
      </c>
      <c r="C32" s="350">
        <v>6403960.7262055166</v>
      </c>
      <c r="D32" s="350">
        <v>12246669.715471298</v>
      </c>
      <c r="E32" s="350">
        <v>18133422.276110373</v>
      </c>
      <c r="F32" s="350">
        <v>24064572.048964746</v>
      </c>
      <c r="G32" s="350">
        <v>30041043.356720634</v>
      </c>
      <c r="H32" s="348">
        <v>90889668.123472571</v>
      </c>
      <c r="I32" s="369"/>
      <c r="J32" s="350">
        <v>7321522.3140046578</v>
      </c>
      <c r="K32" s="350">
        <v>14953483.537618328</v>
      </c>
      <c r="L32" s="350">
        <v>22389160.457327817</v>
      </c>
      <c r="M32" s="350">
        <v>29623298.843134679</v>
      </c>
      <c r="N32" s="350">
        <v>36652552.021282353</v>
      </c>
      <c r="O32" s="348">
        <v>110940017.17336783</v>
      </c>
      <c r="P32" s="369"/>
      <c r="Q32" s="350">
        <f t="shared" si="44"/>
        <v>917561.58779914118</v>
      </c>
      <c r="R32" s="350">
        <f t="shared" si="45"/>
        <v>2706813.8221470304</v>
      </c>
      <c r="S32" s="350">
        <f t="shared" si="46"/>
        <v>4255738.1812174432</v>
      </c>
      <c r="T32" s="350">
        <f t="shared" si="47"/>
        <v>5558726.7941699326</v>
      </c>
      <c r="U32" s="350">
        <f t="shared" si="48"/>
        <v>6611508.6645617187</v>
      </c>
      <c r="V32" s="350">
        <f t="shared" si="49"/>
        <v>20050349.049895257</v>
      </c>
      <c r="W32" s="365"/>
      <c r="X32" s="377">
        <f t="shared" si="28"/>
        <v>0</v>
      </c>
      <c r="Y32" s="377">
        <f t="shared" si="29"/>
        <v>0</v>
      </c>
      <c r="Z32" s="377">
        <f t="shared" si="30"/>
        <v>0</v>
      </c>
      <c r="AA32" s="377">
        <f t="shared" si="31"/>
        <v>0</v>
      </c>
      <c r="AB32" s="377">
        <f t="shared" si="32"/>
        <v>0</v>
      </c>
      <c r="AC32" s="377">
        <f t="shared" si="33"/>
        <v>0</v>
      </c>
      <c r="AD32" s="376"/>
      <c r="AE32" s="332">
        <v>17</v>
      </c>
      <c r="AF32" s="350">
        <v>5983810.2862184187</v>
      </c>
      <c r="AG32" s="350">
        <v>12014612.467222255</v>
      </c>
      <c r="AH32" s="350">
        <v>18091056.081563696</v>
      </c>
      <c r="AI32" s="350">
        <v>24213342.606784724</v>
      </c>
      <c r="AJ32" s="350">
        <v>30382354.96269843</v>
      </c>
      <c r="AK32" s="348">
        <v>90685176.40448752</v>
      </c>
      <c r="AL32" s="369"/>
      <c r="AM32" s="350">
        <v>7235278.7577769114</v>
      </c>
      <c r="AN32" s="350">
        <v>15711140.928342696</v>
      </c>
      <c r="AO32" s="350">
        <v>23970700.93388788</v>
      </c>
      <c r="AP32" s="350">
        <v>32009117.229231432</v>
      </c>
      <c r="AQ32" s="350">
        <v>39824038.167172022</v>
      </c>
      <c r="AR32" s="348">
        <v>118750276.01641095</v>
      </c>
      <c r="AS32" s="369"/>
      <c r="AT32" s="350">
        <f t="shared" si="50"/>
        <v>1251468.4715584926</v>
      </c>
      <c r="AU32" s="350">
        <f t="shared" si="34"/>
        <v>3696528.4611204416</v>
      </c>
      <c r="AV32" s="350">
        <f t="shared" si="35"/>
        <v>5879644.852324184</v>
      </c>
      <c r="AW32" s="350">
        <f t="shared" si="36"/>
        <v>7795774.6224467084</v>
      </c>
      <c r="AX32" s="350">
        <f t="shared" si="37"/>
        <v>9441683.2044735923</v>
      </c>
      <c r="AY32" s="350">
        <f t="shared" si="38"/>
        <v>28065099.611923426</v>
      </c>
      <c r="AZ32" s="365"/>
      <c r="BA32" s="377">
        <f t="shared" si="51"/>
        <v>0</v>
      </c>
      <c r="BB32" s="377">
        <f t="shared" si="39"/>
        <v>0</v>
      </c>
      <c r="BC32" s="377">
        <f t="shared" si="40"/>
        <v>0</v>
      </c>
      <c r="BD32" s="377">
        <f t="shared" si="41"/>
        <v>0</v>
      </c>
      <c r="BE32" s="377">
        <f t="shared" si="42"/>
        <v>0</v>
      </c>
      <c r="BF32" s="377">
        <f t="shared" si="43"/>
        <v>0</v>
      </c>
      <c r="BG32" s="328"/>
    </row>
    <row r="33" spans="2:59">
      <c r="B33" s="332">
        <v>18</v>
      </c>
      <c r="C33" s="350">
        <v>9718335.0563962311</v>
      </c>
      <c r="D33" s="350">
        <v>18435047.678711288</v>
      </c>
      <c r="E33" s="350">
        <v>27217421.506271876</v>
      </c>
      <c r="F33" s="350">
        <v>36066027.036048196</v>
      </c>
      <c r="G33" s="350">
        <v>44982261.927562743</v>
      </c>
      <c r="H33" s="348">
        <v>136419093.20499033</v>
      </c>
      <c r="I33" s="369"/>
      <c r="J33" s="350">
        <v>10950693.202595074</v>
      </c>
      <c r="K33" s="350">
        <v>22068370.006774783</v>
      </c>
      <c r="L33" s="350">
        <v>32887738.265622087</v>
      </c>
      <c r="M33" s="350">
        <v>43401094.493037768</v>
      </c>
      <c r="N33" s="350">
        <v>53603382.008825973</v>
      </c>
      <c r="O33" s="348">
        <v>162911277.9768557</v>
      </c>
      <c r="P33" s="369"/>
      <c r="Q33" s="350">
        <f t="shared" si="44"/>
        <v>1232358.1461988427</v>
      </c>
      <c r="R33" s="350">
        <f t="shared" si="45"/>
        <v>3633322.3280634955</v>
      </c>
      <c r="S33" s="350">
        <f t="shared" si="46"/>
        <v>5670316.7593502104</v>
      </c>
      <c r="T33" s="350">
        <f t="shared" si="47"/>
        <v>7335067.4569895715</v>
      </c>
      <c r="U33" s="350">
        <f t="shared" si="48"/>
        <v>8621120.0812632293</v>
      </c>
      <c r="V33" s="350">
        <f t="shared" si="49"/>
        <v>26492184.771865368</v>
      </c>
      <c r="W33" s="365"/>
      <c r="X33" s="377">
        <f t="shared" si="28"/>
        <v>0</v>
      </c>
      <c r="Y33" s="377">
        <f t="shared" si="29"/>
        <v>0</v>
      </c>
      <c r="Z33" s="377">
        <f t="shared" si="30"/>
        <v>0</v>
      </c>
      <c r="AA33" s="377">
        <f t="shared" si="31"/>
        <v>0</v>
      </c>
      <c r="AB33" s="377">
        <f t="shared" si="32"/>
        <v>0</v>
      </c>
      <c r="AC33" s="377">
        <f t="shared" si="33"/>
        <v>0</v>
      </c>
      <c r="AD33" s="376"/>
      <c r="AE33" s="332">
        <v>18</v>
      </c>
      <c r="AF33" s="350">
        <v>7557812.0790840816</v>
      </c>
      <c r="AG33" s="350">
        <v>15174976.960653601</v>
      </c>
      <c r="AH33" s="350">
        <v>22849788.953292154</v>
      </c>
      <c r="AI33" s="350">
        <v>30582502.53187906</v>
      </c>
      <c r="AJ33" s="350">
        <v>38374232.862455532</v>
      </c>
      <c r="AK33" s="348">
        <v>114539313.38736443</v>
      </c>
      <c r="AL33" s="369"/>
      <c r="AM33" s="350">
        <v>9181425.1317234356</v>
      </c>
      <c r="AN33" s="350">
        <v>19971241.962710567</v>
      </c>
      <c r="AO33" s="350">
        <v>30489146.259801634</v>
      </c>
      <c r="AP33" s="350">
        <v>40729010.79231596</v>
      </c>
      <c r="AQ33" s="350">
        <v>50687908.830174945</v>
      </c>
      <c r="AR33" s="348">
        <v>151058732.97672653</v>
      </c>
      <c r="AS33" s="369"/>
      <c r="AT33" s="350">
        <f t="shared" si="50"/>
        <v>1623613.052639354</v>
      </c>
      <c r="AU33" s="350">
        <f t="shared" si="34"/>
        <v>4796265.0020569656</v>
      </c>
      <c r="AV33" s="350">
        <f t="shared" si="35"/>
        <v>7639357.3065094799</v>
      </c>
      <c r="AW33" s="350">
        <f t="shared" si="36"/>
        <v>10146508.2604369</v>
      </c>
      <c r="AX33" s="350">
        <f t="shared" si="37"/>
        <v>12313675.967719413</v>
      </c>
      <c r="AY33" s="350">
        <f t="shared" si="38"/>
        <v>36519419.5893621</v>
      </c>
      <c r="AZ33" s="365"/>
      <c r="BA33" s="377">
        <f t="shared" si="51"/>
        <v>0</v>
      </c>
      <c r="BB33" s="377">
        <f t="shared" si="39"/>
        <v>0</v>
      </c>
      <c r="BC33" s="377">
        <f t="shared" si="40"/>
        <v>0</v>
      </c>
      <c r="BD33" s="377">
        <f t="shared" si="41"/>
        <v>0</v>
      </c>
      <c r="BE33" s="377">
        <f t="shared" si="42"/>
        <v>0</v>
      </c>
      <c r="BF33" s="377">
        <f t="shared" si="43"/>
        <v>0</v>
      </c>
      <c r="BG33" s="328"/>
    </row>
    <row r="34" spans="2:59">
      <c r="B34" s="332">
        <v>19</v>
      </c>
      <c r="C34" s="350">
        <v>7880666.7125697508</v>
      </c>
      <c r="D34" s="350">
        <v>14831122.027839318</v>
      </c>
      <c r="E34" s="350">
        <v>21833895.893977895</v>
      </c>
      <c r="F34" s="350">
        <v>28889477.559394956</v>
      </c>
      <c r="G34" s="350">
        <v>35998996.423363231</v>
      </c>
      <c r="H34" s="348">
        <v>109434158.61714515</v>
      </c>
      <c r="I34" s="369"/>
      <c r="J34" s="350">
        <v>9182371.4140711389</v>
      </c>
      <c r="K34" s="350">
        <v>18674492.378686935</v>
      </c>
      <c r="L34" s="350">
        <v>27946814.037189409</v>
      </c>
      <c r="M34" s="350">
        <v>36992826.784160174</v>
      </c>
      <c r="N34" s="350">
        <v>45808512.721291721</v>
      </c>
      <c r="O34" s="348">
        <v>138605017.33539939</v>
      </c>
      <c r="P34" s="369"/>
      <c r="Q34" s="350">
        <f t="shared" si="44"/>
        <v>1301704.7015013881</v>
      </c>
      <c r="R34" s="350">
        <f t="shared" si="45"/>
        <v>3843370.3508476168</v>
      </c>
      <c r="S34" s="350">
        <f t="shared" si="46"/>
        <v>6112918.1432115138</v>
      </c>
      <c r="T34" s="350">
        <f t="shared" si="47"/>
        <v>8103349.2247652188</v>
      </c>
      <c r="U34" s="350">
        <f t="shared" si="48"/>
        <v>9809516.2979284897</v>
      </c>
      <c r="V34" s="350">
        <f t="shared" si="49"/>
        <v>29170858.718254238</v>
      </c>
      <c r="W34" s="365"/>
      <c r="X34" s="377">
        <f t="shared" si="28"/>
        <v>0</v>
      </c>
      <c r="Y34" s="377">
        <f t="shared" si="29"/>
        <v>0</v>
      </c>
      <c r="Z34" s="377">
        <f t="shared" si="30"/>
        <v>0</v>
      </c>
      <c r="AA34" s="377">
        <f t="shared" si="31"/>
        <v>0</v>
      </c>
      <c r="AB34" s="377">
        <f t="shared" si="32"/>
        <v>0</v>
      </c>
      <c r="AC34" s="377">
        <f t="shared" si="33"/>
        <v>0</v>
      </c>
      <c r="AD34" s="376"/>
      <c r="AE34" s="332">
        <v>19</v>
      </c>
      <c r="AF34" s="350">
        <v>5429163.4594625123</v>
      </c>
      <c r="AG34" s="350">
        <v>10900963.076466227</v>
      </c>
      <c r="AH34" s="350">
        <v>16414173.565516591</v>
      </c>
      <c r="AI34" s="350">
        <v>21968977.728951335</v>
      </c>
      <c r="AJ34" s="350">
        <v>27566176.647646613</v>
      </c>
      <c r="AK34" s="348">
        <v>82279454.478043288</v>
      </c>
      <c r="AL34" s="369"/>
      <c r="AM34" s="350">
        <v>6364002.4216837389</v>
      </c>
      <c r="AN34" s="350">
        <v>13659848.00975541</v>
      </c>
      <c r="AO34" s="350">
        <v>20753431.837872397</v>
      </c>
      <c r="AP34" s="350">
        <v>27640417.87512438</v>
      </c>
      <c r="AQ34" s="350">
        <v>34318469.260931946</v>
      </c>
      <c r="AR34" s="348">
        <v>102736169.40536788</v>
      </c>
      <c r="AS34" s="369"/>
      <c r="AT34" s="350">
        <f t="shared" si="50"/>
        <v>934838.96222122665</v>
      </c>
      <c r="AU34" s="350">
        <f t="shared" si="34"/>
        <v>2758884.9332891833</v>
      </c>
      <c r="AV34" s="350">
        <f t="shared" si="35"/>
        <v>4339258.2723558061</v>
      </c>
      <c r="AW34" s="350">
        <f t="shared" si="36"/>
        <v>5671440.146173045</v>
      </c>
      <c r="AX34" s="350">
        <f t="shared" si="37"/>
        <v>6752292.6132853329</v>
      </c>
      <c r="AY34" s="350">
        <f t="shared" si="38"/>
        <v>20456714.927324593</v>
      </c>
      <c r="AZ34" s="365"/>
      <c r="BA34" s="377">
        <f t="shared" si="51"/>
        <v>0</v>
      </c>
      <c r="BB34" s="377">
        <f t="shared" si="39"/>
        <v>0</v>
      </c>
      <c r="BC34" s="377">
        <f t="shared" si="40"/>
        <v>0</v>
      </c>
      <c r="BD34" s="377">
        <f t="shared" si="41"/>
        <v>0</v>
      </c>
      <c r="BE34" s="377">
        <f t="shared" si="42"/>
        <v>0</v>
      </c>
      <c r="BF34" s="377">
        <f t="shared" si="43"/>
        <v>0</v>
      </c>
      <c r="BG34" s="328"/>
    </row>
    <row r="35" spans="2:59">
      <c r="B35" s="332">
        <v>20</v>
      </c>
      <c r="C35" s="350">
        <v>6959925.7268543299</v>
      </c>
      <c r="D35" s="350">
        <v>13166030.571540009</v>
      </c>
      <c r="E35" s="350">
        <v>19418873.036864147</v>
      </c>
      <c r="F35" s="350">
        <v>25718869.928756755</v>
      </c>
      <c r="G35" s="350">
        <v>32067020.972442899</v>
      </c>
      <c r="H35" s="348">
        <v>97330720.236458138</v>
      </c>
      <c r="I35" s="369"/>
      <c r="J35" s="350">
        <v>8059913.7200011406</v>
      </c>
      <c r="K35" s="350">
        <v>16413000.776559109</v>
      </c>
      <c r="L35" s="350">
        <v>24570088.308990099</v>
      </c>
      <c r="M35" s="350">
        <v>32525277.856111191</v>
      </c>
      <c r="N35" s="350">
        <v>40274823.154018447</v>
      </c>
      <c r="O35" s="348">
        <v>121843103.81567998</v>
      </c>
      <c r="P35" s="369"/>
      <c r="Q35" s="350">
        <f t="shared" si="44"/>
        <v>1099987.9931468107</v>
      </c>
      <c r="R35" s="350">
        <f t="shared" si="45"/>
        <v>3246970.2050190996</v>
      </c>
      <c r="S35" s="350">
        <f t="shared" si="46"/>
        <v>5151215.2721259519</v>
      </c>
      <c r="T35" s="350">
        <f t="shared" si="47"/>
        <v>6806407.9273544364</v>
      </c>
      <c r="U35" s="350">
        <f t="shared" si="48"/>
        <v>8207802.1815755479</v>
      </c>
      <c r="V35" s="350">
        <f t="shared" si="49"/>
        <v>24512383.579221845</v>
      </c>
      <c r="W35" s="365"/>
      <c r="X35" s="377">
        <f t="shared" si="28"/>
        <v>0</v>
      </c>
      <c r="Y35" s="377">
        <f t="shared" si="29"/>
        <v>0</v>
      </c>
      <c r="Z35" s="377">
        <f t="shared" si="30"/>
        <v>0</v>
      </c>
      <c r="AA35" s="377">
        <f t="shared" si="31"/>
        <v>0</v>
      </c>
      <c r="AB35" s="377">
        <f t="shared" si="32"/>
        <v>0</v>
      </c>
      <c r="AC35" s="377">
        <f t="shared" si="33"/>
        <v>0</v>
      </c>
      <c r="AD35" s="376"/>
      <c r="AE35" s="332">
        <v>20</v>
      </c>
      <c r="AF35" s="350">
        <v>5636915.8806713652</v>
      </c>
      <c r="AG35" s="350">
        <v>11318099.434498884</v>
      </c>
      <c r="AH35" s="350">
        <v>17042278.489201471</v>
      </c>
      <c r="AI35" s="350">
        <v>22809642.842232868</v>
      </c>
      <c r="AJ35" s="350">
        <v>28621024.228637755</v>
      </c>
      <c r="AK35" s="348">
        <v>85427960.875242352</v>
      </c>
      <c r="AL35" s="369"/>
      <c r="AM35" s="350">
        <v>6732807.8280423526</v>
      </c>
      <c r="AN35" s="350">
        <v>14554100.846696433</v>
      </c>
      <c r="AO35" s="350">
        <v>22169144.543285832</v>
      </c>
      <c r="AP35" s="350">
        <v>29573401.530347396</v>
      </c>
      <c r="AQ35" s="350">
        <v>36764572.404676393</v>
      </c>
      <c r="AR35" s="348">
        <v>109794027.15304841</v>
      </c>
      <c r="AS35" s="369"/>
      <c r="AT35" s="350">
        <f t="shared" si="50"/>
        <v>1095891.9473709874</v>
      </c>
      <c r="AU35" s="350">
        <f t="shared" si="34"/>
        <v>3236001.4121975489</v>
      </c>
      <c r="AV35" s="350">
        <f t="shared" si="35"/>
        <v>5126866.0540843606</v>
      </c>
      <c r="AW35" s="350">
        <f t="shared" si="36"/>
        <v>6763758.6881145276</v>
      </c>
      <c r="AX35" s="350">
        <f t="shared" si="37"/>
        <v>8143548.1760386378</v>
      </c>
      <c r="AY35" s="350">
        <f t="shared" si="38"/>
        <v>24366066.277806059</v>
      </c>
      <c r="AZ35" s="365"/>
      <c r="BA35" s="377">
        <f t="shared" si="51"/>
        <v>0</v>
      </c>
      <c r="BB35" s="377">
        <f t="shared" si="39"/>
        <v>0</v>
      </c>
      <c r="BC35" s="377">
        <f t="shared" si="40"/>
        <v>0</v>
      </c>
      <c r="BD35" s="377">
        <f t="shared" si="41"/>
        <v>0</v>
      </c>
      <c r="BE35" s="377">
        <f t="shared" si="42"/>
        <v>0</v>
      </c>
      <c r="BF35" s="377">
        <f t="shared" si="43"/>
        <v>0</v>
      </c>
      <c r="BG35" s="328"/>
    </row>
    <row r="36" spans="2:59">
      <c r="B36" s="332">
        <v>21</v>
      </c>
      <c r="C36" s="350">
        <v>10320390.211729111</v>
      </c>
      <c r="D36" s="350">
        <v>19302640.183278121</v>
      </c>
      <c r="E36" s="350">
        <v>28352463.665218078</v>
      </c>
      <c r="F36" s="350">
        <v>37470528.440350167</v>
      </c>
      <c r="G36" s="350">
        <v>46658309.512402058</v>
      </c>
      <c r="H36" s="348">
        <v>142104332.01297754</v>
      </c>
      <c r="I36" s="369"/>
      <c r="J36" s="350">
        <v>11732617.226218507</v>
      </c>
      <c r="K36" s="350">
        <v>23468784.005720232</v>
      </c>
      <c r="L36" s="350">
        <v>34909077.675380692</v>
      </c>
      <c r="M36" s="350">
        <v>46045342.295424834</v>
      </c>
      <c r="N36" s="350">
        <v>56872277.831344672</v>
      </c>
      <c r="O36" s="348">
        <v>173028099.03408894</v>
      </c>
      <c r="P36" s="369"/>
      <c r="Q36" s="350">
        <f t="shared" si="44"/>
        <v>1412227.0144893955</v>
      </c>
      <c r="R36" s="350">
        <f t="shared" si="45"/>
        <v>4166143.8224421106</v>
      </c>
      <c r="S36" s="350">
        <f t="shared" si="46"/>
        <v>6556614.0101626143</v>
      </c>
      <c r="T36" s="350">
        <f t="shared" si="47"/>
        <v>8574813.8550746664</v>
      </c>
      <c r="U36" s="350">
        <f t="shared" si="48"/>
        <v>10213968.318942614</v>
      </c>
      <c r="V36" s="350">
        <f t="shared" si="49"/>
        <v>30923767.021111399</v>
      </c>
      <c r="W36" s="365"/>
      <c r="X36" s="377">
        <f t="shared" si="28"/>
        <v>0</v>
      </c>
      <c r="Y36" s="377">
        <f t="shared" si="29"/>
        <v>0</v>
      </c>
      <c r="Z36" s="377">
        <f t="shared" si="30"/>
        <v>0</v>
      </c>
      <c r="AA36" s="377">
        <f t="shared" si="31"/>
        <v>0</v>
      </c>
      <c r="AB36" s="377">
        <f t="shared" si="32"/>
        <v>0</v>
      </c>
      <c r="AC36" s="377">
        <f t="shared" si="33"/>
        <v>0</v>
      </c>
      <c r="AD36" s="376"/>
      <c r="AE36" s="332">
        <v>21</v>
      </c>
      <c r="AF36" s="350">
        <v>7539543.7557514496</v>
      </c>
      <c r="AG36" s="350">
        <v>15138296.8496927</v>
      </c>
      <c r="AH36" s="350">
        <v>22794557.713309847</v>
      </c>
      <c r="AI36" s="350">
        <v>30508580.206379667</v>
      </c>
      <c r="AJ36" s="350">
        <v>38281476.799425989</v>
      </c>
      <c r="AK36" s="348">
        <v>114262455.32455966</v>
      </c>
      <c r="AL36" s="369"/>
      <c r="AM36" s="350">
        <v>8598327.2467710152</v>
      </c>
      <c r="AN36" s="350">
        <v>18259488.907743014</v>
      </c>
      <c r="AO36" s="350">
        <v>27632596.003400546</v>
      </c>
      <c r="AP36" s="350">
        <v>36711694.758219808</v>
      </c>
      <c r="AQ36" s="350">
        <v>45493297.451126158</v>
      </c>
      <c r="AR36" s="348">
        <v>136695404.36726055</v>
      </c>
      <c r="AS36" s="369"/>
      <c r="AT36" s="350">
        <f t="shared" si="50"/>
        <v>1058783.4910195656</v>
      </c>
      <c r="AU36" s="350">
        <f t="shared" si="34"/>
        <v>3121192.058050314</v>
      </c>
      <c r="AV36" s="350">
        <f t="shared" si="35"/>
        <v>4838038.2900906987</v>
      </c>
      <c r="AW36" s="350">
        <f t="shared" si="36"/>
        <v>6203114.5518401414</v>
      </c>
      <c r="AX36" s="350">
        <f t="shared" si="37"/>
        <v>7211820.6517001688</v>
      </c>
      <c r="AY36" s="350">
        <f t="shared" si="38"/>
        <v>22432949.042700887</v>
      </c>
      <c r="AZ36" s="365"/>
      <c r="BA36" s="377">
        <f t="shared" si="51"/>
        <v>0</v>
      </c>
      <c r="BB36" s="377">
        <f t="shared" si="39"/>
        <v>0</v>
      </c>
      <c r="BC36" s="377">
        <f t="shared" si="40"/>
        <v>0</v>
      </c>
      <c r="BD36" s="377">
        <f t="shared" si="41"/>
        <v>0</v>
      </c>
      <c r="BE36" s="377">
        <f t="shared" si="42"/>
        <v>0</v>
      </c>
      <c r="BF36" s="377">
        <f t="shared" si="43"/>
        <v>0</v>
      </c>
      <c r="BG36" s="328"/>
    </row>
    <row r="37" spans="2:59">
      <c r="B37" s="332">
        <v>22</v>
      </c>
      <c r="C37" s="350">
        <v>9009187.5690746512</v>
      </c>
      <c r="D37" s="350">
        <v>17098578.887352422</v>
      </c>
      <c r="E37" s="350">
        <v>25248908.727760233</v>
      </c>
      <c r="F37" s="350">
        <v>33460703.986087136</v>
      </c>
      <c r="G37" s="350">
        <v>41735260.628760517</v>
      </c>
      <c r="H37" s="348">
        <v>126552639.79903495</v>
      </c>
      <c r="I37" s="369"/>
      <c r="J37" s="350">
        <v>10619594.09961905</v>
      </c>
      <c r="K37" s="350">
        <v>21854648.283954173</v>
      </c>
      <c r="L37" s="350">
        <v>32838978.088029996</v>
      </c>
      <c r="M37" s="350">
        <v>43564834.296792492</v>
      </c>
      <c r="N37" s="350">
        <v>54027511.661253385</v>
      </c>
      <c r="O37" s="348">
        <v>162905566.42964908</v>
      </c>
      <c r="P37" s="369"/>
      <c r="Q37" s="350">
        <f t="shared" si="44"/>
        <v>1610406.5305443984</v>
      </c>
      <c r="R37" s="350">
        <f t="shared" si="45"/>
        <v>4756069.3966017514</v>
      </c>
      <c r="S37" s="350">
        <f t="shared" si="46"/>
        <v>7590069.3602697626</v>
      </c>
      <c r="T37" s="350">
        <f t="shared" si="47"/>
        <v>10104130.310705356</v>
      </c>
      <c r="U37" s="350">
        <f t="shared" si="48"/>
        <v>12292251.032492869</v>
      </c>
      <c r="V37" s="350">
        <f t="shared" si="49"/>
        <v>36352926.630614132</v>
      </c>
      <c r="W37" s="365"/>
      <c r="X37" s="377">
        <f t="shared" si="28"/>
        <v>0</v>
      </c>
      <c r="Y37" s="377">
        <f t="shared" si="29"/>
        <v>0</v>
      </c>
      <c r="Z37" s="377">
        <f t="shared" si="30"/>
        <v>0</v>
      </c>
      <c r="AA37" s="377">
        <f t="shared" si="31"/>
        <v>0</v>
      </c>
      <c r="AB37" s="377">
        <f t="shared" si="32"/>
        <v>0</v>
      </c>
      <c r="AC37" s="377">
        <f t="shared" si="33"/>
        <v>0</v>
      </c>
      <c r="AD37" s="376"/>
      <c r="AE37" s="332">
        <v>22</v>
      </c>
      <c r="AF37" s="350">
        <v>5920803.8941904567</v>
      </c>
      <c r="AG37" s="350">
        <v>11888104.883096915</v>
      </c>
      <c r="AH37" s="350">
        <v>17900566.724924147</v>
      </c>
      <c r="AI37" s="350">
        <v>23958388.775761016</v>
      </c>
      <c r="AJ37" s="350">
        <v>30062444.658736859</v>
      </c>
      <c r="AK37" s="348">
        <v>89730308.936709389</v>
      </c>
      <c r="AL37" s="369"/>
      <c r="AM37" s="350">
        <v>6913902.4226750201</v>
      </c>
      <c r="AN37" s="350">
        <v>14818541.480631201</v>
      </c>
      <c r="AO37" s="350">
        <v>22501812.325468753</v>
      </c>
      <c r="AP37" s="350">
        <v>29958993.740516864</v>
      </c>
      <c r="AQ37" s="350">
        <v>37187510.517531313</v>
      </c>
      <c r="AR37" s="348">
        <v>111380760.48682314</v>
      </c>
      <c r="AS37" s="369"/>
      <c r="AT37" s="350">
        <f t="shared" si="50"/>
        <v>993098.52848456334</v>
      </c>
      <c r="AU37" s="350">
        <f t="shared" si="34"/>
        <v>2930436.5975342859</v>
      </c>
      <c r="AV37" s="350">
        <f t="shared" si="35"/>
        <v>4601245.6005446054</v>
      </c>
      <c r="AW37" s="350">
        <f t="shared" si="36"/>
        <v>6000604.9647558481</v>
      </c>
      <c r="AX37" s="350">
        <f t="shared" si="37"/>
        <v>7125065.8587944545</v>
      </c>
      <c r="AY37" s="350">
        <f t="shared" si="38"/>
        <v>21650451.550113752</v>
      </c>
      <c r="AZ37" s="365"/>
      <c r="BA37" s="377">
        <f t="shared" si="51"/>
        <v>0</v>
      </c>
      <c r="BB37" s="377">
        <f t="shared" si="39"/>
        <v>0</v>
      </c>
      <c r="BC37" s="377">
        <f t="shared" si="40"/>
        <v>0</v>
      </c>
      <c r="BD37" s="377">
        <f t="shared" si="41"/>
        <v>0</v>
      </c>
      <c r="BE37" s="377">
        <f t="shared" si="42"/>
        <v>0</v>
      </c>
      <c r="BF37" s="377">
        <f t="shared" si="43"/>
        <v>0</v>
      </c>
      <c r="BG37" s="328"/>
    </row>
    <row r="38" spans="2:59">
      <c r="B38" s="332">
        <v>23</v>
      </c>
      <c r="C38" s="350">
        <v>7617398.4848848432</v>
      </c>
      <c r="D38" s="350">
        <v>14509033.9887159</v>
      </c>
      <c r="E38" s="350">
        <v>21452601.773568384</v>
      </c>
      <c r="F38" s="350">
        <v>28448535.615771197</v>
      </c>
      <c r="G38" s="350">
        <v>35497933.022473514</v>
      </c>
      <c r="H38" s="348">
        <v>107525502.88541384</v>
      </c>
      <c r="I38" s="369"/>
      <c r="J38" s="350">
        <v>8288046.4858542178</v>
      </c>
      <c r="K38" s="350">
        <v>16480985.305003218</v>
      </c>
      <c r="L38" s="350">
        <v>24430643.942569442</v>
      </c>
      <c r="M38" s="350">
        <v>32130931.73588869</v>
      </c>
      <c r="N38" s="350">
        <v>39577464.349712245</v>
      </c>
      <c r="O38" s="348">
        <v>120908071.81902781</v>
      </c>
      <c r="P38" s="369"/>
      <c r="Q38" s="350">
        <f t="shared" si="44"/>
        <v>670648.00096937455</v>
      </c>
      <c r="R38" s="350">
        <f t="shared" si="45"/>
        <v>1971951.3162873182</v>
      </c>
      <c r="S38" s="350">
        <f t="shared" si="46"/>
        <v>2978042.1690010577</v>
      </c>
      <c r="T38" s="350">
        <f t="shared" si="47"/>
        <v>3682396.120117493</v>
      </c>
      <c r="U38" s="350">
        <f t="shared" si="48"/>
        <v>4079531.3272387311</v>
      </c>
      <c r="V38" s="350">
        <f t="shared" si="49"/>
        <v>13382568.933613971</v>
      </c>
      <c r="W38" s="365"/>
      <c r="X38" s="377">
        <f t="shared" si="28"/>
        <v>0</v>
      </c>
      <c r="Y38" s="377">
        <f t="shared" si="29"/>
        <v>0</v>
      </c>
      <c r="Z38" s="377">
        <f t="shared" si="30"/>
        <v>0</v>
      </c>
      <c r="AA38" s="377">
        <f t="shared" si="31"/>
        <v>0</v>
      </c>
      <c r="AB38" s="377">
        <f t="shared" si="32"/>
        <v>0</v>
      </c>
      <c r="AC38" s="377">
        <f t="shared" si="33"/>
        <v>0</v>
      </c>
      <c r="AD38" s="376"/>
      <c r="AE38" s="332">
        <v>23</v>
      </c>
      <c r="AF38" s="350">
        <v>6631831.6626486881</v>
      </c>
      <c r="AG38" s="350">
        <v>13315744.243778955</v>
      </c>
      <c r="AH38" s="350">
        <v>20050241.032672983</v>
      </c>
      <c r="AI38" s="350">
        <v>26835545.326039445</v>
      </c>
      <c r="AJ38" s="350">
        <v>33672635.660177439</v>
      </c>
      <c r="AK38" s="348">
        <v>100505997.92531751</v>
      </c>
      <c r="AL38" s="369"/>
      <c r="AM38" s="350">
        <v>7933218.1033924073</v>
      </c>
      <c r="AN38" s="350">
        <v>17158694.68940714</v>
      </c>
      <c r="AO38" s="350">
        <v>26141880.429808274</v>
      </c>
      <c r="AP38" s="350">
        <v>34877433.674428046</v>
      </c>
      <c r="AQ38" s="350">
        <v>43362661.398957551</v>
      </c>
      <c r="AR38" s="348">
        <v>129473888.29599342</v>
      </c>
      <c r="AS38" s="369"/>
      <c r="AT38" s="350">
        <f t="shared" si="50"/>
        <v>1301386.4407437192</v>
      </c>
      <c r="AU38" s="350">
        <f t="shared" si="34"/>
        <v>3842950.4456281848</v>
      </c>
      <c r="AV38" s="350">
        <f t="shared" si="35"/>
        <v>6091639.3971352912</v>
      </c>
      <c r="AW38" s="350">
        <f t="shared" si="36"/>
        <v>8041888.3483886011</v>
      </c>
      <c r="AX38" s="350">
        <f t="shared" si="37"/>
        <v>9690025.7387801111</v>
      </c>
      <c r="AY38" s="350">
        <f t="shared" si="38"/>
        <v>28967890.370675907</v>
      </c>
      <c r="AZ38" s="365"/>
      <c r="BA38" s="377">
        <f t="shared" si="51"/>
        <v>0</v>
      </c>
      <c r="BB38" s="377">
        <f t="shared" si="39"/>
        <v>0</v>
      </c>
      <c r="BC38" s="377">
        <f t="shared" si="40"/>
        <v>0</v>
      </c>
      <c r="BD38" s="377">
        <f t="shared" si="41"/>
        <v>0</v>
      </c>
      <c r="BE38" s="377">
        <f t="shared" si="42"/>
        <v>0</v>
      </c>
      <c r="BF38" s="377">
        <f t="shared" si="43"/>
        <v>0</v>
      </c>
      <c r="BG38" s="328"/>
    </row>
    <row r="39" spans="2:59">
      <c r="B39" s="332">
        <v>24</v>
      </c>
      <c r="C39" s="350">
        <v>7622247.4264264861</v>
      </c>
      <c r="D39" s="350">
        <v>14515503.201594457</v>
      </c>
      <c r="E39" s="350">
        <v>21460702.588671193</v>
      </c>
      <c r="F39" s="350">
        <v>28458280.264510885</v>
      </c>
      <c r="G39" s="350">
        <v>35509334.341738082</v>
      </c>
      <c r="H39" s="348">
        <v>107566067.82294109</v>
      </c>
      <c r="I39" s="369"/>
      <c r="J39" s="350">
        <v>8304224.6640143059</v>
      </c>
      <c r="K39" s="350">
        <v>16521052.281926418</v>
      </c>
      <c r="L39" s="350">
        <v>24494512.340374388</v>
      </c>
      <c r="M39" s="350">
        <v>32218527.210395865</v>
      </c>
      <c r="N39" s="350">
        <v>39688740.617587663</v>
      </c>
      <c r="O39" s="348">
        <v>121227057.11429864</v>
      </c>
      <c r="P39" s="369"/>
      <c r="Q39" s="350">
        <f t="shared" si="44"/>
        <v>681977.23758781981</v>
      </c>
      <c r="R39" s="350">
        <f t="shared" si="45"/>
        <v>2005549.0803319607</v>
      </c>
      <c r="S39" s="350">
        <f t="shared" si="46"/>
        <v>3033809.7517031953</v>
      </c>
      <c r="T39" s="350">
        <f t="shared" si="47"/>
        <v>3760246.9458849803</v>
      </c>
      <c r="U39" s="350">
        <f t="shared" si="48"/>
        <v>4179406.2758495808</v>
      </c>
      <c r="V39" s="350">
        <f t="shared" si="49"/>
        <v>13660989.291357547</v>
      </c>
      <c r="W39" s="365"/>
      <c r="X39" s="377">
        <f t="shared" si="28"/>
        <v>0</v>
      </c>
      <c r="Y39" s="377">
        <f t="shared" si="29"/>
        <v>0</v>
      </c>
      <c r="Z39" s="377">
        <f t="shared" si="30"/>
        <v>0</v>
      </c>
      <c r="AA39" s="377">
        <f t="shared" si="31"/>
        <v>0</v>
      </c>
      <c r="AB39" s="377">
        <f t="shared" si="32"/>
        <v>0</v>
      </c>
      <c r="AC39" s="377">
        <f t="shared" si="33"/>
        <v>0</v>
      </c>
      <c r="AD39" s="376"/>
      <c r="AE39" s="332">
        <v>24</v>
      </c>
      <c r="AF39" s="350">
        <v>5372578.83711039</v>
      </c>
      <c r="AG39" s="350">
        <v>10787349.462958017</v>
      </c>
      <c r="AH39" s="350">
        <v>16243099.362398218</v>
      </c>
      <c r="AI39" s="350">
        <v>21740009.43253943</v>
      </c>
      <c r="AJ39" s="350">
        <v>27278872.405115411</v>
      </c>
      <c r="AK39" s="348">
        <v>81421909.500121474</v>
      </c>
      <c r="AL39" s="369"/>
      <c r="AM39" s="350">
        <v>6725462.5746181002</v>
      </c>
      <c r="AN39" s="350">
        <v>14786173.900420256</v>
      </c>
      <c r="AO39" s="350">
        <v>22659543.893643197</v>
      </c>
      <c r="AP39" s="350">
        <v>30341160.720680803</v>
      </c>
      <c r="AQ39" s="350">
        <v>37829145.125471167</v>
      </c>
      <c r="AR39" s="348">
        <v>112341486.21483353</v>
      </c>
      <c r="AS39" s="369"/>
      <c r="AT39" s="350">
        <f t="shared" si="50"/>
        <v>1352883.7375077102</v>
      </c>
      <c r="AU39" s="350">
        <f t="shared" si="34"/>
        <v>3998824.4374622386</v>
      </c>
      <c r="AV39" s="350">
        <f t="shared" si="35"/>
        <v>6416444.5312449783</v>
      </c>
      <c r="AW39" s="350">
        <f t="shared" si="36"/>
        <v>8601151.2881413735</v>
      </c>
      <c r="AX39" s="350">
        <f t="shared" si="37"/>
        <v>10550272.720355757</v>
      </c>
      <c r="AY39" s="350">
        <f t="shared" si="38"/>
        <v>30919576.714712054</v>
      </c>
      <c r="AZ39" s="365"/>
      <c r="BA39" s="377">
        <f t="shared" si="51"/>
        <v>0</v>
      </c>
      <c r="BB39" s="377">
        <f t="shared" si="39"/>
        <v>0</v>
      </c>
      <c r="BC39" s="377">
        <f t="shared" si="40"/>
        <v>0</v>
      </c>
      <c r="BD39" s="377">
        <f t="shared" si="41"/>
        <v>0</v>
      </c>
      <c r="BE39" s="377">
        <f t="shared" si="42"/>
        <v>0</v>
      </c>
      <c r="BF39" s="377">
        <f t="shared" si="43"/>
        <v>0</v>
      </c>
      <c r="BG39" s="328"/>
    </row>
    <row r="40" spans="2:59">
      <c r="B40" s="332">
        <v>25</v>
      </c>
      <c r="C40" s="350">
        <v>7146888.6560842562</v>
      </c>
      <c r="D40" s="350">
        <v>13579912.983271882</v>
      </c>
      <c r="E40" s="350">
        <v>20061403.243623488</v>
      </c>
      <c r="F40" s="350">
        <v>26591773.851927854</v>
      </c>
      <c r="G40" s="350">
        <v>33172053.415977277</v>
      </c>
      <c r="H40" s="348">
        <v>100552032.15088475</v>
      </c>
      <c r="I40" s="369"/>
      <c r="J40" s="350">
        <v>8246192.3458500085</v>
      </c>
      <c r="K40" s="350">
        <v>16824254.76199685</v>
      </c>
      <c r="L40" s="350">
        <v>25195642.929938421</v>
      </c>
      <c r="M40" s="350">
        <v>33354291.582827307</v>
      </c>
      <c r="N40" s="350">
        <v>41296326.254700713</v>
      </c>
      <c r="O40" s="348">
        <v>124916707.87531331</v>
      </c>
      <c r="P40" s="369"/>
      <c r="Q40" s="350">
        <f t="shared" si="44"/>
        <v>1099303.6897657523</v>
      </c>
      <c r="R40" s="350">
        <f t="shared" si="45"/>
        <v>3244341.7787249684</v>
      </c>
      <c r="S40" s="350">
        <f t="shared" si="46"/>
        <v>5134239.686314933</v>
      </c>
      <c r="T40" s="350">
        <f t="shared" si="47"/>
        <v>6762517.7308994532</v>
      </c>
      <c r="U40" s="350">
        <f t="shared" si="48"/>
        <v>8124272.838723436</v>
      </c>
      <c r="V40" s="350">
        <f t="shared" si="49"/>
        <v>24364675.724428564</v>
      </c>
      <c r="W40" s="365"/>
      <c r="X40" s="377">
        <f t="shared" si="28"/>
        <v>0</v>
      </c>
      <c r="Y40" s="377">
        <f t="shared" si="29"/>
        <v>0</v>
      </c>
      <c r="Z40" s="377">
        <f t="shared" si="30"/>
        <v>0</v>
      </c>
      <c r="AA40" s="377">
        <f t="shared" si="31"/>
        <v>0</v>
      </c>
      <c r="AB40" s="377">
        <f t="shared" si="32"/>
        <v>0</v>
      </c>
      <c r="AC40" s="377">
        <f t="shared" si="33"/>
        <v>0</v>
      </c>
      <c r="AD40" s="376"/>
      <c r="AE40" s="332">
        <v>25</v>
      </c>
      <c r="AF40" s="350">
        <v>3549422.9533933564</v>
      </c>
      <c r="AG40" s="350">
        <v>7126720.1377527155</v>
      </c>
      <c r="AH40" s="350">
        <v>10731090.498460494</v>
      </c>
      <c r="AI40" s="350">
        <v>14362653.546159223</v>
      </c>
      <c r="AJ40" s="350">
        <v>18021933.003310125</v>
      </c>
      <c r="AK40" s="348">
        <v>53791820.13907592</v>
      </c>
      <c r="AL40" s="369"/>
      <c r="AM40" s="350">
        <v>4176893.7680428517</v>
      </c>
      <c r="AN40" s="350">
        <v>8978740.7567615472</v>
      </c>
      <c r="AO40" s="350">
        <v>13648843.351802353</v>
      </c>
      <c r="AP40" s="350">
        <v>18184362.176599246</v>
      </c>
      <c r="AQ40" s="350">
        <v>22583785.971801799</v>
      </c>
      <c r="AR40" s="348">
        <v>67572626.025007799</v>
      </c>
      <c r="AS40" s="369"/>
      <c r="AT40" s="350">
        <f t="shared" si="50"/>
        <v>627470.8146494953</v>
      </c>
      <c r="AU40" s="350">
        <f t="shared" si="34"/>
        <v>1852020.6190088317</v>
      </c>
      <c r="AV40" s="350">
        <f t="shared" si="35"/>
        <v>2917752.8533418588</v>
      </c>
      <c r="AW40" s="350">
        <f t="shared" si="36"/>
        <v>3821708.6304400228</v>
      </c>
      <c r="AX40" s="350">
        <f t="shared" si="37"/>
        <v>4561852.9684916735</v>
      </c>
      <c r="AY40" s="350">
        <f t="shared" si="38"/>
        <v>13780805.885931879</v>
      </c>
      <c r="AZ40" s="365"/>
      <c r="BA40" s="377">
        <f t="shared" si="51"/>
        <v>0</v>
      </c>
      <c r="BB40" s="377">
        <f t="shared" si="39"/>
        <v>0</v>
      </c>
      <c r="BC40" s="377">
        <f t="shared" si="40"/>
        <v>0</v>
      </c>
      <c r="BD40" s="377">
        <f t="shared" si="41"/>
        <v>0</v>
      </c>
      <c r="BE40" s="377">
        <f t="shared" si="42"/>
        <v>0</v>
      </c>
      <c r="BF40" s="377">
        <f t="shared" si="43"/>
        <v>0</v>
      </c>
      <c r="BG40" s="328"/>
    </row>
    <row r="41" spans="2:59">
      <c r="B41" s="332">
        <v>26</v>
      </c>
      <c r="C41" s="350">
        <v>6432079.4863388045</v>
      </c>
      <c r="D41" s="350">
        <v>12179047.33595404</v>
      </c>
      <c r="E41" s="350">
        <v>17969298.805095069</v>
      </c>
      <c r="F41" s="350">
        <v>23803216.484640867</v>
      </c>
      <c r="G41" s="350">
        <v>29681724.668388337</v>
      </c>
      <c r="H41" s="348">
        <v>90065366.780417114</v>
      </c>
      <c r="I41" s="369"/>
      <c r="J41" s="350">
        <v>7294543.747572883</v>
      </c>
      <c r="K41" s="350">
        <v>14722692.591006793</v>
      </c>
      <c r="L41" s="350">
        <v>21960992.791435786</v>
      </c>
      <c r="M41" s="350">
        <v>29004143.320647515</v>
      </c>
      <c r="N41" s="350">
        <v>35848640.986297585</v>
      </c>
      <c r="O41" s="348">
        <v>108831013.43696055</v>
      </c>
      <c r="P41" s="369"/>
      <c r="Q41" s="350">
        <f t="shared" si="44"/>
        <v>862464.26123407856</v>
      </c>
      <c r="R41" s="350">
        <f t="shared" si="45"/>
        <v>2543645.2550527528</v>
      </c>
      <c r="S41" s="350">
        <f t="shared" si="46"/>
        <v>3991693.9863407165</v>
      </c>
      <c r="T41" s="350">
        <f t="shared" si="47"/>
        <v>5200926.8360066488</v>
      </c>
      <c r="U41" s="350">
        <f t="shared" si="48"/>
        <v>6166916.3179092482</v>
      </c>
      <c r="V41" s="350">
        <f t="shared" si="49"/>
        <v>18765646.656543434</v>
      </c>
      <c r="W41" s="365"/>
      <c r="X41" s="377">
        <f t="shared" si="28"/>
        <v>0</v>
      </c>
      <c r="Y41" s="377">
        <f t="shared" si="29"/>
        <v>0</v>
      </c>
      <c r="Z41" s="377">
        <f t="shared" si="30"/>
        <v>0</v>
      </c>
      <c r="AA41" s="377">
        <f t="shared" si="31"/>
        <v>0</v>
      </c>
      <c r="AB41" s="377">
        <f t="shared" si="32"/>
        <v>0</v>
      </c>
      <c r="AC41" s="377">
        <f t="shared" si="33"/>
        <v>0</v>
      </c>
      <c r="AD41" s="376"/>
      <c r="AE41" s="332">
        <v>26</v>
      </c>
      <c r="AF41" s="350">
        <v>4649294.5458140578</v>
      </c>
      <c r="AG41" s="350">
        <v>9335100.8040108588</v>
      </c>
      <c r="AH41" s="350">
        <v>14056369.494492384</v>
      </c>
      <c r="AI41" s="350">
        <v>18813257.16106471</v>
      </c>
      <c r="AJ41" s="350">
        <v>23606449.813824259</v>
      </c>
      <c r="AK41" s="348">
        <v>70460471.819206268</v>
      </c>
      <c r="AL41" s="369"/>
      <c r="AM41" s="350">
        <v>5589837.5471807849</v>
      </c>
      <c r="AN41" s="350">
        <v>12112851.914670862</v>
      </c>
      <c r="AO41" s="350">
        <v>18466850.988123961</v>
      </c>
      <c r="AP41" s="350">
        <v>24648081.98925963</v>
      </c>
      <c r="AQ41" s="350">
        <v>30654685.50987833</v>
      </c>
      <c r="AR41" s="348">
        <v>91472307.949113578</v>
      </c>
      <c r="AS41" s="369"/>
      <c r="AT41" s="350">
        <f t="shared" si="50"/>
        <v>940543.00136672705</v>
      </c>
      <c r="AU41" s="350">
        <f t="shared" si="34"/>
        <v>2777751.1106600035</v>
      </c>
      <c r="AV41" s="350">
        <f t="shared" si="35"/>
        <v>4410481.4936315771</v>
      </c>
      <c r="AW41" s="350">
        <f t="shared" si="36"/>
        <v>5834824.82819492</v>
      </c>
      <c r="AX41" s="350">
        <f t="shared" si="37"/>
        <v>7048235.6960540712</v>
      </c>
      <c r="AY41" s="350">
        <f t="shared" si="38"/>
        <v>21011836.12990731</v>
      </c>
      <c r="AZ41" s="365"/>
      <c r="BA41" s="377">
        <f t="shared" si="51"/>
        <v>0</v>
      </c>
      <c r="BB41" s="377">
        <f t="shared" si="39"/>
        <v>0</v>
      </c>
      <c r="BC41" s="377">
        <f t="shared" si="40"/>
        <v>0</v>
      </c>
      <c r="BD41" s="377">
        <f t="shared" si="41"/>
        <v>0</v>
      </c>
      <c r="BE41" s="377">
        <f t="shared" si="42"/>
        <v>0</v>
      </c>
      <c r="BF41" s="377">
        <f t="shared" si="43"/>
        <v>0</v>
      </c>
      <c r="BG41" s="328"/>
    </row>
    <row r="42" spans="2:59">
      <c r="B42" s="332">
        <v>27</v>
      </c>
      <c r="C42" s="350">
        <v>7235087.7013606094</v>
      </c>
      <c r="D42" s="350">
        <v>13509120.374713991</v>
      </c>
      <c r="E42" s="350">
        <v>19830345.047618877</v>
      </c>
      <c r="F42" s="350">
        <v>26199235.048333257</v>
      </c>
      <c r="G42" s="350">
        <v>32616823.652203515</v>
      </c>
      <c r="H42" s="348">
        <v>99390611.824230254</v>
      </c>
      <c r="I42" s="369"/>
      <c r="J42" s="350">
        <v>8313597.828763633</v>
      </c>
      <c r="K42" s="350">
        <v>16692208.963915572</v>
      </c>
      <c r="L42" s="350">
        <v>24872241.377149064</v>
      </c>
      <c r="M42" s="350">
        <v>32847753.639554363</v>
      </c>
      <c r="N42" s="350">
        <v>40614906.074394949</v>
      </c>
      <c r="O42" s="348">
        <v>123340707.88377759</v>
      </c>
      <c r="P42" s="369"/>
      <c r="Q42" s="350">
        <f t="shared" si="44"/>
        <v>1078510.1274030237</v>
      </c>
      <c r="R42" s="350">
        <f t="shared" si="45"/>
        <v>3183088.5892015807</v>
      </c>
      <c r="S42" s="350">
        <f t="shared" si="46"/>
        <v>5041896.329530187</v>
      </c>
      <c r="T42" s="350">
        <f t="shared" si="47"/>
        <v>6648518.5912211053</v>
      </c>
      <c r="U42" s="350">
        <f t="shared" si="48"/>
        <v>7998082.4221914336</v>
      </c>
      <c r="V42" s="350">
        <f t="shared" si="49"/>
        <v>23950096.059547335</v>
      </c>
      <c r="W42" s="365"/>
      <c r="X42" s="377">
        <f t="shared" si="28"/>
        <v>0</v>
      </c>
      <c r="Y42" s="377">
        <f t="shared" si="29"/>
        <v>0</v>
      </c>
      <c r="Z42" s="377">
        <f t="shared" si="30"/>
        <v>0</v>
      </c>
      <c r="AA42" s="377">
        <f t="shared" si="31"/>
        <v>0</v>
      </c>
      <c r="AB42" s="377">
        <f t="shared" si="32"/>
        <v>0</v>
      </c>
      <c r="AC42" s="377">
        <f t="shared" si="33"/>
        <v>0</v>
      </c>
      <c r="AD42" s="376"/>
      <c r="AE42" s="332">
        <v>27</v>
      </c>
      <c r="AF42" s="350">
        <v>5065145.8219657242</v>
      </c>
      <c r="AG42" s="350">
        <v>10170069.108147984</v>
      </c>
      <c r="AH42" s="350">
        <v>15313626.726690505</v>
      </c>
      <c r="AI42" s="350">
        <v>20495989.223295964</v>
      </c>
      <c r="AJ42" s="350">
        <v>25717903.967514619</v>
      </c>
      <c r="AK42" s="348">
        <v>76762734.847614795</v>
      </c>
      <c r="AL42" s="369"/>
      <c r="AM42" s="350">
        <v>6055507.2227364127</v>
      </c>
      <c r="AN42" s="350">
        <v>13094527.333834352</v>
      </c>
      <c r="AO42" s="350">
        <v>19948387.235178582</v>
      </c>
      <c r="AP42" s="350">
        <v>26613008.188598763</v>
      </c>
      <c r="AQ42" s="350">
        <v>33086329.727640711</v>
      </c>
      <c r="AR42" s="348">
        <v>98797759.707988828</v>
      </c>
      <c r="AS42" s="369"/>
      <c r="AT42" s="350">
        <f t="shared" si="50"/>
        <v>990361.40077068843</v>
      </c>
      <c r="AU42" s="350">
        <f t="shared" si="34"/>
        <v>2924458.2256863676</v>
      </c>
      <c r="AV42" s="350">
        <f t="shared" si="35"/>
        <v>4634760.5084880777</v>
      </c>
      <c r="AW42" s="350">
        <f t="shared" si="36"/>
        <v>6117018.9653027989</v>
      </c>
      <c r="AX42" s="350">
        <f t="shared" si="37"/>
        <v>7368425.7601260915</v>
      </c>
      <c r="AY42" s="350">
        <f t="shared" si="38"/>
        <v>22035024.860374033</v>
      </c>
      <c r="AZ42" s="365"/>
      <c r="BA42" s="377">
        <f t="shared" si="51"/>
        <v>0</v>
      </c>
      <c r="BB42" s="377">
        <f t="shared" si="39"/>
        <v>0</v>
      </c>
      <c r="BC42" s="377">
        <f t="shared" si="40"/>
        <v>0</v>
      </c>
      <c r="BD42" s="377">
        <f t="shared" si="41"/>
        <v>0</v>
      </c>
      <c r="BE42" s="377">
        <f t="shared" si="42"/>
        <v>0</v>
      </c>
      <c r="BF42" s="377">
        <f t="shared" si="43"/>
        <v>0</v>
      </c>
      <c r="BG42" s="328"/>
    </row>
    <row r="43" spans="2:59">
      <c r="B43" s="332">
        <v>28</v>
      </c>
      <c r="C43" s="350">
        <v>5875575.147486249</v>
      </c>
      <c r="D43" s="350">
        <v>11021415.958983053</v>
      </c>
      <c r="E43" s="350">
        <v>16205979.551721465</v>
      </c>
      <c r="F43" s="350">
        <v>21429638.863225274</v>
      </c>
      <c r="G43" s="350">
        <v>26693234.718960583</v>
      </c>
      <c r="H43" s="348">
        <v>81225844.240376621</v>
      </c>
      <c r="I43" s="369"/>
      <c r="J43" s="350">
        <v>6790093.9662157893</v>
      </c>
      <c r="K43" s="350">
        <v>13720933.755325764</v>
      </c>
      <c r="L43" s="350">
        <v>20489115.950769197</v>
      </c>
      <c r="M43" s="350">
        <v>27089771.474625353</v>
      </c>
      <c r="N43" s="350">
        <v>33519803.576059688</v>
      </c>
      <c r="O43" s="348">
        <v>101609718.72299579</v>
      </c>
      <c r="P43" s="369"/>
      <c r="Q43" s="350">
        <f t="shared" si="44"/>
        <v>914518.81872954033</v>
      </c>
      <c r="R43" s="350">
        <f t="shared" si="45"/>
        <v>2699517.7963427119</v>
      </c>
      <c r="S43" s="350">
        <f t="shared" si="46"/>
        <v>4283136.3990477324</v>
      </c>
      <c r="T43" s="350">
        <f t="shared" si="47"/>
        <v>5660132.611400079</v>
      </c>
      <c r="U43" s="350">
        <f t="shared" si="48"/>
        <v>6826568.8570991047</v>
      </c>
      <c r="V43" s="350">
        <f t="shared" si="49"/>
        <v>20383874.482619166</v>
      </c>
      <c r="W43" s="365"/>
      <c r="X43" s="377">
        <f t="shared" si="28"/>
        <v>0</v>
      </c>
      <c r="Y43" s="377">
        <f t="shared" si="29"/>
        <v>0</v>
      </c>
      <c r="Z43" s="377">
        <f t="shared" si="30"/>
        <v>0</v>
      </c>
      <c r="AA43" s="377">
        <f t="shared" si="31"/>
        <v>0</v>
      </c>
      <c r="AB43" s="377">
        <f t="shared" si="32"/>
        <v>0</v>
      </c>
      <c r="AC43" s="377">
        <f t="shared" si="33"/>
        <v>0</v>
      </c>
      <c r="AD43" s="376"/>
      <c r="AE43" s="332">
        <v>28</v>
      </c>
      <c r="AF43" s="350">
        <v>8228125.7108122781</v>
      </c>
      <c r="AG43" s="350">
        <v>16520868.312733922</v>
      </c>
      <c r="AH43" s="350">
        <v>24876370.834031418</v>
      </c>
      <c r="AI43" s="350">
        <v>33294910.319340885</v>
      </c>
      <c r="AJ43" s="350">
        <v>41777700.840443879</v>
      </c>
      <c r="AK43" s="348">
        <v>124697976.01736239</v>
      </c>
      <c r="AL43" s="369"/>
      <c r="AM43" s="350">
        <v>9536474.221138794</v>
      </c>
      <c r="AN43" s="350">
        <v>20380475.477178659</v>
      </c>
      <c r="AO43" s="350">
        <v>30914692.733125493</v>
      </c>
      <c r="AP43" s="350">
        <v>41132585.22230228</v>
      </c>
      <c r="AQ43" s="350">
        <v>51030501.510584682</v>
      </c>
      <c r="AR43" s="348">
        <v>152994729.16432992</v>
      </c>
      <c r="AS43" s="369"/>
      <c r="AT43" s="350">
        <f t="shared" si="50"/>
        <v>1308348.5103265159</v>
      </c>
      <c r="AU43" s="350">
        <f t="shared" si="34"/>
        <v>3859607.1644447371</v>
      </c>
      <c r="AV43" s="350">
        <f t="shared" si="35"/>
        <v>6038321.899094075</v>
      </c>
      <c r="AW43" s="350">
        <f t="shared" si="36"/>
        <v>7837674.9029613957</v>
      </c>
      <c r="AX43" s="350">
        <f t="shared" si="37"/>
        <v>9252800.6701408029</v>
      </c>
      <c r="AY43" s="350">
        <f t="shared" si="38"/>
        <v>28296753.14696753</v>
      </c>
      <c r="AZ43" s="365"/>
      <c r="BA43" s="377">
        <f t="shared" si="51"/>
        <v>0</v>
      </c>
      <c r="BB43" s="377">
        <f t="shared" si="39"/>
        <v>0</v>
      </c>
      <c r="BC43" s="377">
        <f t="shared" si="40"/>
        <v>0</v>
      </c>
      <c r="BD43" s="377">
        <f t="shared" si="41"/>
        <v>0</v>
      </c>
      <c r="BE43" s="377">
        <f t="shared" si="42"/>
        <v>0</v>
      </c>
      <c r="BF43" s="377">
        <f t="shared" si="43"/>
        <v>0</v>
      </c>
      <c r="BG43" s="328"/>
    </row>
    <row r="44" spans="2:59">
      <c r="B44" s="332">
        <v>29</v>
      </c>
      <c r="C44" s="350">
        <v>8434675.1183576509</v>
      </c>
      <c r="D44" s="350">
        <v>16040281.893447112</v>
      </c>
      <c r="E44" s="350">
        <v>23703193.038023029</v>
      </c>
      <c r="F44" s="350">
        <v>31423894.609541625</v>
      </c>
      <c r="G44" s="350">
        <v>39203601.011053264</v>
      </c>
      <c r="H44" s="348">
        <v>118805645.67042267</v>
      </c>
      <c r="I44" s="369"/>
      <c r="J44" s="350">
        <v>9390100.6303088665</v>
      </c>
      <c r="K44" s="350">
        <v>18855019.954029806</v>
      </c>
      <c r="L44" s="350">
        <v>28056115.229096521</v>
      </c>
      <c r="M44" s="350">
        <v>36986665.045649052</v>
      </c>
      <c r="N44" s="350">
        <v>45642108.359219357</v>
      </c>
      <c r="O44" s="348">
        <v>138930009.21830362</v>
      </c>
      <c r="P44" s="369"/>
      <c r="Q44" s="350">
        <f t="shared" si="44"/>
        <v>955425.51195121557</v>
      </c>
      <c r="R44" s="350">
        <f t="shared" si="45"/>
        <v>2814738.0605826937</v>
      </c>
      <c r="S44" s="350">
        <f t="shared" si="46"/>
        <v>4352922.1910734922</v>
      </c>
      <c r="T44" s="350">
        <f t="shared" si="47"/>
        <v>5562770.4361074269</v>
      </c>
      <c r="U44" s="350">
        <f t="shared" si="48"/>
        <v>6438507.3481660932</v>
      </c>
      <c r="V44" s="350">
        <f t="shared" si="49"/>
        <v>20124363.547880948</v>
      </c>
      <c r="W44" s="365"/>
      <c r="X44" s="377">
        <f t="shared" si="28"/>
        <v>0</v>
      </c>
      <c r="Y44" s="377">
        <f t="shared" si="29"/>
        <v>0</v>
      </c>
      <c r="Z44" s="377">
        <f t="shared" si="30"/>
        <v>0</v>
      </c>
      <c r="AA44" s="377">
        <f t="shared" si="31"/>
        <v>0</v>
      </c>
      <c r="AB44" s="377">
        <f t="shared" si="32"/>
        <v>0</v>
      </c>
      <c r="AC44" s="377">
        <f t="shared" si="33"/>
        <v>0</v>
      </c>
      <c r="AD44" s="376"/>
      <c r="AE44" s="332">
        <v>29</v>
      </c>
      <c r="AF44" s="350">
        <v>6102101.7716368726</v>
      </c>
      <c r="AG44" s="350">
        <v>12252124.401507352</v>
      </c>
      <c r="AH44" s="350">
        <v>18448690.731446479</v>
      </c>
      <c r="AI44" s="350">
        <v>24692006.22192293</v>
      </c>
      <c r="AJ44" s="350">
        <v>30982971.246828586</v>
      </c>
      <c r="AK44" s="348">
        <v>92477894.373342216</v>
      </c>
      <c r="AL44" s="369"/>
      <c r="AM44" s="350">
        <v>7231441.8612900451</v>
      </c>
      <c r="AN44" s="350">
        <v>15586160.216776704</v>
      </c>
      <c r="AO44" s="350">
        <v>23715901.671329238</v>
      </c>
      <c r="AP44" s="350">
        <v>31615770.509010449</v>
      </c>
      <c r="AQ44" s="350">
        <v>39283219.850869574</v>
      </c>
      <c r="AR44" s="348">
        <v>117432494.109276</v>
      </c>
      <c r="AS44" s="369"/>
      <c r="AT44" s="350">
        <f t="shared" si="50"/>
        <v>1129340.0896531725</v>
      </c>
      <c r="AU44" s="350">
        <f t="shared" si="34"/>
        <v>3334035.8152693529</v>
      </c>
      <c r="AV44" s="350">
        <f t="shared" si="35"/>
        <v>5267210.939882759</v>
      </c>
      <c r="AW44" s="350">
        <f t="shared" si="36"/>
        <v>6923764.2870875187</v>
      </c>
      <c r="AX44" s="350">
        <f t="shared" si="37"/>
        <v>8300248.6040409878</v>
      </c>
      <c r="AY44" s="350">
        <f t="shared" si="38"/>
        <v>24954599.735933781</v>
      </c>
      <c r="AZ44" s="365"/>
      <c r="BA44" s="377">
        <f t="shared" si="51"/>
        <v>0</v>
      </c>
      <c r="BB44" s="377">
        <f t="shared" si="39"/>
        <v>0</v>
      </c>
      <c r="BC44" s="377">
        <f t="shared" si="40"/>
        <v>0</v>
      </c>
      <c r="BD44" s="377">
        <f t="shared" si="41"/>
        <v>0</v>
      </c>
      <c r="BE44" s="377">
        <f t="shared" si="42"/>
        <v>0</v>
      </c>
      <c r="BF44" s="377">
        <f t="shared" si="43"/>
        <v>0</v>
      </c>
      <c r="BG44" s="328"/>
    </row>
    <row r="45" spans="2:59">
      <c r="B45" s="332">
        <v>30</v>
      </c>
      <c r="C45" s="350">
        <v>8092941.5162163498</v>
      </c>
      <c r="D45" s="350">
        <v>15120778.217147412</v>
      </c>
      <c r="E45" s="350">
        <v>22201480.15941871</v>
      </c>
      <c r="F45" s="350">
        <v>29335574.558590408</v>
      </c>
      <c r="G45" s="350">
        <v>36524217.53733702</v>
      </c>
      <c r="H45" s="348">
        <v>111274991.9887099</v>
      </c>
      <c r="I45" s="369"/>
      <c r="J45" s="350">
        <v>9320521.5276467558</v>
      </c>
      <c r="K45" s="350">
        <v>18744109.06680245</v>
      </c>
      <c r="L45" s="350">
        <v>27938083.510611437</v>
      </c>
      <c r="M45" s="350">
        <v>36896091.931896299</v>
      </c>
      <c r="N45" s="350">
        <v>45614174.665199406</v>
      </c>
      <c r="O45" s="348">
        <v>138512980.70215634</v>
      </c>
      <c r="P45" s="369"/>
      <c r="Q45" s="350">
        <f t="shared" si="44"/>
        <v>1227580.011430406</v>
      </c>
      <c r="R45" s="350">
        <f t="shared" si="45"/>
        <v>3623330.8496550377</v>
      </c>
      <c r="S45" s="350">
        <f t="shared" si="46"/>
        <v>5736603.3511927277</v>
      </c>
      <c r="T45" s="350">
        <f t="shared" si="47"/>
        <v>7560517.3733058907</v>
      </c>
      <c r="U45" s="350">
        <f t="shared" si="48"/>
        <v>9089957.1278623864</v>
      </c>
      <c r="V45" s="350">
        <f t="shared" si="49"/>
        <v>27237988.713446438</v>
      </c>
      <c r="W45" s="365"/>
      <c r="X45" s="377">
        <f t="shared" si="28"/>
        <v>0</v>
      </c>
      <c r="Y45" s="377">
        <f t="shared" si="29"/>
        <v>0</v>
      </c>
      <c r="Z45" s="377">
        <f t="shared" si="30"/>
        <v>0</v>
      </c>
      <c r="AA45" s="377">
        <f t="shared" si="31"/>
        <v>0</v>
      </c>
      <c r="AB45" s="377">
        <f t="shared" si="32"/>
        <v>0</v>
      </c>
      <c r="AC45" s="377">
        <f t="shared" si="33"/>
        <v>0</v>
      </c>
      <c r="AD45" s="376"/>
      <c r="AE45" s="332">
        <v>30</v>
      </c>
      <c r="AF45" s="350">
        <v>7758080.10866886</v>
      </c>
      <c r="AG45" s="350">
        <v>15577085.759219127</v>
      </c>
      <c r="AH45" s="350">
        <v>23455266.06256932</v>
      </c>
      <c r="AI45" s="350">
        <v>31392882.236711994</v>
      </c>
      <c r="AJ45" s="350">
        <v>39391078.997524135</v>
      </c>
      <c r="AK45" s="348">
        <v>117574393.16469344</v>
      </c>
      <c r="AL45" s="369"/>
      <c r="AM45" s="350">
        <v>9320582.7621631306</v>
      </c>
      <c r="AN45" s="350">
        <v>20191614.592703894</v>
      </c>
      <c r="AO45" s="350">
        <v>30780409.890175126</v>
      </c>
      <c r="AP45" s="350">
        <v>41080708.516339973</v>
      </c>
      <c r="AQ45" s="350">
        <v>51089400.725732416</v>
      </c>
      <c r="AR45" s="348">
        <v>152462716.48711455</v>
      </c>
      <c r="AS45" s="369"/>
      <c r="AT45" s="350">
        <f t="shared" si="50"/>
        <v>1562502.6534942705</v>
      </c>
      <c r="AU45" s="350">
        <f t="shared" si="34"/>
        <v>4614528.833484767</v>
      </c>
      <c r="AV45" s="350">
        <f t="shared" si="35"/>
        <v>7325143.8276058063</v>
      </c>
      <c r="AW45" s="350">
        <f t="shared" si="36"/>
        <v>9687826.2796279788</v>
      </c>
      <c r="AX45" s="350">
        <f t="shared" si="37"/>
        <v>11698321.728208281</v>
      </c>
      <c r="AY45" s="350">
        <f t="shared" si="38"/>
        <v>34888323.322421104</v>
      </c>
      <c r="AZ45" s="365"/>
      <c r="BA45" s="377">
        <f t="shared" si="51"/>
        <v>0</v>
      </c>
      <c r="BB45" s="377">
        <f t="shared" si="39"/>
        <v>0</v>
      </c>
      <c r="BC45" s="377">
        <f t="shared" si="40"/>
        <v>0</v>
      </c>
      <c r="BD45" s="377">
        <f t="shared" si="41"/>
        <v>0</v>
      </c>
      <c r="BE45" s="377">
        <f t="shared" si="42"/>
        <v>0</v>
      </c>
      <c r="BF45" s="377">
        <f t="shared" si="43"/>
        <v>0</v>
      </c>
      <c r="BG45" s="328"/>
    </row>
    <row r="46" spans="2:59">
      <c r="B46" s="332">
        <v>31</v>
      </c>
      <c r="C46" s="350">
        <v>9983789.3906440102</v>
      </c>
      <c r="D46" s="350">
        <v>19069326.327571668</v>
      </c>
      <c r="E46" s="350">
        <v>28223344.630256768</v>
      </c>
      <c r="F46" s="350">
        <v>37446400.874968246</v>
      </c>
      <c r="G46" s="350">
        <v>46739935.299719006</v>
      </c>
      <c r="H46" s="348">
        <v>141462796.52315968</v>
      </c>
      <c r="I46" s="369"/>
      <c r="J46" s="350">
        <v>11026363.399951844</v>
      </c>
      <c r="K46" s="350">
        <v>22138880.462235697</v>
      </c>
      <c r="L46" s="350">
        <v>32934495.950446241</v>
      </c>
      <c r="M46" s="350">
        <v>43405147.661049977</v>
      </c>
      <c r="N46" s="350">
        <v>53545238.099898174</v>
      </c>
      <c r="O46" s="348">
        <v>163050125.57358193</v>
      </c>
      <c r="P46" s="369"/>
      <c r="Q46" s="350">
        <f t="shared" si="44"/>
        <v>1042574.0093078334</v>
      </c>
      <c r="R46" s="350">
        <f t="shared" si="45"/>
        <v>3069554.1346640289</v>
      </c>
      <c r="S46" s="350">
        <f t="shared" si="46"/>
        <v>4711151.3201894723</v>
      </c>
      <c r="T46" s="350">
        <f t="shared" si="47"/>
        <v>5958746.7860817313</v>
      </c>
      <c r="U46" s="350">
        <f t="shared" si="48"/>
        <v>6805302.8001791686</v>
      </c>
      <c r="V46" s="350">
        <f t="shared" si="49"/>
        <v>21587329.050422251</v>
      </c>
      <c r="W46" s="365"/>
      <c r="X46" s="377">
        <f t="shared" si="28"/>
        <v>0</v>
      </c>
      <c r="Y46" s="377">
        <f t="shared" si="29"/>
        <v>0</v>
      </c>
      <c r="Z46" s="377">
        <f t="shared" si="30"/>
        <v>0</v>
      </c>
      <c r="AA46" s="377">
        <f t="shared" si="31"/>
        <v>0</v>
      </c>
      <c r="AB46" s="377">
        <f t="shared" si="32"/>
        <v>0</v>
      </c>
      <c r="AC46" s="377">
        <f t="shared" si="33"/>
        <v>0</v>
      </c>
      <c r="AD46" s="376"/>
      <c r="AE46" s="332">
        <v>31</v>
      </c>
      <c r="AF46" s="350">
        <v>6352658.3961877199</v>
      </c>
      <c r="AG46" s="350">
        <v>12755205.315019425</v>
      </c>
      <c r="AH46" s="350">
        <v>19206207.05123964</v>
      </c>
      <c r="AI46" s="350">
        <v>25705877.501669534</v>
      </c>
      <c r="AJ46" s="350">
        <v>32255154.010191262</v>
      </c>
      <c r="AK46" s="348">
        <v>96275102.274307579</v>
      </c>
      <c r="AL46" s="369"/>
      <c r="AM46" s="350">
        <v>7541356.9052059269</v>
      </c>
      <c r="AN46" s="350">
        <v>16264654.379675403</v>
      </c>
      <c r="AO46" s="350">
        <v>24754126.204362184</v>
      </c>
      <c r="AP46" s="350">
        <v>33004671.968580902</v>
      </c>
      <c r="AQ46" s="350">
        <v>41013653.369425587</v>
      </c>
      <c r="AR46" s="348">
        <v>122578462.82725</v>
      </c>
      <c r="AS46" s="369"/>
      <c r="AT46" s="350">
        <f t="shared" si="50"/>
        <v>1188698.509018207</v>
      </c>
      <c r="AU46" s="350">
        <f t="shared" si="34"/>
        <v>3509449.0646559782</v>
      </c>
      <c r="AV46" s="350">
        <f t="shared" si="35"/>
        <v>5547919.1531225443</v>
      </c>
      <c r="AW46" s="350">
        <f t="shared" si="36"/>
        <v>7298794.4669113681</v>
      </c>
      <c r="AX46" s="350">
        <f t="shared" si="37"/>
        <v>8758499.3592343256</v>
      </c>
      <c r="AY46" s="350">
        <f t="shared" si="38"/>
        <v>26303360.552942425</v>
      </c>
      <c r="AZ46" s="365"/>
      <c r="BA46" s="377">
        <f t="shared" si="51"/>
        <v>0</v>
      </c>
      <c r="BB46" s="377">
        <f t="shared" si="39"/>
        <v>0</v>
      </c>
      <c r="BC46" s="377">
        <f t="shared" si="40"/>
        <v>0</v>
      </c>
      <c r="BD46" s="377">
        <f t="shared" si="41"/>
        <v>0</v>
      </c>
      <c r="BE46" s="377">
        <f t="shared" si="42"/>
        <v>0</v>
      </c>
      <c r="BF46" s="377">
        <f t="shared" si="43"/>
        <v>0</v>
      </c>
      <c r="BG46" s="328"/>
    </row>
    <row r="47" spans="2:59">
      <c r="B47" s="332">
        <v>32</v>
      </c>
      <c r="C47" s="350">
        <v>8786119.3319624104</v>
      </c>
      <c r="D47" s="350">
        <v>16337912.523086404</v>
      </c>
      <c r="E47" s="350">
        <v>23946486.48596162</v>
      </c>
      <c r="F47" s="350">
        <v>31612431.195168562</v>
      </c>
      <c r="G47" s="350">
        <v>39336999.171718419</v>
      </c>
      <c r="H47" s="348">
        <v>120019948.70789742</v>
      </c>
      <c r="I47" s="369"/>
      <c r="J47" s="350">
        <v>9965603.2539675012</v>
      </c>
      <c r="K47" s="350">
        <v>19817308.772328541</v>
      </c>
      <c r="L47" s="350">
        <v>29420491.670688123</v>
      </c>
      <c r="M47" s="350">
        <v>38768287.79836145</v>
      </c>
      <c r="N47" s="350">
        <v>47856206.740580738</v>
      </c>
      <c r="O47" s="348">
        <v>145827898.23592636</v>
      </c>
      <c r="P47" s="369"/>
      <c r="Q47" s="350">
        <f t="shared" si="44"/>
        <v>1179483.9220050909</v>
      </c>
      <c r="R47" s="350">
        <f t="shared" si="45"/>
        <v>3479396.2492421363</v>
      </c>
      <c r="S47" s="350">
        <f t="shared" si="46"/>
        <v>5474005.1847265027</v>
      </c>
      <c r="T47" s="350">
        <f t="shared" si="47"/>
        <v>7155856.6031928882</v>
      </c>
      <c r="U47" s="350">
        <f t="shared" si="48"/>
        <v>8519207.568862319</v>
      </c>
      <c r="V47" s="350">
        <f t="shared" si="49"/>
        <v>25807949.528028935</v>
      </c>
      <c r="W47" s="365"/>
      <c r="X47" s="377">
        <f t="shared" si="28"/>
        <v>0</v>
      </c>
      <c r="Y47" s="377">
        <f t="shared" si="29"/>
        <v>0</v>
      </c>
      <c r="Z47" s="377">
        <f t="shared" si="30"/>
        <v>0</v>
      </c>
      <c r="AA47" s="377">
        <f t="shared" si="31"/>
        <v>0</v>
      </c>
      <c r="AB47" s="377">
        <f t="shared" si="32"/>
        <v>0</v>
      </c>
      <c r="AC47" s="377">
        <f t="shared" si="33"/>
        <v>0</v>
      </c>
      <c r="AD47" s="376"/>
      <c r="AE47" s="332">
        <v>32</v>
      </c>
      <c r="AF47" s="350">
        <v>5523820.5345009547</v>
      </c>
      <c r="AG47" s="350">
        <v>11091020.584888073</v>
      </c>
      <c r="AH47" s="350">
        <v>16700353.502902189</v>
      </c>
      <c r="AI47" s="350">
        <v>22352005.278026663</v>
      </c>
      <c r="AJ47" s="350">
        <v>28046790.9579252</v>
      </c>
      <c r="AK47" s="348">
        <v>83713990.858243078</v>
      </c>
      <c r="AL47" s="369"/>
      <c r="AM47" s="350">
        <v>6567358.1161980135</v>
      </c>
      <c r="AN47" s="350">
        <v>14172037.060976421</v>
      </c>
      <c r="AO47" s="350">
        <v>21573695.228772853</v>
      </c>
      <c r="AP47" s="350">
        <v>28767894.856207233</v>
      </c>
      <c r="AQ47" s="350">
        <v>35752351.919008508</v>
      </c>
      <c r="AR47" s="348">
        <v>106833337.18116303</v>
      </c>
      <c r="AS47" s="369"/>
      <c r="AT47" s="350">
        <f t="shared" si="50"/>
        <v>1043537.5816970589</v>
      </c>
      <c r="AU47" s="350">
        <f t="shared" si="34"/>
        <v>3081016.4760883488</v>
      </c>
      <c r="AV47" s="350">
        <f t="shared" si="35"/>
        <v>4873341.7258706633</v>
      </c>
      <c r="AW47" s="350">
        <f t="shared" si="36"/>
        <v>6415889.5781805702</v>
      </c>
      <c r="AX47" s="350">
        <f t="shared" si="37"/>
        <v>7705560.9610833079</v>
      </c>
      <c r="AY47" s="350">
        <f t="shared" si="38"/>
        <v>23119346.32291995</v>
      </c>
      <c r="AZ47" s="365"/>
      <c r="BA47" s="377">
        <f t="shared" si="51"/>
        <v>0</v>
      </c>
      <c r="BB47" s="377">
        <f t="shared" si="39"/>
        <v>0</v>
      </c>
      <c r="BC47" s="377">
        <f t="shared" si="40"/>
        <v>0</v>
      </c>
      <c r="BD47" s="377">
        <f t="shared" si="41"/>
        <v>0</v>
      </c>
      <c r="BE47" s="377">
        <f t="shared" si="42"/>
        <v>0</v>
      </c>
      <c r="BF47" s="377">
        <f t="shared" si="43"/>
        <v>0</v>
      </c>
      <c r="BG47" s="328"/>
    </row>
    <row r="48" spans="2:59">
      <c r="B48" s="332">
        <v>33</v>
      </c>
      <c r="C48" s="350">
        <v>6985486.3791254349</v>
      </c>
      <c r="D48" s="350">
        <v>13043642.949167393</v>
      </c>
      <c r="E48" s="350">
        <v>19147367.931453228</v>
      </c>
      <c r="F48" s="350">
        <v>25297118.196367476</v>
      </c>
      <c r="G48" s="350">
        <v>31493891.391765069</v>
      </c>
      <c r="H48" s="348">
        <v>95967506.847878605</v>
      </c>
      <c r="I48" s="369"/>
      <c r="J48" s="350">
        <v>8170650.0244516339</v>
      </c>
      <c r="K48" s="350">
        <v>16543574.387938764</v>
      </c>
      <c r="L48" s="350">
        <v>24725102.862562656</v>
      </c>
      <c r="M48" s="350">
        <v>32709622.481379077</v>
      </c>
      <c r="N48" s="350">
        <v>40493742.321239859</v>
      </c>
      <c r="O48" s="348">
        <v>122642692.07757199</v>
      </c>
      <c r="P48" s="369"/>
      <c r="Q48" s="350">
        <f t="shared" si="44"/>
        <v>1185163.645326199</v>
      </c>
      <c r="R48" s="350">
        <f t="shared" si="45"/>
        <v>3499931.4387713708</v>
      </c>
      <c r="S48" s="350">
        <f t="shared" si="46"/>
        <v>5577734.9311094284</v>
      </c>
      <c r="T48" s="350">
        <f t="shared" si="47"/>
        <v>7412504.2850116007</v>
      </c>
      <c r="U48" s="350">
        <f t="shared" si="48"/>
        <v>8999850.9294747896</v>
      </c>
      <c r="V48" s="350">
        <f t="shared" si="49"/>
        <v>26675185.229693383</v>
      </c>
      <c r="W48" s="365"/>
      <c r="X48" s="377">
        <f t="shared" si="28"/>
        <v>0</v>
      </c>
      <c r="Y48" s="377">
        <f t="shared" si="29"/>
        <v>0</v>
      </c>
      <c r="Z48" s="377">
        <f t="shared" si="30"/>
        <v>0</v>
      </c>
      <c r="AA48" s="377">
        <f t="shared" si="31"/>
        <v>0</v>
      </c>
      <c r="AB48" s="377">
        <f t="shared" si="32"/>
        <v>0</v>
      </c>
      <c r="AC48" s="377">
        <f t="shared" si="33"/>
        <v>0</v>
      </c>
      <c r="AD48" s="376"/>
      <c r="AE48" s="332">
        <v>33</v>
      </c>
      <c r="AF48" s="350">
        <v>7631840.8083850127</v>
      </c>
      <c r="AG48" s="350">
        <v>15323615.779641574</v>
      </c>
      <c r="AH48" s="350">
        <v>23073602.515114889</v>
      </c>
      <c r="AI48" s="350">
        <v>30882057.98226437</v>
      </c>
      <c r="AJ48" s="350">
        <v>38750108.270176694</v>
      </c>
      <c r="AK48" s="348">
        <v>115661225.35558254</v>
      </c>
      <c r="AL48" s="369"/>
      <c r="AM48" s="350">
        <v>9079329.4146544896</v>
      </c>
      <c r="AN48" s="350">
        <v>19597362.321742959</v>
      </c>
      <c r="AO48" s="350">
        <v>29835068.022099048</v>
      </c>
      <c r="AP48" s="350">
        <v>39786313.581414379</v>
      </c>
      <c r="AQ48" s="350">
        <v>49447949.123234302</v>
      </c>
      <c r="AR48" s="348">
        <v>147746022.46314517</v>
      </c>
      <c r="AS48" s="369"/>
      <c r="AT48" s="350">
        <f t="shared" si="50"/>
        <v>1447488.6062694769</v>
      </c>
      <c r="AU48" s="350">
        <f t="shared" si="34"/>
        <v>4273746.5421013851</v>
      </c>
      <c r="AV48" s="350">
        <f t="shared" si="35"/>
        <v>6761465.5069841594</v>
      </c>
      <c r="AW48" s="350">
        <f t="shared" si="36"/>
        <v>8904255.5991500095</v>
      </c>
      <c r="AX48" s="350">
        <f t="shared" si="37"/>
        <v>10697840.853057608</v>
      </c>
      <c r="AY48" s="350">
        <f t="shared" si="38"/>
        <v>32084797.107562631</v>
      </c>
      <c r="AZ48" s="365"/>
      <c r="BA48" s="377">
        <f t="shared" si="51"/>
        <v>0</v>
      </c>
      <c r="BB48" s="377">
        <f t="shared" si="39"/>
        <v>0</v>
      </c>
      <c r="BC48" s="377">
        <f t="shared" si="40"/>
        <v>0</v>
      </c>
      <c r="BD48" s="377">
        <f t="shared" si="41"/>
        <v>0</v>
      </c>
      <c r="BE48" s="377">
        <f t="shared" si="42"/>
        <v>0</v>
      </c>
      <c r="BF48" s="377">
        <f t="shared" si="43"/>
        <v>0</v>
      </c>
      <c r="BG48" s="328"/>
    </row>
    <row r="49" spans="2:59">
      <c r="B49" s="332">
        <v>34</v>
      </c>
      <c r="C49" s="350">
        <v>10288695.080976699</v>
      </c>
      <c r="D49" s="350">
        <v>19143786.211250581</v>
      </c>
      <c r="E49" s="350">
        <v>28065461.359446943</v>
      </c>
      <c r="F49" s="350">
        <v>37054408.729813859</v>
      </c>
      <c r="G49" s="350">
        <v>46112095.443492293</v>
      </c>
      <c r="H49" s="348">
        <v>140664446.82498038</v>
      </c>
      <c r="I49" s="369"/>
      <c r="J49" s="350">
        <v>11857481.220127162</v>
      </c>
      <c r="K49" s="350">
        <v>23774554.982353985</v>
      </c>
      <c r="L49" s="350">
        <v>35407938.13794145</v>
      </c>
      <c r="M49" s="350">
        <v>46749464.714343995</v>
      </c>
      <c r="N49" s="350">
        <v>57793991.896052279</v>
      </c>
      <c r="O49" s="348">
        <v>175583430.95081887</v>
      </c>
      <c r="P49" s="369"/>
      <c r="Q49" s="350">
        <f t="shared" si="44"/>
        <v>1568786.139150463</v>
      </c>
      <c r="R49" s="350">
        <f t="shared" si="45"/>
        <v>4630768.7711034045</v>
      </c>
      <c r="S49" s="350">
        <f t="shared" si="46"/>
        <v>7342476.7784945071</v>
      </c>
      <c r="T49" s="350">
        <f t="shared" si="47"/>
        <v>9695055.984530136</v>
      </c>
      <c r="U49" s="350">
        <f t="shared" si="48"/>
        <v>11681896.452559985</v>
      </c>
      <c r="V49" s="350">
        <f t="shared" si="49"/>
        <v>34918984.125838488</v>
      </c>
      <c r="W49" s="365"/>
      <c r="X49" s="377">
        <f t="shared" si="28"/>
        <v>0</v>
      </c>
      <c r="Y49" s="377">
        <f t="shared" si="29"/>
        <v>0</v>
      </c>
      <c r="Z49" s="377">
        <f t="shared" si="30"/>
        <v>0</v>
      </c>
      <c r="AA49" s="377">
        <f t="shared" si="31"/>
        <v>0</v>
      </c>
      <c r="AB49" s="377">
        <f t="shared" si="32"/>
        <v>0</v>
      </c>
      <c r="AC49" s="377">
        <f t="shared" si="33"/>
        <v>0</v>
      </c>
      <c r="AD49" s="376"/>
      <c r="AE49" s="332">
        <v>34</v>
      </c>
      <c r="AF49" s="350">
        <v>5806526.1685876157</v>
      </c>
      <c r="AG49" s="350">
        <v>11658651.989191519</v>
      </c>
      <c r="AH49" s="350">
        <v>17555067.010884739</v>
      </c>
      <c r="AI49" s="350">
        <v>23495966.741974518</v>
      </c>
      <c r="AJ49" s="350">
        <v>29482207.943747431</v>
      </c>
      <c r="AK49" s="348">
        <v>87998419.854385823</v>
      </c>
      <c r="AL49" s="369"/>
      <c r="AM49" s="350">
        <v>6834670.1147927856</v>
      </c>
      <c r="AN49" s="350">
        <v>14693308.698741678</v>
      </c>
      <c r="AO49" s="350">
        <v>22336475.412547909</v>
      </c>
      <c r="AP49" s="350">
        <v>29759524.830453414</v>
      </c>
      <c r="AQ49" s="350">
        <v>36959986.353758276</v>
      </c>
      <c r="AR49" s="348">
        <v>110583965.41029406</v>
      </c>
      <c r="AS49" s="369"/>
      <c r="AT49" s="350">
        <f t="shared" si="50"/>
        <v>1028143.9462051699</v>
      </c>
      <c r="AU49" s="350">
        <f t="shared" si="34"/>
        <v>3034656.7095501591</v>
      </c>
      <c r="AV49" s="350">
        <f t="shared" si="35"/>
        <v>4781408.4016631693</v>
      </c>
      <c r="AW49" s="350">
        <f t="shared" si="36"/>
        <v>6263558.0884788968</v>
      </c>
      <c r="AX49" s="350">
        <f t="shared" si="37"/>
        <v>7477778.4100108445</v>
      </c>
      <c r="AY49" s="350">
        <f t="shared" si="38"/>
        <v>22585545.555908233</v>
      </c>
      <c r="AZ49" s="365"/>
      <c r="BA49" s="377">
        <f t="shared" si="51"/>
        <v>0</v>
      </c>
      <c r="BB49" s="377">
        <f t="shared" si="39"/>
        <v>0</v>
      </c>
      <c r="BC49" s="377">
        <f t="shared" si="40"/>
        <v>0</v>
      </c>
      <c r="BD49" s="377">
        <f t="shared" si="41"/>
        <v>0</v>
      </c>
      <c r="BE49" s="377">
        <f t="shared" si="42"/>
        <v>0</v>
      </c>
      <c r="BF49" s="377">
        <f t="shared" si="43"/>
        <v>0</v>
      </c>
      <c r="BG49" s="328"/>
    </row>
    <row r="50" spans="2:59">
      <c r="B50" s="332">
        <v>35</v>
      </c>
      <c r="C50" s="350">
        <v>6600505.3239617851</v>
      </c>
      <c r="D50" s="350">
        <v>12575263.272545643</v>
      </c>
      <c r="E50" s="350">
        <v>18595045.317067295</v>
      </c>
      <c r="F50" s="350">
        <v>24660226.620212663</v>
      </c>
      <c r="G50" s="350">
        <v>30771758.281539042</v>
      </c>
      <c r="H50" s="348">
        <v>93202798.815326422</v>
      </c>
      <c r="I50" s="369"/>
      <c r="J50" s="350">
        <v>7616280.3983788136</v>
      </c>
      <c r="K50" s="350">
        <v>15573036.59556441</v>
      </c>
      <c r="L50" s="350">
        <v>23336977.697644271</v>
      </c>
      <c r="M50" s="350">
        <v>30902510.827905633</v>
      </c>
      <c r="N50" s="350">
        <v>38266078.031800658</v>
      </c>
      <c r="O50" s="348">
        <v>115694883.55129379</v>
      </c>
      <c r="P50" s="369"/>
      <c r="Q50" s="350">
        <f t="shared" si="44"/>
        <v>1015775.0744170286</v>
      </c>
      <c r="R50" s="350">
        <f t="shared" si="45"/>
        <v>2997773.3230187669</v>
      </c>
      <c r="S50" s="350">
        <f t="shared" si="46"/>
        <v>4741932.3805769756</v>
      </c>
      <c r="T50" s="350">
        <f t="shared" si="47"/>
        <v>6242284.2076929696</v>
      </c>
      <c r="U50" s="350">
        <f t="shared" si="48"/>
        <v>7494319.750261616</v>
      </c>
      <c r="V50" s="350">
        <f t="shared" si="49"/>
        <v>22492084.735967368</v>
      </c>
      <c r="W50" s="365"/>
      <c r="X50" s="377">
        <f t="shared" si="28"/>
        <v>0</v>
      </c>
      <c r="Y50" s="377">
        <f t="shared" si="29"/>
        <v>0</v>
      </c>
      <c r="Z50" s="377">
        <f t="shared" si="30"/>
        <v>0</v>
      </c>
      <c r="AA50" s="377">
        <f t="shared" si="31"/>
        <v>0</v>
      </c>
      <c r="AB50" s="377">
        <f t="shared" si="32"/>
        <v>0</v>
      </c>
      <c r="AC50" s="377">
        <f t="shared" si="33"/>
        <v>0</v>
      </c>
      <c r="AD50" s="376"/>
      <c r="AE50" s="332">
        <v>35</v>
      </c>
      <c r="AF50" s="350">
        <v>5809690.6851238515</v>
      </c>
      <c r="AG50" s="350">
        <v>11665005.873758439</v>
      </c>
      <c r="AH50" s="350">
        <v>17564634.400790118</v>
      </c>
      <c r="AI50" s="350">
        <v>23508771.881076798</v>
      </c>
      <c r="AJ50" s="350">
        <v>29498275.542834029</v>
      </c>
      <c r="AK50" s="348">
        <v>88046378.383583233</v>
      </c>
      <c r="AL50" s="369"/>
      <c r="AM50" s="350">
        <v>6740059.335888152</v>
      </c>
      <c r="AN50" s="350">
        <v>14409681.857930936</v>
      </c>
      <c r="AO50" s="350">
        <v>21860769.896118522</v>
      </c>
      <c r="AP50" s="350">
        <v>29088703.305930868</v>
      </c>
      <c r="AQ50" s="350">
        <v>36090910.551272094</v>
      </c>
      <c r="AR50" s="348">
        <v>108190124.94714057</v>
      </c>
      <c r="AS50" s="369"/>
      <c r="AT50" s="350">
        <f t="shared" si="50"/>
        <v>930368.65076430049</v>
      </c>
      <c r="AU50" s="350">
        <f t="shared" si="34"/>
        <v>2744675.9841724969</v>
      </c>
      <c r="AV50" s="350">
        <f t="shared" si="35"/>
        <v>4296135.495328404</v>
      </c>
      <c r="AW50" s="350">
        <f t="shared" si="36"/>
        <v>5579931.4248540699</v>
      </c>
      <c r="AX50" s="350">
        <f t="shared" si="37"/>
        <v>6592635.0084380656</v>
      </c>
      <c r="AY50" s="350">
        <f t="shared" si="38"/>
        <v>20143746.563557342</v>
      </c>
      <c r="AZ50" s="365"/>
      <c r="BA50" s="377">
        <f t="shared" si="51"/>
        <v>0</v>
      </c>
      <c r="BB50" s="377">
        <f t="shared" si="39"/>
        <v>0</v>
      </c>
      <c r="BC50" s="377">
        <f t="shared" si="40"/>
        <v>0</v>
      </c>
      <c r="BD50" s="377">
        <f t="shared" si="41"/>
        <v>0</v>
      </c>
      <c r="BE50" s="377">
        <f t="shared" si="42"/>
        <v>0</v>
      </c>
      <c r="BF50" s="377">
        <f t="shared" si="43"/>
        <v>0</v>
      </c>
      <c r="BG50" s="328"/>
    </row>
    <row r="51" spans="2:59">
      <c r="B51" s="332">
        <v>36</v>
      </c>
      <c r="C51" s="350">
        <v>7310308.6380556123</v>
      </c>
      <c r="D51" s="350">
        <v>13763772.084427746</v>
      </c>
      <c r="E51" s="350">
        <v>20265815.015823327</v>
      </c>
      <c r="F51" s="350">
        <v>26816889.907852545</v>
      </c>
      <c r="G51" s="350">
        <v>33418044.623720616</v>
      </c>
      <c r="H51" s="348">
        <v>101574830.26987985</v>
      </c>
      <c r="I51" s="369"/>
      <c r="J51" s="350">
        <v>8821521.2517216057</v>
      </c>
      <c r="K51" s="350">
        <v>18229681.981764376</v>
      </c>
      <c r="L51" s="350">
        <v>27445470.366219833</v>
      </c>
      <c r="M51" s="350">
        <v>36462629.293332197</v>
      </c>
      <c r="N51" s="350">
        <v>45277603.790774502</v>
      </c>
      <c r="O51" s="348">
        <v>136236906.6838125</v>
      </c>
      <c r="P51" s="369"/>
      <c r="Q51" s="350">
        <f t="shared" si="44"/>
        <v>1511212.6136659933</v>
      </c>
      <c r="R51" s="350">
        <f t="shared" si="45"/>
        <v>4465909.8973366302</v>
      </c>
      <c r="S51" s="350">
        <f t="shared" si="46"/>
        <v>7179655.3503965065</v>
      </c>
      <c r="T51" s="350">
        <f t="shared" si="47"/>
        <v>9645739.3854796514</v>
      </c>
      <c r="U51" s="350">
        <f t="shared" si="48"/>
        <v>11859559.167053886</v>
      </c>
      <c r="V51" s="350">
        <f t="shared" si="49"/>
        <v>34662076.413932651</v>
      </c>
      <c r="W51" s="365"/>
      <c r="X51" s="377">
        <f t="shared" si="28"/>
        <v>0</v>
      </c>
      <c r="Y51" s="377">
        <f t="shared" si="29"/>
        <v>0</v>
      </c>
      <c r="Z51" s="377">
        <f t="shared" si="30"/>
        <v>0</v>
      </c>
      <c r="AA51" s="377">
        <f t="shared" si="31"/>
        <v>0</v>
      </c>
      <c r="AB51" s="377">
        <f t="shared" si="32"/>
        <v>0</v>
      </c>
      <c r="AC51" s="377">
        <f t="shared" si="33"/>
        <v>0</v>
      </c>
      <c r="AD51" s="376"/>
      <c r="AE51" s="332">
        <v>36</v>
      </c>
      <c r="AF51" s="350">
        <v>4559362.4424411599</v>
      </c>
      <c r="AG51" s="350">
        <v>9154530.3449379671</v>
      </c>
      <c r="AH51" s="350">
        <v>13784474.723797657</v>
      </c>
      <c r="AI51" s="350">
        <v>18449349.094772566</v>
      </c>
      <c r="AJ51" s="350">
        <v>23149826.198347926</v>
      </c>
      <c r="AK51" s="348">
        <v>69097542.804297268</v>
      </c>
      <c r="AL51" s="369"/>
      <c r="AM51" s="350">
        <v>5704680.0172506012</v>
      </c>
      <c r="AN51" s="350">
        <v>12539807.537637539</v>
      </c>
      <c r="AO51" s="350">
        <v>19215867.007554866</v>
      </c>
      <c r="AP51" s="350">
        <v>25729115.175832838</v>
      </c>
      <c r="AQ51" s="350">
        <v>32077954.415091164</v>
      </c>
      <c r="AR51" s="348">
        <v>95267424.153367013</v>
      </c>
      <c r="AS51" s="369"/>
      <c r="AT51" s="350">
        <f t="shared" si="50"/>
        <v>1145317.5748094413</v>
      </c>
      <c r="AU51" s="350">
        <f t="shared" si="34"/>
        <v>3385277.1926995721</v>
      </c>
      <c r="AV51" s="350">
        <f t="shared" si="35"/>
        <v>5431392.2837572098</v>
      </c>
      <c r="AW51" s="350">
        <f t="shared" si="36"/>
        <v>7279766.0810602717</v>
      </c>
      <c r="AX51" s="350">
        <f t="shared" si="37"/>
        <v>8928128.2167432383</v>
      </c>
      <c r="AY51" s="350">
        <f t="shared" si="38"/>
        <v>26169881.349069744</v>
      </c>
      <c r="AZ51" s="365"/>
      <c r="BA51" s="377">
        <f t="shared" si="51"/>
        <v>0</v>
      </c>
      <c r="BB51" s="377">
        <f t="shared" si="39"/>
        <v>0</v>
      </c>
      <c r="BC51" s="377">
        <f t="shared" si="40"/>
        <v>0</v>
      </c>
      <c r="BD51" s="377">
        <f t="shared" si="41"/>
        <v>0</v>
      </c>
      <c r="BE51" s="377">
        <f t="shared" si="42"/>
        <v>0</v>
      </c>
      <c r="BF51" s="377">
        <f t="shared" si="43"/>
        <v>0</v>
      </c>
      <c r="BG51" s="328"/>
    </row>
    <row r="52" spans="2:59">
      <c r="B52" s="332">
        <v>37</v>
      </c>
      <c r="C52" s="350">
        <v>9997996.6797306892</v>
      </c>
      <c r="D52" s="350">
        <v>18964396.192365751</v>
      </c>
      <c r="E52" s="350">
        <v>27998337.381425202</v>
      </c>
      <c r="F52" s="350">
        <v>37100407.420742005</v>
      </c>
      <c r="G52" s="350">
        <v>46272044.151102781</v>
      </c>
      <c r="H52" s="348">
        <v>140333181.82536644</v>
      </c>
      <c r="I52" s="369"/>
      <c r="J52" s="350">
        <v>11299586.776809193</v>
      </c>
      <c r="K52" s="350">
        <v>22802419.920104329</v>
      </c>
      <c r="L52" s="350">
        <v>34001331.933707111</v>
      </c>
      <c r="M52" s="350">
        <v>44888308.846417114</v>
      </c>
      <c r="N52" s="350">
        <v>55458100.041521303</v>
      </c>
      <c r="O52" s="348">
        <v>168449747.51855904</v>
      </c>
      <c r="P52" s="369"/>
      <c r="Q52" s="350">
        <f t="shared" si="44"/>
        <v>1301590.097078504</v>
      </c>
      <c r="R52" s="350">
        <f t="shared" si="45"/>
        <v>3838023.7277385779</v>
      </c>
      <c r="S52" s="350">
        <f t="shared" si="46"/>
        <v>6002994.5522819087</v>
      </c>
      <c r="T52" s="350">
        <f t="shared" si="47"/>
        <v>7787901.425675109</v>
      </c>
      <c r="U52" s="350">
        <f t="shared" si="48"/>
        <v>9186055.8904185221</v>
      </c>
      <c r="V52" s="350">
        <f t="shared" si="49"/>
        <v>28116565.693192601</v>
      </c>
      <c r="W52" s="365"/>
      <c r="X52" s="377">
        <f t="shared" si="28"/>
        <v>0</v>
      </c>
      <c r="Y52" s="377">
        <f t="shared" si="29"/>
        <v>0</v>
      </c>
      <c r="Z52" s="377">
        <f t="shared" si="30"/>
        <v>0</v>
      </c>
      <c r="AA52" s="377">
        <f t="shared" si="31"/>
        <v>0</v>
      </c>
      <c r="AB52" s="377">
        <f t="shared" si="32"/>
        <v>0</v>
      </c>
      <c r="AC52" s="377">
        <f t="shared" si="33"/>
        <v>0</v>
      </c>
      <c r="AD52" s="376"/>
      <c r="AE52" s="332">
        <v>37</v>
      </c>
      <c r="AF52" s="350">
        <v>6933663.5931887599</v>
      </c>
      <c r="AG52" s="350">
        <v>13921778.443095841</v>
      </c>
      <c r="AH52" s="350">
        <v>20962779.719800703</v>
      </c>
      <c r="AI52" s="350">
        <v>28056900.882826768</v>
      </c>
      <c r="AJ52" s="350">
        <v>35205165.004208565</v>
      </c>
      <c r="AK52" s="348">
        <v>105080287.64312065</v>
      </c>
      <c r="AL52" s="369"/>
      <c r="AM52" s="350">
        <v>7784183.221273574</v>
      </c>
      <c r="AN52" s="350">
        <v>16426835.741784886</v>
      </c>
      <c r="AO52" s="350">
        <v>24800892.584259398</v>
      </c>
      <c r="AP52" s="350">
        <v>32900913.260273375</v>
      </c>
      <c r="AQ52" s="350">
        <v>40723565.571000807</v>
      </c>
      <c r="AR52" s="348">
        <v>122636390.37859204</v>
      </c>
      <c r="AS52" s="369"/>
      <c r="AT52" s="350">
        <f t="shared" si="50"/>
        <v>850519.62808481418</v>
      </c>
      <c r="AU52" s="350">
        <f t="shared" si="34"/>
        <v>2505057.298689045</v>
      </c>
      <c r="AV52" s="350">
        <f t="shared" si="35"/>
        <v>3838112.8644586951</v>
      </c>
      <c r="AW52" s="350">
        <f t="shared" si="36"/>
        <v>4844012.3774466068</v>
      </c>
      <c r="AX52" s="350">
        <f t="shared" si="37"/>
        <v>5518400.5667922422</v>
      </c>
      <c r="AY52" s="350">
        <f t="shared" si="38"/>
        <v>17556102.735471398</v>
      </c>
      <c r="AZ52" s="365"/>
      <c r="BA52" s="377">
        <f t="shared" si="51"/>
        <v>0</v>
      </c>
      <c r="BB52" s="377">
        <f t="shared" si="39"/>
        <v>0</v>
      </c>
      <c r="BC52" s="377">
        <f t="shared" si="40"/>
        <v>0</v>
      </c>
      <c r="BD52" s="377">
        <f t="shared" si="41"/>
        <v>0</v>
      </c>
      <c r="BE52" s="377">
        <f t="shared" si="42"/>
        <v>0</v>
      </c>
      <c r="BF52" s="377">
        <f t="shared" si="43"/>
        <v>0</v>
      </c>
      <c r="BG52" s="328"/>
    </row>
    <row r="53" spans="2:59">
      <c r="B53" s="332">
        <v>38</v>
      </c>
      <c r="C53" s="350">
        <v>9818512.8486050926</v>
      </c>
      <c r="D53" s="350">
        <v>18437760.936017551</v>
      </c>
      <c r="E53" s="350">
        <v>27121876.03595452</v>
      </c>
      <c r="F53" s="350">
        <v>35871476.801048055</v>
      </c>
      <c r="G53" s="350">
        <v>44687968.991004311</v>
      </c>
      <c r="H53" s="348">
        <v>135937595.61262953</v>
      </c>
      <c r="I53" s="369"/>
      <c r="J53" s="350">
        <v>11318804.021438379</v>
      </c>
      <c r="K53" s="350">
        <v>22865924.611809082</v>
      </c>
      <c r="L53" s="350">
        <v>34135919.211344399</v>
      </c>
      <c r="M53" s="350">
        <v>45120760.175824538</v>
      </c>
      <c r="N53" s="350">
        <v>55815356.445680194</v>
      </c>
      <c r="O53" s="348">
        <v>169256764.46609658</v>
      </c>
      <c r="P53" s="369"/>
      <c r="Q53" s="350">
        <f t="shared" si="44"/>
        <v>1500291.1728332862</v>
      </c>
      <c r="R53" s="350">
        <f t="shared" si="45"/>
        <v>4428163.6757915318</v>
      </c>
      <c r="S53" s="350">
        <f t="shared" si="46"/>
        <v>7014043.1753898785</v>
      </c>
      <c r="T53" s="350">
        <f t="shared" si="47"/>
        <v>9249283.3747764826</v>
      </c>
      <c r="U53" s="350">
        <f t="shared" si="48"/>
        <v>11127387.454675883</v>
      </c>
      <c r="V53" s="350">
        <f t="shared" si="49"/>
        <v>33319168.853467047</v>
      </c>
      <c r="W53" s="365"/>
      <c r="X53" s="377">
        <f t="shared" si="28"/>
        <v>0</v>
      </c>
      <c r="Y53" s="377">
        <f t="shared" si="29"/>
        <v>0</v>
      </c>
      <c r="Z53" s="377">
        <f t="shared" si="30"/>
        <v>0</v>
      </c>
      <c r="AA53" s="377">
        <f t="shared" si="31"/>
        <v>0</v>
      </c>
      <c r="AB53" s="377">
        <f t="shared" si="32"/>
        <v>0</v>
      </c>
      <c r="AC53" s="377">
        <f t="shared" si="33"/>
        <v>0</v>
      </c>
      <c r="AD53" s="376"/>
      <c r="AE53" s="332">
        <v>38</v>
      </c>
      <c r="AF53" s="350">
        <v>6900227.2074226839</v>
      </c>
      <c r="AG53" s="350">
        <v>13854643.089856248</v>
      </c>
      <c r="AH53" s="350">
        <v>20861690.36350007</v>
      </c>
      <c r="AI53" s="350">
        <v>27921601.362059657</v>
      </c>
      <c r="AJ53" s="350">
        <v>35035394.223982729</v>
      </c>
      <c r="AK53" s="348">
        <v>104573556.24682137</v>
      </c>
      <c r="AL53" s="369"/>
      <c r="AM53" s="350">
        <v>7906888.7921274547</v>
      </c>
      <c r="AN53" s="350">
        <v>16822855.170999132</v>
      </c>
      <c r="AO53" s="350">
        <v>25476320.469290055</v>
      </c>
      <c r="AP53" s="350">
        <v>33861825.111596212</v>
      </c>
      <c r="AQ53" s="350">
        <v>41976215.257078215</v>
      </c>
      <c r="AR53" s="348">
        <v>126044104.80109106</v>
      </c>
      <c r="AS53" s="369"/>
      <c r="AT53" s="350">
        <f t="shared" si="50"/>
        <v>1006661.5847047707</v>
      </c>
      <c r="AU53" s="350">
        <f t="shared" si="34"/>
        <v>2968212.0811428837</v>
      </c>
      <c r="AV53" s="350">
        <f t="shared" si="35"/>
        <v>4614630.1057899855</v>
      </c>
      <c r="AW53" s="350">
        <f t="shared" si="36"/>
        <v>5940223.7495365553</v>
      </c>
      <c r="AX53" s="350">
        <f t="shared" si="37"/>
        <v>6940821.0330954865</v>
      </c>
      <c r="AY53" s="350">
        <f t="shared" si="38"/>
        <v>21470548.554269686</v>
      </c>
      <c r="AZ53" s="365"/>
      <c r="BA53" s="377">
        <f t="shared" si="51"/>
        <v>0</v>
      </c>
      <c r="BB53" s="377">
        <f t="shared" si="39"/>
        <v>0</v>
      </c>
      <c r="BC53" s="377">
        <f t="shared" si="40"/>
        <v>0</v>
      </c>
      <c r="BD53" s="377">
        <f t="shared" si="41"/>
        <v>0</v>
      </c>
      <c r="BE53" s="377">
        <f t="shared" si="42"/>
        <v>0</v>
      </c>
      <c r="BF53" s="377">
        <f t="shared" si="43"/>
        <v>0</v>
      </c>
      <c r="BG53" s="328"/>
    </row>
    <row r="54" spans="2:59">
      <c r="B54" s="332">
        <v>39</v>
      </c>
      <c r="C54" s="350">
        <v>6735393.132832367</v>
      </c>
      <c r="D54" s="350">
        <v>12677060.588331386</v>
      </c>
      <c r="E54" s="350">
        <v>18663453.513298765</v>
      </c>
      <c r="F54" s="350">
        <v>24694989.76155081</v>
      </c>
      <c r="G54" s="350">
        <v>30772634.643964171</v>
      </c>
      <c r="H54" s="348">
        <v>93543531.6399775</v>
      </c>
      <c r="I54" s="369"/>
      <c r="J54" s="350">
        <v>7718090.2471389789</v>
      </c>
      <c r="K54" s="350">
        <v>15576820.564923765</v>
      </c>
      <c r="L54" s="350">
        <v>23242274.596273322</v>
      </c>
      <c r="M54" s="350">
        <v>30708974.082806125</v>
      </c>
      <c r="N54" s="350">
        <v>37973404.661949657</v>
      </c>
      <c r="O54" s="348">
        <v>115219564.15309185</v>
      </c>
      <c r="P54" s="369"/>
      <c r="Q54" s="350">
        <f t="shared" si="44"/>
        <v>982697.11430661194</v>
      </c>
      <c r="R54" s="350">
        <f t="shared" si="45"/>
        <v>2899759.9765923787</v>
      </c>
      <c r="S54" s="350">
        <f t="shared" si="46"/>
        <v>4578821.0829745568</v>
      </c>
      <c r="T54" s="350">
        <f t="shared" si="47"/>
        <v>6013984.3212553151</v>
      </c>
      <c r="U54" s="350">
        <f t="shared" si="48"/>
        <v>7200770.0179854855</v>
      </c>
      <c r="V54" s="350">
        <f t="shared" si="49"/>
        <v>21676032.513114348</v>
      </c>
      <c r="W54" s="365"/>
      <c r="X54" s="377">
        <f t="shared" si="28"/>
        <v>0</v>
      </c>
      <c r="Y54" s="377">
        <f t="shared" si="29"/>
        <v>0</v>
      </c>
      <c r="Z54" s="377">
        <f t="shared" si="30"/>
        <v>0</v>
      </c>
      <c r="AA54" s="377">
        <f t="shared" si="31"/>
        <v>0</v>
      </c>
      <c r="AB54" s="377">
        <f t="shared" si="32"/>
        <v>0</v>
      </c>
      <c r="AC54" s="377">
        <f t="shared" si="33"/>
        <v>0</v>
      </c>
      <c r="AD54" s="376"/>
      <c r="AE54" s="332">
        <v>39</v>
      </c>
      <c r="AF54" s="350">
        <v>5491687.8176381262</v>
      </c>
      <c r="AG54" s="350">
        <v>11026502.807391845</v>
      </c>
      <c r="AH54" s="350">
        <v>16603205.572902251</v>
      </c>
      <c r="AI54" s="350">
        <v>22221981.021729894</v>
      </c>
      <c r="AJ54" s="350">
        <v>27883639.4603099</v>
      </c>
      <c r="AK54" s="348">
        <v>83227016.679972023</v>
      </c>
      <c r="AL54" s="369"/>
      <c r="AM54" s="350">
        <v>6370202.0270818789</v>
      </c>
      <c r="AN54" s="350">
        <v>13618188.753085334</v>
      </c>
      <c r="AO54" s="350">
        <v>20659575.005752414</v>
      </c>
      <c r="AP54" s="350">
        <v>27489993.794499047</v>
      </c>
      <c r="AQ54" s="350">
        <v>34107013.399377435</v>
      </c>
      <c r="AR54" s="348">
        <v>102244972.97979611</v>
      </c>
      <c r="AS54" s="369"/>
      <c r="AT54" s="350">
        <f t="shared" si="50"/>
        <v>878514.20944375265</v>
      </c>
      <c r="AU54" s="350">
        <f t="shared" si="34"/>
        <v>2591685.9456934892</v>
      </c>
      <c r="AV54" s="350">
        <f t="shared" si="35"/>
        <v>4056369.4328501634</v>
      </c>
      <c r="AW54" s="350">
        <f t="shared" si="36"/>
        <v>5268012.7727691531</v>
      </c>
      <c r="AX54" s="350">
        <f t="shared" si="37"/>
        <v>6223373.9390675351</v>
      </c>
      <c r="AY54" s="350">
        <f t="shared" si="38"/>
        <v>19017956.299824089</v>
      </c>
      <c r="AZ54" s="365"/>
      <c r="BA54" s="377">
        <f t="shared" si="51"/>
        <v>0</v>
      </c>
      <c r="BB54" s="377">
        <f t="shared" si="39"/>
        <v>0</v>
      </c>
      <c r="BC54" s="377">
        <f t="shared" si="40"/>
        <v>0</v>
      </c>
      <c r="BD54" s="377">
        <f t="shared" si="41"/>
        <v>0</v>
      </c>
      <c r="BE54" s="377">
        <f t="shared" si="42"/>
        <v>0</v>
      </c>
      <c r="BF54" s="377">
        <f t="shared" si="43"/>
        <v>0</v>
      </c>
      <c r="BG54" s="328"/>
    </row>
    <row r="55" spans="2:59">
      <c r="B55" s="332">
        <v>40</v>
      </c>
      <c r="C55" s="350">
        <v>6264330.2990839668</v>
      </c>
      <c r="D55" s="350">
        <v>11787136.415343722</v>
      </c>
      <c r="E55" s="350">
        <v>17351513.974457532</v>
      </c>
      <c r="F55" s="350">
        <v>22957852.353319384</v>
      </c>
      <c r="G55" s="350">
        <v>28607049.23901315</v>
      </c>
      <c r="H55" s="348">
        <v>86967882.281217754</v>
      </c>
      <c r="I55" s="369"/>
      <c r="J55" s="350">
        <v>6998140.5173922144</v>
      </c>
      <c r="K55" s="350">
        <v>13949781.543828838</v>
      </c>
      <c r="L55" s="350">
        <v>20715445.087195076</v>
      </c>
      <c r="M55" s="350">
        <v>27290109.824274864</v>
      </c>
      <c r="N55" s="350">
        <v>33670347.772904888</v>
      </c>
      <c r="O55" s="348">
        <v>102623824.74559589</v>
      </c>
      <c r="P55" s="369"/>
      <c r="Q55" s="350">
        <f t="shared" si="44"/>
        <v>733810.21830824763</v>
      </c>
      <c r="R55" s="350">
        <f t="shared" si="45"/>
        <v>2162645.1284851152</v>
      </c>
      <c r="S55" s="350">
        <f t="shared" si="46"/>
        <v>3363931.1127375439</v>
      </c>
      <c r="T55" s="350">
        <f t="shared" si="47"/>
        <v>4332257.4709554799</v>
      </c>
      <c r="U55" s="350">
        <f t="shared" si="48"/>
        <v>5063298.5338917375</v>
      </c>
      <c r="V55" s="350">
        <f t="shared" si="49"/>
        <v>15655942.464378133</v>
      </c>
      <c r="W55" s="365"/>
      <c r="X55" s="377">
        <f t="shared" si="28"/>
        <v>0</v>
      </c>
      <c r="Y55" s="377">
        <f t="shared" si="29"/>
        <v>0</v>
      </c>
      <c r="Z55" s="377">
        <f t="shared" si="30"/>
        <v>0</v>
      </c>
      <c r="AA55" s="377">
        <f t="shared" si="31"/>
        <v>0</v>
      </c>
      <c r="AB55" s="377">
        <f t="shared" si="32"/>
        <v>0</v>
      </c>
      <c r="AC55" s="377">
        <f t="shared" si="33"/>
        <v>0</v>
      </c>
      <c r="AD55" s="376"/>
      <c r="AE55" s="332">
        <v>40</v>
      </c>
      <c r="AF55" s="350">
        <v>6244015.8833903838</v>
      </c>
      <c r="AG55" s="350">
        <v>12537067.101023655</v>
      </c>
      <c r="AH55" s="350">
        <v>18877744.466724668</v>
      </c>
      <c r="AI55" s="350">
        <v>25266258.219273075</v>
      </c>
      <c r="AJ55" s="350">
        <v>31703529.672192041</v>
      </c>
      <c r="AK55" s="348">
        <v>94628615.342603818</v>
      </c>
      <c r="AL55" s="369"/>
      <c r="AM55" s="350">
        <v>7188065.8916253764</v>
      </c>
      <c r="AN55" s="350">
        <v>15321232.16086136</v>
      </c>
      <c r="AO55" s="350">
        <v>23217853.202817053</v>
      </c>
      <c r="AP55" s="350">
        <v>30872979.279383518</v>
      </c>
      <c r="AQ55" s="350">
        <v>38283790.024574384</v>
      </c>
      <c r="AR55" s="348">
        <v>114883920.55926169</v>
      </c>
      <c r="AS55" s="369"/>
      <c r="AT55" s="350">
        <f t="shared" si="50"/>
        <v>944050.00823499262</v>
      </c>
      <c r="AU55" s="350">
        <f t="shared" si="34"/>
        <v>2784165.0598377045</v>
      </c>
      <c r="AV55" s="350">
        <f t="shared" si="35"/>
        <v>4340108.7360923849</v>
      </c>
      <c r="AW55" s="350">
        <f t="shared" si="36"/>
        <v>5606721.0601104423</v>
      </c>
      <c r="AX55" s="350">
        <f t="shared" si="37"/>
        <v>6580260.3523823433</v>
      </c>
      <c r="AY55" s="350">
        <f t="shared" si="38"/>
        <v>20255305.216657877</v>
      </c>
      <c r="AZ55" s="365"/>
      <c r="BA55" s="377">
        <f t="shared" si="51"/>
        <v>0</v>
      </c>
      <c r="BB55" s="377">
        <f t="shared" si="39"/>
        <v>0</v>
      </c>
      <c r="BC55" s="377">
        <f t="shared" si="40"/>
        <v>0</v>
      </c>
      <c r="BD55" s="377">
        <f t="shared" si="41"/>
        <v>0</v>
      </c>
      <c r="BE55" s="377">
        <f t="shared" si="42"/>
        <v>0</v>
      </c>
      <c r="BF55" s="377">
        <f t="shared" si="43"/>
        <v>0</v>
      </c>
      <c r="BG55" s="328"/>
    </row>
    <row r="56" spans="2:59">
      <c r="B56" s="332">
        <v>41</v>
      </c>
      <c r="C56" s="350">
        <v>6398776.6160029154</v>
      </c>
      <c r="D56" s="350">
        <v>12036942.200162977</v>
      </c>
      <c r="E56" s="350">
        <v>17717546.530735154</v>
      </c>
      <c r="F56" s="350">
        <v>23440988.05739858</v>
      </c>
      <c r="G56" s="350">
        <v>29208183.626771625</v>
      </c>
      <c r="H56" s="348">
        <v>88802437.031071246</v>
      </c>
      <c r="I56" s="369"/>
      <c r="J56" s="350">
        <v>7549627.5773399621</v>
      </c>
      <c r="K56" s="350">
        <v>15436157.84755601</v>
      </c>
      <c r="L56" s="350">
        <v>23150790.935161263</v>
      </c>
      <c r="M56" s="350">
        <v>30688082.657154337</v>
      </c>
      <c r="N56" s="350">
        <v>38044726.713090949</v>
      </c>
      <c r="O56" s="348">
        <v>114869385.73030251</v>
      </c>
      <c r="P56" s="369"/>
      <c r="Q56" s="350">
        <f t="shared" si="44"/>
        <v>1150850.9613370467</v>
      </c>
      <c r="R56" s="350">
        <f t="shared" si="45"/>
        <v>3399215.6473930329</v>
      </c>
      <c r="S56" s="350">
        <f t="shared" si="46"/>
        <v>5433244.404426109</v>
      </c>
      <c r="T56" s="350">
        <f t="shared" si="47"/>
        <v>7247094.5997557566</v>
      </c>
      <c r="U56" s="350">
        <f t="shared" si="48"/>
        <v>8836543.0863193236</v>
      </c>
      <c r="V56" s="350">
        <f t="shared" si="49"/>
        <v>26066948.699231267</v>
      </c>
      <c r="W56" s="365"/>
      <c r="X56" s="377">
        <f t="shared" si="28"/>
        <v>0</v>
      </c>
      <c r="Y56" s="377">
        <f t="shared" si="29"/>
        <v>0</v>
      </c>
      <c r="Z56" s="377">
        <f t="shared" si="30"/>
        <v>0</v>
      </c>
      <c r="AA56" s="377">
        <f t="shared" si="31"/>
        <v>0</v>
      </c>
      <c r="AB56" s="377">
        <f t="shared" si="32"/>
        <v>0</v>
      </c>
      <c r="AC56" s="377">
        <f t="shared" si="33"/>
        <v>0</v>
      </c>
      <c r="AD56" s="376"/>
      <c r="AE56" s="332">
        <v>41</v>
      </c>
      <c r="AF56" s="350">
        <v>5255257.9367619436</v>
      </c>
      <c r="AG56" s="350">
        <v>10551786.320984986</v>
      </c>
      <c r="AH56" s="350">
        <v>15888399.115194263</v>
      </c>
      <c r="AI56" s="350">
        <v>21265273.266251549</v>
      </c>
      <c r="AJ56" s="350">
        <v>26683184.195023034</v>
      </c>
      <c r="AK56" s="348">
        <v>79643900.834215775</v>
      </c>
      <c r="AL56" s="369"/>
      <c r="AM56" s="350">
        <v>6176157.4170777742</v>
      </c>
      <c r="AN56" s="350">
        <v>13269765.608146206</v>
      </c>
      <c r="AO56" s="350">
        <v>20168070.190005496</v>
      </c>
      <c r="AP56" s="350">
        <v>26866869.49551978</v>
      </c>
      <c r="AQ56" s="350">
        <v>33363917.727152262</v>
      </c>
      <c r="AR56" s="348">
        <v>99844780.437901512</v>
      </c>
      <c r="AS56" s="369"/>
      <c r="AT56" s="350">
        <f t="shared" si="50"/>
        <v>920899.48031583056</v>
      </c>
      <c r="AU56" s="350">
        <f t="shared" si="34"/>
        <v>2717979.2871612199</v>
      </c>
      <c r="AV56" s="350">
        <f t="shared" si="35"/>
        <v>4279671.0748112332</v>
      </c>
      <c r="AW56" s="350">
        <f t="shared" si="36"/>
        <v>5601596.2292682305</v>
      </c>
      <c r="AX56" s="350">
        <f t="shared" si="37"/>
        <v>6680733.5321292281</v>
      </c>
      <c r="AY56" s="350">
        <f t="shared" si="38"/>
        <v>20200879.603685737</v>
      </c>
      <c r="AZ56" s="365"/>
      <c r="BA56" s="377">
        <f t="shared" si="51"/>
        <v>0</v>
      </c>
      <c r="BB56" s="377">
        <f t="shared" si="39"/>
        <v>0</v>
      </c>
      <c r="BC56" s="377">
        <f t="shared" si="40"/>
        <v>0</v>
      </c>
      <c r="BD56" s="377">
        <f t="shared" si="41"/>
        <v>0</v>
      </c>
      <c r="BE56" s="377">
        <f t="shared" si="42"/>
        <v>0</v>
      </c>
      <c r="BF56" s="377">
        <f t="shared" si="43"/>
        <v>0</v>
      </c>
      <c r="BG56" s="328"/>
    </row>
    <row r="57" spans="2:59">
      <c r="B57" s="332">
        <v>42</v>
      </c>
      <c r="C57" s="350">
        <v>10912584.18450547</v>
      </c>
      <c r="D57" s="350">
        <v>20732817.059063435</v>
      </c>
      <c r="E57" s="350">
        <v>30627034.096568309</v>
      </c>
      <c r="F57" s="350">
        <v>40595868.597740352</v>
      </c>
      <c r="G57" s="350">
        <v>50640891.064613856</v>
      </c>
      <c r="H57" s="348">
        <v>153509195.00249141</v>
      </c>
      <c r="I57" s="369"/>
      <c r="J57" s="350">
        <v>12564248.387430862</v>
      </c>
      <c r="K57" s="350">
        <v>25606938.970107738</v>
      </c>
      <c r="L57" s="350">
        <v>38324534.27497305</v>
      </c>
      <c r="M57" s="350">
        <v>50708132.089612007</v>
      </c>
      <c r="N57" s="350">
        <v>62752153.471765645</v>
      </c>
      <c r="O57" s="348">
        <v>189956007.19388929</v>
      </c>
      <c r="P57" s="369"/>
      <c r="Q57" s="350">
        <f t="shared" si="44"/>
        <v>1651664.2029253915</v>
      </c>
      <c r="R57" s="350">
        <f t="shared" si="45"/>
        <v>4874121.9110443033</v>
      </c>
      <c r="S57" s="350">
        <f t="shared" si="46"/>
        <v>7697500.178404741</v>
      </c>
      <c r="T57" s="350">
        <f t="shared" si="47"/>
        <v>10112263.491871655</v>
      </c>
      <c r="U57" s="350">
        <f t="shared" si="48"/>
        <v>12111262.407151788</v>
      </c>
      <c r="V57" s="350">
        <f t="shared" si="49"/>
        <v>36446812.191397876</v>
      </c>
      <c r="W57" s="365"/>
      <c r="X57" s="377">
        <f t="shared" si="28"/>
        <v>0</v>
      </c>
      <c r="Y57" s="377">
        <f t="shared" si="29"/>
        <v>0</v>
      </c>
      <c r="Z57" s="377">
        <f t="shared" si="30"/>
        <v>0</v>
      </c>
      <c r="AA57" s="377">
        <f t="shared" si="31"/>
        <v>0</v>
      </c>
      <c r="AB57" s="377">
        <f t="shared" si="32"/>
        <v>0</v>
      </c>
      <c r="AC57" s="377">
        <f t="shared" si="33"/>
        <v>0</v>
      </c>
      <c r="AD57" s="376"/>
      <c r="AE57" s="332">
        <v>42</v>
      </c>
      <c r="AF57" s="350">
        <v>6284600.9547927156</v>
      </c>
      <c r="AG57" s="350">
        <v>12618555.965397682</v>
      </c>
      <c r="AH57" s="350">
        <v>19000446.686162487</v>
      </c>
      <c r="AI57" s="350">
        <v>25430484.72238411</v>
      </c>
      <c r="AJ57" s="350">
        <v>31909597.375971362</v>
      </c>
      <c r="AK57" s="348">
        <v>95243685.704708353</v>
      </c>
      <c r="AL57" s="369"/>
      <c r="AM57" s="350">
        <v>7443930.2641833648</v>
      </c>
      <c r="AN57" s="350">
        <v>16041074.751970194</v>
      </c>
      <c r="AO57" s="350">
        <v>24406400.410357907</v>
      </c>
      <c r="AP57" s="350">
        <v>32534866.175322153</v>
      </c>
      <c r="AQ57" s="350">
        <v>40423845.161926478</v>
      </c>
      <c r="AR57" s="348">
        <v>120850116.76376009</v>
      </c>
      <c r="AS57" s="369"/>
      <c r="AT57" s="350">
        <f t="shared" si="50"/>
        <v>1159329.3093906492</v>
      </c>
      <c r="AU57" s="350">
        <f t="shared" si="34"/>
        <v>3422518.7865725122</v>
      </c>
      <c r="AV57" s="350">
        <f t="shared" si="35"/>
        <v>5405953.7241954207</v>
      </c>
      <c r="AW57" s="350">
        <f t="shared" si="36"/>
        <v>7104381.4529380426</v>
      </c>
      <c r="AX57" s="350">
        <f t="shared" si="37"/>
        <v>8514247.7859551162</v>
      </c>
      <c r="AY57" s="350">
        <f t="shared" si="38"/>
        <v>25606431.059051737</v>
      </c>
      <c r="AZ57" s="365"/>
      <c r="BA57" s="377">
        <f t="shared" si="51"/>
        <v>0</v>
      </c>
      <c r="BB57" s="377">
        <f t="shared" si="39"/>
        <v>0</v>
      </c>
      <c r="BC57" s="377">
        <f t="shared" si="40"/>
        <v>0</v>
      </c>
      <c r="BD57" s="377">
        <f t="shared" si="41"/>
        <v>0</v>
      </c>
      <c r="BE57" s="377">
        <f t="shared" si="42"/>
        <v>0</v>
      </c>
      <c r="BF57" s="377">
        <f t="shared" si="43"/>
        <v>0</v>
      </c>
      <c r="BG57" s="328"/>
    </row>
    <row r="58" spans="2:59">
      <c r="B58" s="332">
        <v>43</v>
      </c>
      <c r="C58" s="350">
        <v>11060464.751370557</v>
      </c>
      <c r="D58" s="350">
        <v>20673440.422763817</v>
      </c>
      <c r="E58" s="350">
        <v>30358730.135829426</v>
      </c>
      <c r="F58" s="350">
        <v>40117052.582165591</v>
      </c>
      <c r="G58" s="350">
        <v>49949988.087048382</v>
      </c>
      <c r="H58" s="348">
        <v>152159675.97917777</v>
      </c>
      <c r="I58" s="369"/>
      <c r="J58" s="350">
        <v>12799851.97306456</v>
      </c>
      <c r="K58" s="350">
        <v>25808254.880604614</v>
      </c>
      <c r="L58" s="350">
        <v>38500387.409997806</v>
      </c>
      <c r="M58" s="350">
        <v>50867683.028728873</v>
      </c>
      <c r="N58" s="350">
        <v>62904934.179155707</v>
      </c>
      <c r="O58" s="348">
        <v>190881111.47155157</v>
      </c>
      <c r="P58" s="369"/>
      <c r="Q58" s="350">
        <f t="shared" si="44"/>
        <v>1739387.2216940038</v>
      </c>
      <c r="R58" s="350">
        <f t="shared" si="45"/>
        <v>5134814.4578407966</v>
      </c>
      <c r="S58" s="350">
        <f t="shared" si="46"/>
        <v>8141657.2741683796</v>
      </c>
      <c r="T58" s="350">
        <f t="shared" si="47"/>
        <v>10750630.446563281</v>
      </c>
      <c r="U58" s="350">
        <f t="shared" si="48"/>
        <v>12954946.092107326</v>
      </c>
      <c r="V58" s="350">
        <f t="shared" si="49"/>
        <v>38721435.492373794</v>
      </c>
      <c r="W58" s="365"/>
      <c r="X58" s="377">
        <f t="shared" si="28"/>
        <v>0</v>
      </c>
      <c r="Y58" s="377">
        <f t="shared" si="29"/>
        <v>0</v>
      </c>
      <c r="Z58" s="377">
        <f t="shared" si="30"/>
        <v>0</v>
      </c>
      <c r="AA58" s="377">
        <f t="shared" si="31"/>
        <v>0</v>
      </c>
      <c r="AB58" s="377">
        <f t="shared" si="32"/>
        <v>0</v>
      </c>
      <c r="AC58" s="377">
        <f t="shared" si="33"/>
        <v>0</v>
      </c>
      <c r="AD58" s="376"/>
      <c r="AE58" s="332">
        <v>43</v>
      </c>
      <c r="AF58" s="350">
        <v>4622824.9311600402</v>
      </c>
      <c r="AG58" s="350">
        <v>9281953.7042511664</v>
      </c>
      <c r="AH58" s="350">
        <v>13976343.012993447</v>
      </c>
      <c r="AI58" s="350">
        <v>18706148.509949315</v>
      </c>
      <c r="AJ58" s="350">
        <v>23472052.299585477</v>
      </c>
      <c r="AK58" s="348">
        <v>70059322.457939446</v>
      </c>
      <c r="AL58" s="369"/>
      <c r="AM58" s="350">
        <v>5514738.7101429477</v>
      </c>
      <c r="AN58" s="350">
        <v>11915550.995565182</v>
      </c>
      <c r="AO58" s="350">
        <v>18147014.149854153</v>
      </c>
      <c r="AP58" s="350">
        <v>24205408.999875225</v>
      </c>
      <c r="AQ58" s="350">
        <v>30088842.896616612</v>
      </c>
      <c r="AR58" s="348">
        <v>89871555.752054125</v>
      </c>
      <c r="AS58" s="369"/>
      <c r="AT58" s="350">
        <f t="shared" si="50"/>
        <v>891913.77898290753</v>
      </c>
      <c r="AU58" s="350">
        <f t="shared" si="34"/>
        <v>2633597.2913140152</v>
      </c>
      <c r="AV58" s="350">
        <f t="shared" si="35"/>
        <v>4170671.1368607059</v>
      </c>
      <c r="AW58" s="350">
        <f t="shared" si="36"/>
        <v>5499260.4899259098</v>
      </c>
      <c r="AX58" s="350">
        <f t="shared" si="37"/>
        <v>6616790.5970311351</v>
      </c>
      <c r="AY58" s="350">
        <f t="shared" si="38"/>
        <v>19812233.294114679</v>
      </c>
      <c r="AZ58" s="365"/>
      <c r="BA58" s="377">
        <f t="shared" si="51"/>
        <v>0</v>
      </c>
      <c r="BB58" s="377">
        <f t="shared" si="39"/>
        <v>0</v>
      </c>
      <c r="BC58" s="377">
        <f t="shared" si="40"/>
        <v>0</v>
      </c>
      <c r="BD58" s="377">
        <f t="shared" si="41"/>
        <v>0</v>
      </c>
      <c r="BE58" s="377">
        <f t="shared" si="42"/>
        <v>0</v>
      </c>
      <c r="BF58" s="377">
        <f t="shared" si="43"/>
        <v>0</v>
      </c>
      <c r="BG58" s="328"/>
    </row>
    <row r="59" spans="2:59">
      <c r="B59" s="332">
        <v>44</v>
      </c>
      <c r="C59" s="350">
        <v>8132032.1034094449</v>
      </c>
      <c r="D59" s="350">
        <v>15134092.659569865</v>
      </c>
      <c r="E59" s="350">
        <v>22188804.79955706</v>
      </c>
      <c r="F59" s="350">
        <v>29296711.7639158</v>
      </c>
      <c r="G59" s="350">
        <v>36458973.248765044</v>
      </c>
      <c r="H59" s="348">
        <v>111210614.57521722</v>
      </c>
      <c r="I59" s="369"/>
      <c r="J59" s="350">
        <v>9575692.1095732283</v>
      </c>
      <c r="K59" s="350">
        <v>19398315.909366362</v>
      </c>
      <c r="L59" s="350">
        <v>29002385.216364209</v>
      </c>
      <c r="M59" s="350">
        <v>38381380.805700526</v>
      </c>
      <c r="N59" s="350">
        <v>47531437.944751054</v>
      </c>
      <c r="O59" s="348">
        <v>143889211.98575538</v>
      </c>
      <c r="P59" s="369"/>
      <c r="Q59" s="350">
        <f t="shared" si="44"/>
        <v>1443660.0061637834</v>
      </c>
      <c r="R59" s="350">
        <f t="shared" si="45"/>
        <v>4264223.2497964967</v>
      </c>
      <c r="S59" s="350">
        <f t="shared" si="46"/>
        <v>6813580.4168071486</v>
      </c>
      <c r="T59" s="350">
        <f t="shared" si="47"/>
        <v>9084669.0417847261</v>
      </c>
      <c r="U59" s="350">
        <f t="shared" si="48"/>
        <v>11072464.69598601</v>
      </c>
      <c r="V59" s="350">
        <f t="shared" si="49"/>
        <v>32678597.410538167</v>
      </c>
      <c r="W59" s="365"/>
      <c r="X59" s="377">
        <f t="shared" si="28"/>
        <v>0</v>
      </c>
      <c r="Y59" s="377">
        <f t="shared" si="29"/>
        <v>0</v>
      </c>
      <c r="Z59" s="377">
        <f t="shared" si="30"/>
        <v>0</v>
      </c>
      <c r="AA59" s="377">
        <f t="shared" si="31"/>
        <v>0</v>
      </c>
      <c r="AB59" s="377">
        <f t="shared" si="32"/>
        <v>0</v>
      </c>
      <c r="AC59" s="377">
        <f t="shared" si="33"/>
        <v>0</v>
      </c>
      <c r="AD59" s="376"/>
      <c r="AE59" s="332">
        <v>44</v>
      </c>
      <c r="AF59" s="350">
        <v>4416960.5287180375</v>
      </c>
      <c r="AG59" s="350">
        <v>8868608.2106893957</v>
      </c>
      <c r="AH59" s="350">
        <v>13353946.200321514</v>
      </c>
      <c r="AI59" s="350">
        <v>17873123.218631234</v>
      </c>
      <c r="AJ59" s="350">
        <v>22426790.994496632</v>
      </c>
      <c r="AK59" s="348">
        <v>66939429.152856812</v>
      </c>
      <c r="AL59" s="369"/>
      <c r="AM59" s="350">
        <v>5490970.7263020342</v>
      </c>
      <c r="AN59" s="350">
        <v>12042764.66708092</v>
      </c>
      <c r="AO59" s="350">
        <v>18439394.397470541</v>
      </c>
      <c r="AP59" s="350">
        <v>24677243.629581481</v>
      </c>
      <c r="AQ59" s="350">
        <v>30754728.645027768</v>
      </c>
      <c r="AR59" s="348">
        <v>91405102.065462753</v>
      </c>
      <c r="AS59" s="369"/>
      <c r="AT59" s="350">
        <f t="shared" si="50"/>
        <v>1074010.1975839967</v>
      </c>
      <c r="AU59" s="350">
        <f t="shared" si="34"/>
        <v>3174156.4563915245</v>
      </c>
      <c r="AV59" s="350">
        <f t="shared" si="35"/>
        <v>5085448.1971490271</v>
      </c>
      <c r="AW59" s="350">
        <f t="shared" si="36"/>
        <v>6804120.4109502472</v>
      </c>
      <c r="AX59" s="350">
        <f t="shared" si="37"/>
        <v>8327937.6505311355</v>
      </c>
      <c r="AY59" s="350">
        <f t="shared" si="38"/>
        <v>24465672.912605941</v>
      </c>
      <c r="AZ59" s="365"/>
      <c r="BA59" s="377">
        <f t="shared" si="51"/>
        <v>0</v>
      </c>
      <c r="BB59" s="377">
        <f t="shared" si="39"/>
        <v>0</v>
      </c>
      <c r="BC59" s="377">
        <f t="shared" si="40"/>
        <v>0</v>
      </c>
      <c r="BD59" s="377">
        <f t="shared" si="41"/>
        <v>0</v>
      </c>
      <c r="BE59" s="377">
        <f t="shared" si="42"/>
        <v>0</v>
      </c>
      <c r="BF59" s="377">
        <f t="shared" si="43"/>
        <v>0</v>
      </c>
      <c r="BG59" s="328"/>
    </row>
    <row r="60" spans="2:59">
      <c r="B60" s="332">
        <v>45</v>
      </c>
      <c r="C60" s="350">
        <v>8459533.833560409</v>
      </c>
      <c r="D60" s="350">
        <v>15953432.251439096</v>
      </c>
      <c r="E60" s="350">
        <v>23503750.630442433</v>
      </c>
      <c r="F60" s="350">
        <v>31111006.730347887</v>
      </c>
      <c r="G60" s="350">
        <v>38776414.017298058</v>
      </c>
      <c r="H60" s="348">
        <v>117804137.46308789</v>
      </c>
      <c r="I60" s="369"/>
      <c r="J60" s="350">
        <v>9734312.0042951666</v>
      </c>
      <c r="K60" s="350">
        <v>19715576.615103051</v>
      </c>
      <c r="L60" s="350">
        <v>29449934.258172505</v>
      </c>
      <c r="M60" s="350">
        <v>38930605.80394695</v>
      </c>
      <c r="N60" s="350">
        <v>48153346.327542506</v>
      </c>
      <c r="O60" s="348">
        <v>145983775.00906017</v>
      </c>
      <c r="P60" s="369"/>
      <c r="Q60" s="350">
        <f t="shared" si="44"/>
        <v>1274778.1707347576</v>
      </c>
      <c r="R60" s="350">
        <f t="shared" si="45"/>
        <v>3762144.3636639547</v>
      </c>
      <c r="S60" s="350">
        <f t="shared" si="46"/>
        <v>5946183.6277300715</v>
      </c>
      <c r="T60" s="350">
        <f t="shared" si="47"/>
        <v>7819599.0735990629</v>
      </c>
      <c r="U60" s="350">
        <f t="shared" si="48"/>
        <v>9376932.3102444485</v>
      </c>
      <c r="V60" s="350">
        <f t="shared" si="49"/>
        <v>28179637.545972288</v>
      </c>
      <c r="W60" s="365"/>
      <c r="X60" s="377">
        <f t="shared" si="28"/>
        <v>0</v>
      </c>
      <c r="Y60" s="377">
        <f t="shared" si="29"/>
        <v>0</v>
      </c>
      <c r="Z60" s="377">
        <f t="shared" si="30"/>
        <v>0</v>
      </c>
      <c r="AA60" s="377">
        <f t="shared" si="31"/>
        <v>0</v>
      </c>
      <c r="AB60" s="377">
        <f t="shared" si="32"/>
        <v>0</v>
      </c>
      <c r="AC60" s="377">
        <f t="shared" si="33"/>
        <v>0</v>
      </c>
      <c r="AD60" s="376"/>
      <c r="AE60" s="332">
        <v>45</v>
      </c>
      <c r="AF60" s="350">
        <v>9690224.5880454704</v>
      </c>
      <c r="AG60" s="350">
        <v>19456548.181993123</v>
      </c>
      <c r="AH60" s="350">
        <v>29296783.83504805</v>
      </c>
      <c r="AI60" s="350">
        <v>39211257.821362987</v>
      </c>
      <c r="AJ60" s="350">
        <v>49201399.947511479</v>
      </c>
      <c r="AK60" s="348">
        <v>146856214.37396109</v>
      </c>
      <c r="AL60" s="369"/>
      <c r="AM60" s="350">
        <v>11470853.96783245</v>
      </c>
      <c r="AN60" s="350">
        <v>24713146.470489006</v>
      </c>
      <c r="AO60" s="350">
        <v>37597789.719342403</v>
      </c>
      <c r="AP60" s="350">
        <v>50117012.862017408</v>
      </c>
      <c r="AQ60" s="350">
        <v>62266758.476531222</v>
      </c>
      <c r="AR60" s="348">
        <v>186165561.49621248</v>
      </c>
      <c r="AS60" s="369"/>
      <c r="AT60" s="350">
        <f t="shared" si="50"/>
        <v>1780629.3797869794</v>
      </c>
      <c r="AU60" s="350">
        <f t="shared" si="34"/>
        <v>5256598.2884958833</v>
      </c>
      <c r="AV60" s="350">
        <f t="shared" si="35"/>
        <v>8301005.8842943534</v>
      </c>
      <c r="AW60" s="350">
        <f t="shared" si="36"/>
        <v>10905755.040654421</v>
      </c>
      <c r="AX60" s="350">
        <f t="shared" si="37"/>
        <v>13065358.529019743</v>
      </c>
      <c r="AY60" s="350">
        <f t="shared" si="38"/>
        <v>39309347.122251391</v>
      </c>
      <c r="AZ60" s="365"/>
      <c r="BA60" s="377">
        <f t="shared" si="51"/>
        <v>0</v>
      </c>
      <c r="BB60" s="377">
        <f t="shared" si="39"/>
        <v>0</v>
      </c>
      <c r="BC60" s="377">
        <f t="shared" si="40"/>
        <v>0</v>
      </c>
      <c r="BD60" s="377">
        <f t="shared" si="41"/>
        <v>0</v>
      </c>
      <c r="BE60" s="377">
        <f t="shared" si="42"/>
        <v>0</v>
      </c>
      <c r="BF60" s="377">
        <f t="shared" si="43"/>
        <v>0</v>
      </c>
      <c r="BG60" s="328"/>
    </row>
    <row r="61" spans="2:59">
      <c r="B61" s="332">
        <v>46</v>
      </c>
      <c r="C61" s="350">
        <v>5847948.4781203922</v>
      </c>
      <c r="D61" s="350">
        <v>10978553.413216781</v>
      </c>
      <c r="E61" s="350">
        <v>16147769.418337971</v>
      </c>
      <c r="F61" s="350">
        <v>21355965.655414492</v>
      </c>
      <c r="G61" s="350">
        <v>26603979.298066184</v>
      </c>
      <c r="H61" s="348">
        <v>80934216.263155818</v>
      </c>
      <c r="I61" s="369"/>
      <c r="J61" s="350">
        <v>6807101.5743080135</v>
      </c>
      <c r="K61" s="350">
        <v>13810488.108734267</v>
      </c>
      <c r="L61" s="350">
        <v>20657009.70184261</v>
      </c>
      <c r="M61" s="350">
        <v>27341647.052252673</v>
      </c>
      <c r="N61" s="350">
        <v>33861204.864101395</v>
      </c>
      <c r="O61" s="348">
        <v>102477451.30123897</v>
      </c>
      <c r="P61" s="369"/>
      <c r="Q61" s="350">
        <f t="shared" si="44"/>
        <v>959153.09618762136</v>
      </c>
      <c r="R61" s="350">
        <f t="shared" si="45"/>
        <v>2831934.695517486</v>
      </c>
      <c r="S61" s="350">
        <f t="shared" si="46"/>
        <v>4509240.2835046388</v>
      </c>
      <c r="T61" s="350">
        <f t="shared" si="47"/>
        <v>5985681.3968381807</v>
      </c>
      <c r="U61" s="350">
        <f t="shared" si="48"/>
        <v>7257225.5660352111</v>
      </c>
      <c r="V61" s="350">
        <f t="shared" si="49"/>
        <v>21543235.038083151</v>
      </c>
      <c r="W61" s="365"/>
      <c r="X61" s="377">
        <f t="shared" si="28"/>
        <v>0</v>
      </c>
      <c r="Y61" s="377">
        <f t="shared" si="29"/>
        <v>0</v>
      </c>
      <c r="Z61" s="377">
        <f t="shared" si="30"/>
        <v>0</v>
      </c>
      <c r="AA61" s="377">
        <f t="shared" si="31"/>
        <v>0</v>
      </c>
      <c r="AB61" s="377">
        <f t="shared" si="32"/>
        <v>0</v>
      </c>
      <c r="AC61" s="377">
        <f t="shared" si="33"/>
        <v>0</v>
      </c>
      <c r="AD61" s="376"/>
      <c r="AE61" s="332">
        <v>46</v>
      </c>
      <c r="AF61" s="350">
        <v>6500745.5204513092</v>
      </c>
      <c r="AG61" s="350">
        <v>13052542.517288391</v>
      </c>
      <c r="AH61" s="350">
        <v>19653923.864083853</v>
      </c>
      <c r="AI61" s="350">
        <v>26305108.443817914</v>
      </c>
      <c r="AJ61" s="350">
        <v>33007055.450840883</v>
      </c>
      <c r="AK61" s="348">
        <v>98519375.796482354</v>
      </c>
      <c r="AL61" s="369"/>
      <c r="AM61" s="350">
        <v>7944924.3648207635</v>
      </c>
      <c r="AN61" s="350">
        <v>17319301.015741821</v>
      </c>
      <c r="AO61" s="350">
        <v>26461223.09508846</v>
      </c>
      <c r="AP61" s="350">
        <v>35365406.874303423</v>
      </c>
      <c r="AQ61" s="350">
        <v>44029383.227022633</v>
      </c>
      <c r="AR61" s="348">
        <v>131120238.57697709</v>
      </c>
      <c r="AS61" s="369"/>
      <c r="AT61" s="350">
        <f t="shared" si="50"/>
        <v>1444178.8443694543</v>
      </c>
      <c r="AU61" s="350">
        <f t="shared" si="34"/>
        <v>4266758.4984534308</v>
      </c>
      <c r="AV61" s="350">
        <f t="shared" si="35"/>
        <v>6807299.2310046069</v>
      </c>
      <c r="AW61" s="350">
        <f t="shared" si="36"/>
        <v>9060298.4304855093</v>
      </c>
      <c r="AX61" s="350">
        <f t="shared" si="37"/>
        <v>11022327.77618175</v>
      </c>
      <c r="AY61" s="350">
        <f t="shared" si="38"/>
        <v>32600862.780494735</v>
      </c>
      <c r="AZ61" s="365"/>
      <c r="BA61" s="377">
        <f t="shared" si="51"/>
        <v>0</v>
      </c>
      <c r="BB61" s="377">
        <f t="shared" si="39"/>
        <v>0</v>
      </c>
      <c r="BC61" s="377">
        <f t="shared" si="40"/>
        <v>0</v>
      </c>
      <c r="BD61" s="377">
        <f t="shared" si="41"/>
        <v>0</v>
      </c>
      <c r="BE61" s="377">
        <f t="shared" si="42"/>
        <v>0</v>
      </c>
      <c r="BF61" s="377">
        <f t="shared" si="43"/>
        <v>0</v>
      </c>
      <c r="BG61" s="328"/>
    </row>
    <row r="62" spans="2:59">
      <c r="B62" s="332">
        <v>47</v>
      </c>
      <c r="C62" s="350">
        <v>6766314.1356572639</v>
      </c>
      <c r="D62" s="350">
        <v>12755384.308309682</v>
      </c>
      <c r="E62" s="350">
        <v>18789543.326744929</v>
      </c>
      <c r="F62" s="350">
        <v>24869206.421015926</v>
      </c>
      <c r="G62" s="350">
        <v>30995344.011208259</v>
      </c>
      <c r="H62" s="348">
        <v>94175792.202936053</v>
      </c>
      <c r="I62" s="369"/>
      <c r="J62" s="350">
        <v>7620363.6878773719</v>
      </c>
      <c r="K62" s="350">
        <v>15273485.202987459</v>
      </c>
      <c r="L62" s="350">
        <v>22724787.341743834</v>
      </c>
      <c r="M62" s="350">
        <v>29968886.728490844</v>
      </c>
      <c r="N62" s="350">
        <v>37002210.432085186</v>
      </c>
      <c r="O62" s="348">
        <v>112589733.39318469</v>
      </c>
      <c r="P62" s="369"/>
      <c r="Q62" s="350">
        <f t="shared" si="44"/>
        <v>854049.55222010799</v>
      </c>
      <c r="R62" s="350">
        <f t="shared" si="45"/>
        <v>2518100.8946777768</v>
      </c>
      <c r="S62" s="350">
        <f t="shared" si="46"/>
        <v>3935244.0149989054</v>
      </c>
      <c r="T62" s="350">
        <f t="shared" si="47"/>
        <v>5099680.3074749187</v>
      </c>
      <c r="U62" s="350">
        <f t="shared" si="48"/>
        <v>6006866.4208769277</v>
      </c>
      <c r="V62" s="350">
        <f t="shared" si="49"/>
        <v>18413941.190248638</v>
      </c>
      <c r="W62" s="365"/>
      <c r="X62" s="377">
        <f t="shared" si="28"/>
        <v>0</v>
      </c>
      <c r="Y62" s="377">
        <f t="shared" si="29"/>
        <v>0</v>
      </c>
      <c r="Z62" s="377">
        <f t="shared" si="30"/>
        <v>0</v>
      </c>
      <c r="AA62" s="377">
        <f t="shared" si="31"/>
        <v>0</v>
      </c>
      <c r="AB62" s="377">
        <f t="shared" si="32"/>
        <v>0</v>
      </c>
      <c r="AC62" s="377">
        <f t="shared" si="33"/>
        <v>0</v>
      </c>
      <c r="AD62" s="376"/>
      <c r="AE62" s="332">
        <v>47</v>
      </c>
      <c r="AF62" s="350">
        <v>6255398.2874263935</v>
      </c>
      <c r="AG62" s="350">
        <v>12559921.297078796</v>
      </c>
      <c r="AH62" s="350">
        <v>18912157.273934267</v>
      </c>
      <c r="AI62" s="350">
        <v>25312316.840023056</v>
      </c>
      <c r="AJ62" s="350">
        <v>31761322.988358397</v>
      </c>
      <c r="AK62" s="348">
        <v>94801116.686820909</v>
      </c>
      <c r="AL62" s="369"/>
      <c r="AM62" s="350">
        <v>7598875.2782176342</v>
      </c>
      <c r="AN62" s="350">
        <v>16528641.037491146</v>
      </c>
      <c r="AO62" s="350">
        <v>25233341.785581723</v>
      </c>
      <c r="AP62" s="350">
        <v>33707906.275332168</v>
      </c>
      <c r="AQ62" s="350">
        <v>41949911.782414816</v>
      </c>
      <c r="AR62" s="348">
        <v>125018676.1590375</v>
      </c>
      <c r="AS62" s="369"/>
      <c r="AT62" s="350">
        <f t="shared" si="50"/>
        <v>1343476.9907912407</v>
      </c>
      <c r="AU62" s="350">
        <f t="shared" si="34"/>
        <v>3968719.7404123507</v>
      </c>
      <c r="AV62" s="350">
        <f t="shared" si="35"/>
        <v>6321184.5116474554</v>
      </c>
      <c r="AW62" s="350">
        <f t="shared" si="36"/>
        <v>8395589.4353091121</v>
      </c>
      <c r="AX62" s="350">
        <f t="shared" si="37"/>
        <v>10188588.794056419</v>
      </c>
      <c r="AY62" s="350">
        <f t="shared" si="38"/>
        <v>30217559.472216591</v>
      </c>
      <c r="AZ62" s="365"/>
      <c r="BA62" s="377">
        <f t="shared" si="51"/>
        <v>0</v>
      </c>
      <c r="BB62" s="377">
        <f t="shared" si="39"/>
        <v>0</v>
      </c>
      <c r="BC62" s="377">
        <f t="shared" si="40"/>
        <v>0</v>
      </c>
      <c r="BD62" s="377">
        <f t="shared" si="41"/>
        <v>0</v>
      </c>
      <c r="BE62" s="377">
        <f t="shared" si="42"/>
        <v>0</v>
      </c>
      <c r="BF62" s="377">
        <f t="shared" si="43"/>
        <v>0</v>
      </c>
      <c r="BG62" s="328"/>
    </row>
    <row r="63" spans="2:59">
      <c r="B63" s="332">
        <v>48</v>
      </c>
      <c r="C63" s="350">
        <v>8715989.605372116</v>
      </c>
      <c r="D63" s="350">
        <v>16423984.29891512</v>
      </c>
      <c r="E63" s="350">
        <v>24190006.593914513</v>
      </c>
      <c r="F63" s="350">
        <v>32014592.899596438</v>
      </c>
      <c r="G63" s="350">
        <v>39898993.028446451</v>
      </c>
      <c r="H63" s="348">
        <v>121243566.42624463</v>
      </c>
      <c r="I63" s="369"/>
      <c r="J63" s="350">
        <v>9953059.3076965697</v>
      </c>
      <c r="K63" s="350">
        <v>20073769.946457893</v>
      </c>
      <c r="L63" s="350">
        <v>29944329.29190905</v>
      </c>
      <c r="M63" s="350">
        <v>39557550.141125664</v>
      </c>
      <c r="N63" s="350">
        <v>48908744.347103059</v>
      </c>
      <c r="O63" s="348">
        <v>148437453.03429222</v>
      </c>
      <c r="P63" s="369"/>
      <c r="Q63" s="350">
        <f t="shared" si="44"/>
        <v>1237069.7023244537</v>
      </c>
      <c r="R63" s="350">
        <f t="shared" si="45"/>
        <v>3649785.6475427728</v>
      </c>
      <c r="S63" s="350">
        <f t="shared" si="46"/>
        <v>5754322.6979945377</v>
      </c>
      <c r="T63" s="350">
        <f t="shared" si="47"/>
        <v>7542957.2415292263</v>
      </c>
      <c r="U63" s="350">
        <f t="shared" si="48"/>
        <v>9009751.3186566085</v>
      </c>
      <c r="V63" s="350">
        <f t="shared" si="49"/>
        <v>27193886.60804759</v>
      </c>
      <c r="W63" s="365"/>
      <c r="X63" s="377">
        <f t="shared" si="28"/>
        <v>0</v>
      </c>
      <c r="Y63" s="377">
        <f t="shared" si="29"/>
        <v>0</v>
      </c>
      <c r="Z63" s="377">
        <f t="shared" si="30"/>
        <v>0</v>
      </c>
      <c r="AA63" s="377">
        <f t="shared" si="31"/>
        <v>0</v>
      </c>
      <c r="AB63" s="377">
        <f t="shared" si="32"/>
        <v>0</v>
      </c>
      <c r="AC63" s="377">
        <f t="shared" si="33"/>
        <v>0</v>
      </c>
      <c r="AD63" s="376"/>
      <c r="AE63" s="332">
        <v>48</v>
      </c>
      <c r="AF63" s="350">
        <v>5157937.0391726578</v>
      </c>
      <c r="AG63" s="350">
        <v>10356380.248003274</v>
      </c>
      <c r="AH63" s="350">
        <v>15594165.552968716</v>
      </c>
      <c r="AI63" s="350">
        <v>20871466.624093041</v>
      </c>
      <c r="AJ63" s="350">
        <v>26189044.522404037</v>
      </c>
      <c r="AK63" s="348">
        <v>78168993.986641735</v>
      </c>
      <c r="AL63" s="369"/>
      <c r="AM63" s="350">
        <v>6337727.1411490105</v>
      </c>
      <c r="AN63" s="350">
        <v>13842396.396762723</v>
      </c>
      <c r="AO63" s="350">
        <v>21163643.451355197</v>
      </c>
      <c r="AP63" s="350">
        <v>28297266.400132511</v>
      </c>
      <c r="AQ63" s="350">
        <v>35241340.502092481</v>
      </c>
      <c r="AR63" s="348">
        <v>104882373.89149192</v>
      </c>
      <c r="AS63" s="369"/>
      <c r="AT63" s="350">
        <f t="shared" si="50"/>
        <v>1179790.1019763527</v>
      </c>
      <c r="AU63" s="350">
        <f t="shared" si="34"/>
        <v>3486016.1487594489</v>
      </c>
      <c r="AV63" s="350">
        <f t="shared" si="35"/>
        <v>5569477.8983864803</v>
      </c>
      <c r="AW63" s="350">
        <f t="shared" si="36"/>
        <v>7425799.77603947</v>
      </c>
      <c r="AX63" s="350">
        <f t="shared" si="37"/>
        <v>9052295.9796884432</v>
      </c>
      <c r="AY63" s="350">
        <f t="shared" si="38"/>
        <v>26713379.904850185</v>
      </c>
      <c r="AZ63" s="365"/>
      <c r="BA63" s="377">
        <f t="shared" si="51"/>
        <v>0</v>
      </c>
      <c r="BB63" s="377">
        <f t="shared" si="39"/>
        <v>0</v>
      </c>
      <c r="BC63" s="377">
        <f t="shared" si="40"/>
        <v>0</v>
      </c>
      <c r="BD63" s="377">
        <f t="shared" si="41"/>
        <v>0</v>
      </c>
      <c r="BE63" s="377">
        <f t="shared" si="42"/>
        <v>0</v>
      </c>
      <c r="BF63" s="377">
        <f t="shared" si="43"/>
        <v>0</v>
      </c>
      <c r="BG63" s="328"/>
    </row>
    <row r="64" spans="2:59">
      <c r="B64" s="332">
        <v>49</v>
      </c>
      <c r="C64" s="350">
        <v>9221132.4971140251</v>
      </c>
      <c r="D64" s="350">
        <v>17470414.614590213</v>
      </c>
      <c r="E64" s="350">
        <v>25781830.000123024</v>
      </c>
      <c r="F64" s="350">
        <v>34155924.809303209</v>
      </c>
      <c r="G64" s="350">
        <v>42594024.472609073</v>
      </c>
      <c r="H64" s="348">
        <v>129223326.39373955</v>
      </c>
      <c r="I64" s="369"/>
      <c r="J64" s="350">
        <v>10409261.654219687</v>
      </c>
      <c r="K64" s="350">
        <v>20973734.991160844</v>
      </c>
      <c r="L64" s="350">
        <v>31265165.418248672</v>
      </c>
      <c r="M64" s="350">
        <v>41275933.426098004</v>
      </c>
      <c r="N64" s="350">
        <v>51000936.044869199</v>
      </c>
      <c r="O64" s="348">
        <v>154925031.53459638</v>
      </c>
      <c r="P64" s="369"/>
      <c r="Q64" s="350">
        <f t="shared" si="44"/>
        <v>1188129.1571056619</v>
      </c>
      <c r="R64" s="350">
        <f t="shared" si="45"/>
        <v>3503320.3765706308</v>
      </c>
      <c r="S64" s="350">
        <f t="shared" si="46"/>
        <v>5483335.4181256481</v>
      </c>
      <c r="T64" s="350">
        <f t="shared" si="47"/>
        <v>7120008.6167947948</v>
      </c>
      <c r="U64" s="350">
        <f t="shared" si="48"/>
        <v>8406911.5722601265</v>
      </c>
      <c r="V64" s="350">
        <f t="shared" si="49"/>
        <v>25701705.140856832</v>
      </c>
      <c r="W64" s="365"/>
      <c r="X64" s="377">
        <f t="shared" si="28"/>
        <v>0</v>
      </c>
      <c r="Y64" s="377">
        <f t="shared" si="29"/>
        <v>0</v>
      </c>
      <c r="Z64" s="377">
        <f t="shared" si="30"/>
        <v>0</v>
      </c>
      <c r="AA64" s="377">
        <f t="shared" si="31"/>
        <v>0</v>
      </c>
      <c r="AB64" s="377">
        <f t="shared" si="32"/>
        <v>0</v>
      </c>
      <c r="AC64" s="377">
        <f t="shared" si="33"/>
        <v>0</v>
      </c>
      <c r="AD64" s="376"/>
      <c r="AE64" s="332">
        <v>49</v>
      </c>
      <c r="AF64" s="350">
        <v>5925884.4902115194</v>
      </c>
      <c r="AG64" s="350">
        <v>11898305.973936334</v>
      </c>
      <c r="AH64" s="350">
        <v>17915927.062760472</v>
      </c>
      <c r="AI64" s="350">
        <v>23978947.283838712</v>
      </c>
      <c r="AJ64" s="350">
        <v>30088241.009949639</v>
      </c>
      <c r="AK64" s="348">
        <v>89807305.820696682</v>
      </c>
      <c r="AL64" s="369"/>
      <c r="AM64" s="350">
        <v>6840823.2746958286</v>
      </c>
      <c r="AN64" s="350">
        <v>14596931.021264974</v>
      </c>
      <c r="AO64" s="350">
        <v>22129114.168615211</v>
      </c>
      <c r="AP64" s="350">
        <v>29432669.796336401</v>
      </c>
      <c r="AQ64" s="350">
        <v>36504940.465872005</v>
      </c>
      <c r="AR64" s="348">
        <v>109504478.72678442</v>
      </c>
      <c r="AS64" s="369"/>
      <c r="AT64" s="350">
        <f t="shared" si="50"/>
        <v>914938.78448430914</v>
      </c>
      <c r="AU64" s="350">
        <f t="shared" si="34"/>
        <v>2698625.0473286398</v>
      </c>
      <c r="AV64" s="350">
        <f t="shared" si="35"/>
        <v>4213187.1058547385</v>
      </c>
      <c r="AW64" s="350">
        <f t="shared" si="36"/>
        <v>5453722.5124976896</v>
      </c>
      <c r="AX64" s="350">
        <f t="shared" si="37"/>
        <v>6416699.4559223652</v>
      </c>
      <c r="AY64" s="350">
        <f t="shared" si="38"/>
        <v>19697172.906087741</v>
      </c>
      <c r="AZ64" s="365"/>
      <c r="BA64" s="377">
        <f t="shared" si="51"/>
        <v>0</v>
      </c>
      <c r="BB64" s="377">
        <f t="shared" si="39"/>
        <v>0</v>
      </c>
      <c r="BC64" s="377">
        <f t="shared" si="40"/>
        <v>0</v>
      </c>
      <c r="BD64" s="377">
        <f t="shared" si="41"/>
        <v>0</v>
      </c>
      <c r="BE64" s="377">
        <f t="shared" si="42"/>
        <v>0</v>
      </c>
      <c r="BF64" s="377">
        <f t="shared" si="43"/>
        <v>0</v>
      </c>
      <c r="BG64" s="328"/>
    </row>
    <row r="65" spans="2:59">
      <c r="B65" s="332">
        <v>50</v>
      </c>
      <c r="C65" s="350">
        <v>8902311.253445331</v>
      </c>
      <c r="D65" s="350">
        <v>16751804.030813422</v>
      </c>
      <c r="E65" s="350">
        <v>24660382.077456094</v>
      </c>
      <c r="F65" s="350">
        <v>32628598.522404306</v>
      </c>
      <c r="G65" s="350">
        <v>40657729.111674353</v>
      </c>
      <c r="H65" s="348">
        <v>123600824.99579351</v>
      </c>
      <c r="I65" s="369"/>
      <c r="J65" s="350">
        <v>10286304.107767697</v>
      </c>
      <c r="K65" s="350">
        <v>20836987.404127166</v>
      </c>
      <c r="L65" s="350">
        <v>31129545.399313394</v>
      </c>
      <c r="M65" s="350">
        <v>41156927.543528631</v>
      </c>
      <c r="N65" s="350">
        <v>50914796.500831142</v>
      </c>
      <c r="O65" s="348">
        <v>154324560.95556802</v>
      </c>
      <c r="P65" s="369"/>
      <c r="Q65" s="350">
        <f t="shared" si="44"/>
        <v>1383992.8543223664</v>
      </c>
      <c r="R65" s="350">
        <f t="shared" si="45"/>
        <v>4085183.3733137436</v>
      </c>
      <c r="S65" s="350">
        <f t="shared" si="46"/>
        <v>6469163.3218572997</v>
      </c>
      <c r="T65" s="350">
        <f t="shared" si="47"/>
        <v>8528329.0211243257</v>
      </c>
      <c r="U65" s="350">
        <f t="shared" si="48"/>
        <v>10257067.389156789</v>
      </c>
      <c r="V65" s="350">
        <f t="shared" si="49"/>
        <v>30723735.959774509</v>
      </c>
      <c r="W65" s="365"/>
      <c r="X65" s="377">
        <f t="shared" si="28"/>
        <v>0</v>
      </c>
      <c r="Y65" s="377">
        <f t="shared" si="29"/>
        <v>0</v>
      </c>
      <c r="Z65" s="377">
        <f t="shared" si="30"/>
        <v>0</v>
      </c>
      <c r="AA65" s="377">
        <f t="shared" si="31"/>
        <v>0</v>
      </c>
      <c r="AB65" s="377">
        <f t="shared" si="32"/>
        <v>0</v>
      </c>
      <c r="AC65" s="377">
        <f t="shared" si="33"/>
        <v>0</v>
      </c>
      <c r="AD65" s="376"/>
      <c r="AE65" s="332">
        <v>50</v>
      </c>
      <c r="AF65" s="350">
        <v>7422560.636086965</v>
      </c>
      <c r="AG65" s="350">
        <v>14903411.921737587</v>
      </c>
      <c r="AH65" s="350">
        <v>22440878.689875439</v>
      </c>
      <c r="AI65" s="350">
        <v>30035210.86140386</v>
      </c>
      <c r="AJ65" s="350">
        <v>37687503.645819142</v>
      </c>
      <c r="AK65" s="348">
        <v>112489565.754923</v>
      </c>
      <c r="AL65" s="369"/>
      <c r="AM65" s="350">
        <v>8531128.3824822549</v>
      </c>
      <c r="AN65" s="350">
        <v>18172541.919642612</v>
      </c>
      <c r="AO65" s="350">
        <v>27532353.407876264</v>
      </c>
      <c r="AP65" s="350">
        <v>36604682.722803712</v>
      </c>
      <c r="AQ65" s="350">
        <v>45386163.31614168</v>
      </c>
      <c r="AR65" s="348">
        <v>136226869.74894652</v>
      </c>
      <c r="AS65" s="369"/>
      <c r="AT65" s="350">
        <f t="shared" si="50"/>
        <v>1108567.7463952899</v>
      </c>
      <c r="AU65" s="350">
        <f t="shared" si="34"/>
        <v>3269129.9979050253</v>
      </c>
      <c r="AV65" s="350">
        <f t="shared" si="35"/>
        <v>5091474.7180008255</v>
      </c>
      <c r="AW65" s="350">
        <f t="shared" si="36"/>
        <v>6569471.8613998517</v>
      </c>
      <c r="AX65" s="350">
        <f t="shared" si="37"/>
        <v>7698659.6703225374</v>
      </c>
      <c r="AY65" s="350">
        <f t="shared" si="38"/>
        <v>23737303.994023517</v>
      </c>
      <c r="AZ65" s="365"/>
      <c r="BA65" s="377">
        <f t="shared" si="51"/>
        <v>0</v>
      </c>
      <c r="BB65" s="377">
        <f t="shared" si="39"/>
        <v>0</v>
      </c>
      <c r="BC65" s="377">
        <f t="shared" si="40"/>
        <v>0</v>
      </c>
      <c r="BD65" s="377">
        <f t="shared" si="41"/>
        <v>0</v>
      </c>
      <c r="BE65" s="377">
        <f t="shared" si="42"/>
        <v>0</v>
      </c>
      <c r="BF65" s="377">
        <f t="shared" si="43"/>
        <v>0</v>
      </c>
      <c r="BG65" s="328"/>
    </row>
    <row r="66" spans="2:59">
      <c r="B66" s="332">
        <v>51</v>
      </c>
      <c r="C66" s="350">
        <v>6255658.3184742071</v>
      </c>
      <c r="D66" s="350">
        <v>11722298.729177102</v>
      </c>
      <c r="E66" s="350">
        <v>17230071.99572064</v>
      </c>
      <c r="F66" s="350">
        <v>22779377.906302378</v>
      </c>
      <c r="G66" s="350">
        <v>28371111.27160126</v>
      </c>
      <c r="H66" s="348">
        <v>86358518.221275583</v>
      </c>
      <c r="I66" s="369"/>
      <c r="J66" s="350">
        <v>7232979.611052026</v>
      </c>
      <c r="K66" s="350">
        <v>14607288.686389703</v>
      </c>
      <c r="L66" s="350">
        <v>21807912.753768031</v>
      </c>
      <c r="M66" s="350">
        <v>28829731.17447545</v>
      </c>
      <c r="N66" s="350">
        <v>35669513.364571683</v>
      </c>
      <c r="O66" s="348">
        <v>108147425.5902569</v>
      </c>
      <c r="P66" s="369"/>
      <c r="Q66" s="350">
        <f t="shared" si="44"/>
        <v>977321.29257781897</v>
      </c>
      <c r="R66" s="350">
        <f t="shared" si="45"/>
        <v>2884989.9572126009</v>
      </c>
      <c r="S66" s="350">
        <f t="shared" si="46"/>
        <v>4577840.7580473907</v>
      </c>
      <c r="T66" s="350">
        <f t="shared" si="47"/>
        <v>6050353.2681730725</v>
      </c>
      <c r="U66" s="350">
        <f t="shared" si="48"/>
        <v>7298402.0929704234</v>
      </c>
      <c r="V66" s="350">
        <f t="shared" si="49"/>
        <v>21788907.368981317</v>
      </c>
      <c r="W66" s="365"/>
      <c r="X66" s="377">
        <f t="shared" si="28"/>
        <v>0</v>
      </c>
      <c r="Y66" s="377">
        <f t="shared" si="29"/>
        <v>0</v>
      </c>
      <c r="Z66" s="377">
        <f t="shared" si="30"/>
        <v>0</v>
      </c>
      <c r="AA66" s="377">
        <f t="shared" si="31"/>
        <v>0</v>
      </c>
      <c r="AB66" s="377">
        <f t="shared" si="32"/>
        <v>0</v>
      </c>
      <c r="AC66" s="377">
        <f t="shared" si="33"/>
        <v>0</v>
      </c>
      <c r="AD66" s="376"/>
      <c r="AE66" s="332">
        <v>51</v>
      </c>
      <c r="AF66" s="350">
        <v>6071213.5798536297</v>
      </c>
      <c r="AG66" s="350">
        <v>12190105.44764051</v>
      </c>
      <c r="AH66" s="350">
        <v>18355305.416224211</v>
      </c>
      <c r="AI66" s="350">
        <v>24567017.906054314</v>
      </c>
      <c r="AJ66" s="350">
        <v>30826138.73342558</v>
      </c>
      <c r="AK66" s="348">
        <v>92009781.083198249</v>
      </c>
      <c r="AL66" s="369"/>
      <c r="AM66" s="350">
        <v>7316290.6432306562</v>
      </c>
      <c r="AN66" s="350">
        <v>15867460.360728741</v>
      </c>
      <c r="AO66" s="350">
        <v>24198429.559327111</v>
      </c>
      <c r="AP66" s="350">
        <v>32304292.953107521</v>
      </c>
      <c r="AQ66" s="350">
        <v>40182639.559147403</v>
      </c>
      <c r="AR66" s="348">
        <v>119869113.07554142</v>
      </c>
      <c r="AS66" s="369"/>
      <c r="AT66" s="350">
        <f t="shared" si="50"/>
        <v>1245077.0633770265</v>
      </c>
      <c r="AU66" s="350">
        <f t="shared" si="34"/>
        <v>3677354.9130882304</v>
      </c>
      <c r="AV66" s="350">
        <f t="shared" si="35"/>
        <v>5843124.1431028992</v>
      </c>
      <c r="AW66" s="350">
        <f t="shared" si="36"/>
        <v>7737275.0470532067</v>
      </c>
      <c r="AX66" s="350">
        <f t="shared" si="37"/>
        <v>9356500.8257218227</v>
      </c>
      <c r="AY66" s="350">
        <f t="shared" si="38"/>
        <v>27859331.992343172</v>
      </c>
      <c r="AZ66" s="365"/>
      <c r="BA66" s="377">
        <f t="shared" si="51"/>
        <v>0</v>
      </c>
      <c r="BB66" s="377">
        <f t="shared" si="39"/>
        <v>0</v>
      </c>
      <c r="BC66" s="377">
        <f t="shared" si="40"/>
        <v>0</v>
      </c>
      <c r="BD66" s="377">
        <f t="shared" si="41"/>
        <v>0</v>
      </c>
      <c r="BE66" s="377">
        <f t="shared" si="42"/>
        <v>0</v>
      </c>
      <c r="BF66" s="377">
        <f t="shared" si="43"/>
        <v>0</v>
      </c>
      <c r="BG66" s="328"/>
    </row>
    <row r="67" spans="2:59">
      <c r="B67" s="332">
        <v>52</v>
      </c>
      <c r="C67" s="350">
        <v>9752454.6599067394</v>
      </c>
      <c r="D67" s="350">
        <v>18542844.774135768</v>
      </c>
      <c r="E67" s="350">
        <v>27399464.891121052</v>
      </c>
      <c r="F67" s="350">
        <v>36322877.789470233</v>
      </c>
      <c r="G67" s="350">
        <v>45314487.486012109</v>
      </c>
      <c r="H67" s="348">
        <v>137332129.6006459</v>
      </c>
      <c r="I67" s="369"/>
      <c r="J67" s="350">
        <v>10998237.950297201</v>
      </c>
      <c r="K67" s="350">
        <v>22215792.718722057</v>
      </c>
      <c r="L67" s="350">
        <v>33135816.400695533</v>
      </c>
      <c r="M67" s="350">
        <v>43750392.491352782</v>
      </c>
      <c r="N67" s="350">
        <v>54054279.573579967</v>
      </c>
      <c r="O67" s="348">
        <v>164154519.13464755</v>
      </c>
      <c r="P67" s="369"/>
      <c r="Q67" s="350">
        <f t="shared" si="44"/>
        <v>1245783.2903904617</v>
      </c>
      <c r="R67" s="350">
        <f t="shared" si="45"/>
        <v>3672947.9445862882</v>
      </c>
      <c r="S67" s="350">
        <f t="shared" si="46"/>
        <v>5736351.5095744804</v>
      </c>
      <c r="T67" s="350">
        <f t="shared" si="47"/>
        <v>7427514.7018825486</v>
      </c>
      <c r="U67" s="350">
        <f t="shared" si="48"/>
        <v>8739792.0875678584</v>
      </c>
      <c r="V67" s="350">
        <f t="shared" si="49"/>
        <v>26822389.534001648</v>
      </c>
      <c r="W67" s="365"/>
      <c r="X67" s="377">
        <f t="shared" si="28"/>
        <v>0</v>
      </c>
      <c r="Y67" s="377">
        <f t="shared" si="29"/>
        <v>0</v>
      </c>
      <c r="Z67" s="377">
        <f t="shared" si="30"/>
        <v>0</v>
      </c>
      <c r="AA67" s="377">
        <f t="shared" si="31"/>
        <v>0</v>
      </c>
      <c r="AB67" s="377">
        <f t="shared" si="32"/>
        <v>0</v>
      </c>
      <c r="AC67" s="377">
        <f t="shared" si="33"/>
        <v>0</v>
      </c>
      <c r="AD67" s="376"/>
      <c r="AE67" s="332">
        <v>52</v>
      </c>
      <c r="AF67" s="350">
        <v>6867730.0511465091</v>
      </c>
      <c r="AG67" s="350">
        <v>13789393.571527729</v>
      </c>
      <c r="AH67" s="350">
        <v>20763440.611492112</v>
      </c>
      <c r="AI67" s="350">
        <v>27790102.410551533</v>
      </c>
      <c r="AJ67" s="350">
        <v>34870392.312151566</v>
      </c>
      <c r="AK67" s="348">
        <v>104081058.95686945</v>
      </c>
      <c r="AL67" s="369"/>
      <c r="AM67" s="350">
        <v>8109637.8131504133</v>
      </c>
      <c r="AN67" s="350">
        <v>17455357.976245821</v>
      </c>
      <c r="AO67" s="350">
        <v>26547001.018181011</v>
      </c>
      <c r="AP67" s="350">
        <v>35379065.19858472</v>
      </c>
      <c r="AQ67" s="350">
        <v>43948654.580576137</v>
      </c>
      <c r="AR67" s="348">
        <v>131439716.58673809</v>
      </c>
      <c r="AS67" s="369"/>
      <c r="AT67" s="350">
        <f t="shared" si="50"/>
        <v>1241907.7620039042</v>
      </c>
      <c r="AU67" s="350">
        <f t="shared" si="34"/>
        <v>3665964.4047180917</v>
      </c>
      <c r="AV67" s="350">
        <f t="shared" si="35"/>
        <v>5783560.4066888988</v>
      </c>
      <c r="AW67" s="350">
        <f t="shared" si="36"/>
        <v>7588962.7880331874</v>
      </c>
      <c r="AX67" s="350">
        <f t="shared" si="37"/>
        <v>9078262.2684245706</v>
      </c>
      <c r="AY67" s="350">
        <f t="shared" si="38"/>
        <v>27358657.629868641</v>
      </c>
      <c r="AZ67" s="365"/>
      <c r="BA67" s="377">
        <f t="shared" si="51"/>
        <v>0</v>
      </c>
      <c r="BB67" s="377">
        <f t="shared" si="39"/>
        <v>0</v>
      </c>
      <c r="BC67" s="377">
        <f t="shared" si="40"/>
        <v>0</v>
      </c>
      <c r="BD67" s="377">
        <f t="shared" si="41"/>
        <v>0</v>
      </c>
      <c r="BE67" s="377">
        <f t="shared" si="42"/>
        <v>0</v>
      </c>
      <c r="BF67" s="377">
        <f t="shared" si="43"/>
        <v>0</v>
      </c>
      <c r="BG67" s="328"/>
    </row>
    <row r="68" spans="2:59">
      <c r="B68" s="332">
        <v>53</v>
      </c>
      <c r="C68" s="350">
        <v>7082808.6602225434</v>
      </c>
      <c r="D68" s="350">
        <v>13364956.774613386</v>
      </c>
      <c r="E68" s="350">
        <v>19694404.379144643</v>
      </c>
      <c r="F68" s="350">
        <v>26071583.206111059</v>
      </c>
      <c r="G68" s="350">
        <v>32497509.502686344</v>
      </c>
      <c r="H68" s="348">
        <v>98711262.522777975</v>
      </c>
      <c r="I68" s="369"/>
      <c r="J68" s="350">
        <v>7937911.4935645731</v>
      </c>
      <c r="K68" s="350">
        <v>15885449.792414181</v>
      </c>
      <c r="L68" s="350">
        <v>23626554.099226974</v>
      </c>
      <c r="M68" s="350">
        <v>31155318.710744888</v>
      </c>
      <c r="N68" s="350">
        <v>38467676.1559131</v>
      </c>
      <c r="O68" s="348">
        <v>117072910.25186372</v>
      </c>
      <c r="P68" s="369"/>
      <c r="Q68" s="350">
        <f t="shared" si="44"/>
        <v>855102.83334202971</v>
      </c>
      <c r="R68" s="350">
        <f t="shared" si="45"/>
        <v>2520493.0178007949</v>
      </c>
      <c r="S68" s="350">
        <f t="shared" si="46"/>
        <v>3932149.7200823314</v>
      </c>
      <c r="T68" s="350">
        <f t="shared" si="47"/>
        <v>5083735.504633829</v>
      </c>
      <c r="U68" s="350">
        <f t="shared" si="48"/>
        <v>5970166.6532267556</v>
      </c>
      <c r="V68" s="350">
        <f t="shared" si="49"/>
        <v>18361647.729085743</v>
      </c>
      <c r="W68" s="365"/>
      <c r="X68" s="377">
        <f t="shared" si="28"/>
        <v>0</v>
      </c>
      <c r="Y68" s="377">
        <f t="shared" si="29"/>
        <v>0</v>
      </c>
      <c r="Z68" s="377">
        <f t="shared" si="30"/>
        <v>0</v>
      </c>
      <c r="AA68" s="377">
        <f t="shared" si="31"/>
        <v>0</v>
      </c>
      <c r="AB68" s="377">
        <f t="shared" si="32"/>
        <v>0</v>
      </c>
      <c r="AC68" s="377">
        <f t="shared" si="33"/>
        <v>0</v>
      </c>
      <c r="AD68" s="376"/>
      <c r="AE68" s="332">
        <v>53</v>
      </c>
      <c r="AF68" s="350">
        <v>5887498.1542704646</v>
      </c>
      <c r="AG68" s="350">
        <v>11821231.847533869</v>
      </c>
      <c r="AH68" s="350">
        <v>17799872.354629975</v>
      </c>
      <c r="AI68" s="350">
        <v>23823617.910228632</v>
      </c>
      <c r="AJ68" s="350">
        <v>29893337.223149359</v>
      </c>
      <c r="AK68" s="348">
        <v>89225557.4898123</v>
      </c>
      <c r="AL68" s="369"/>
      <c r="AM68" s="350">
        <v>6882999.5617920682</v>
      </c>
      <c r="AN68" s="350">
        <v>14758877.943024695</v>
      </c>
      <c r="AO68" s="350">
        <v>22414872.633810245</v>
      </c>
      <c r="AP68" s="350">
        <v>29846286.715633117</v>
      </c>
      <c r="AQ68" s="350">
        <v>37050567.557575248</v>
      </c>
      <c r="AR68" s="348">
        <v>110953604.41183537</v>
      </c>
      <c r="AS68" s="369"/>
      <c r="AT68" s="350">
        <f t="shared" si="50"/>
        <v>995501.40752160363</v>
      </c>
      <c r="AU68" s="350">
        <f t="shared" si="34"/>
        <v>2937646.0954908263</v>
      </c>
      <c r="AV68" s="350">
        <f t="shared" si="35"/>
        <v>4615000.2791802697</v>
      </c>
      <c r="AW68" s="350">
        <f t="shared" si="36"/>
        <v>6022668.8054044843</v>
      </c>
      <c r="AX68" s="350">
        <f t="shared" si="37"/>
        <v>7157230.334425889</v>
      </c>
      <c r="AY68" s="350">
        <f t="shared" si="38"/>
        <v>21728046.922023073</v>
      </c>
      <c r="AZ68" s="365"/>
      <c r="BA68" s="377">
        <f t="shared" si="51"/>
        <v>0</v>
      </c>
      <c r="BB68" s="377">
        <f t="shared" si="39"/>
        <v>0</v>
      </c>
      <c r="BC68" s="377">
        <f t="shared" si="40"/>
        <v>0</v>
      </c>
      <c r="BD68" s="377">
        <f t="shared" si="41"/>
        <v>0</v>
      </c>
      <c r="BE68" s="377">
        <f t="shared" si="42"/>
        <v>0</v>
      </c>
      <c r="BF68" s="377">
        <f t="shared" si="43"/>
        <v>0</v>
      </c>
      <c r="BG68" s="328"/>
    </row>
    <row r="69" spans="2:59">
      <c r="B69" s="332">
        <v>54</v>
      </c>
      <c r="C69" s="350">
        <v>7830786.7421305832</v>
      </c>
      <c r="D69" s="350">
        <v>14579122.304923248</v>
      </c>
      <c r="E69" s="350">
        <v>21378203.470707677</v>
      </c>
      <c r="F69" s="350">
        <v>28228552.078375977</v>
      </c>
      <c r="G69" s="350">
        <v>35131285.054547891</v>
      </c>
      <c r="H69" s="348">
        <v>107147949.65068537</v>
      </c>
      <c r="I69" s="369"/>
      <c r="J69" s="350">
        <v>8954870.4832812175</v>
      </c>
      <c r="K69" s="350">
        <v>17896212.683222536</v>
      </c>
      <c r="L69" s="350">
        <v>26617341.34434171</v>
      </c>
      <c r="M69" s="350">
        <v>35112120.440984391</v>
      </c>
      <c r="N69" s="350">
        <v>43376629.569811404</v>
      </c>
      <c r="O69" s="348">
        <v>131957174.52164125</v>
      </c>
      <c r="P69" s="369"/>
      <c r="Q69" s="350">
        <f t="shared" si="44"/>
        <v>1124083.7411506344</v>
      </c>
      <c r="R69" s="350">
        <f t="shared" si="45"/>
        <v>3317090.3782992885</v>
      </c>
      <c r="S69" s="350">
        <f t="shared" si="46"/>
        <v>5239137.8736340329</v>
      </c>
      <c r="T69" s="350">
        <f t="shared" si="47"/>
        <v>6883568.3626084141</v>
      </c>
      <c r="U69" s="350">
        <f t="shared" si="48"/>
        <v>8245344.5152635127</v>
      </c>
      <c r="V69" s="350">
        <f t="shared" si="49"/>
        <v>24809224.870955884</v>
      </c>
      <c r="W69" s="365"/>
      <c r="X69" s="377">
        <f t="shared" si="28"/>
        <v>0</v>
      </c>
      <c r="Y69" s="377">
        <f t="shared" si="29"/>
        <v>0</v>
      </c>
      <c r="Z69" s="377">
        <f t="shared" si="30"/>
        <v>0</v>
      </c>
      <c r="AA69" s="377">
        <f t="shared" si="31"/>
        <v>0</v>
      </c>
      <c r="AB69" s="377">
        <f t="shared" si="32"/>
        <v>0</v>
      </c>
      <c r="AC69" s="377">
        <f t="shared" si="33"/>
        <v>0</v>
      </c>
      <c r="AD69" s="376"/>
      <c r="AE69" s="332">
        <v>54</v>
      </c>
      <c r="AF69" s="350">
        <v>9112192.9087379109</v>
      </c>
      <c r="AG69" s="350">
        <v>18295945.440851253</v>
      </c>
      <c r="AH69" s="350">
        <v>27549201.103129238</v>
      </c>
      <c r="AI69" s="350">
        <v>36872266.707141995</v>
      </c>
      <c r="AJ69" s="350">
        <v>46266486.770057529</v>
      </c>
      <c r="AK69" s="348">
        <v>138096092.92991793</v>
      </c>
      <c r="AL69" s="369"/>
      <c r="AM69" s="350">
        <v>10821338.993555199</v>
      </c>
      <c r="AN69" s="350">
        <v>23341990.347082723</v>
      </c>
      <c r="AO69" s="350">
        <v>35527366.851512834</v>
      </c>
      <c r="AP69" s="350">
        <v>47370151.369865909</v>
      </c>
      <c r="AQ69" s="350">
        <v>58866563.685908683</v>
      </c>
      <c r="AR69" s="348">
        <v>175927411.24792534</v>
      </c>
      <c r="AS69" s="369"/>
      <c r="AT69" s="350">
        <f t="shared" si="50"/>
        <v>1709146.0848172884</v>
      </c>
      <c r="AU69" s="350">
        <f t="shared" si="34"/>
        <v>5046044.9062314704</v>
      </c>
      <c r="AV69" s="350">
        <f t="shared" si="35"/>
        <v>7978165.7483835965</v>
      </c>
      <c r="AW69" s="350">
        <f t="shared" si="36"/>
        <v>10497884.662723914</v>
      </c>
      <c r="AX69" s="350">
        <f t="shared" si="37"/>
        <v>12600076.915851153</v>
      </c>
      <c r="AY69" s="350">
        <f t="shared" si="38"/>
        <v>37831318.31800741</v>
      </c>
      <c r="AZ69" s="365"/>
      <c r="BA69" s="377">
        <f t="shared" si="51"/>
        <v>0</v>
      </c>
      <c r="BB69" s="377">
        <f t="shared" si="39"/>
        <v>0</v>
      </c>
      <c r="BC69" s="377">
        <f t="shared" si="40"/>
        <v>0</v>
      </c>
      <c r="BD69" s="377">
        <f t="shared" si="41"/>
        <v>0</v>
      </c>
      <c r="BE69" s="377">
        <f t="shared" si="42"/>
        <v>0</v>
      </c>
      <c r="BF69" s="377">
        <f t="shared" si="43"/>
        <v>0</v>
      </c>
      <c r="BG69" s="328"/>
    </row>
    <row r="70" spans="2:59">
      <c r="B70" s="332">
        <v>55</v>
      </c>
      <c r="C70" s="350">
        <v>7874606.7768749893</v>
      </c>
      <c r="D70" s="350">
        <v>14793478.847938614</v>
      </c>
      <c r="E70" s="350">
        <v>21764423.182576444</v>
      </c>
      <c r="F70" s="350">
        <v>28787934.574667066</v>
      </c>
      <c r="G70" s="350">
        <v>35865140.671552256</v>
      </c>
      <c r="H70" s="348">
        <v>109085584.05360937</v>
      </c>
      <c r="I70" s="369"/>
      <c r="J70" s="350">
        <v>8978344.2330361083</v>
      </c>
      <c r="K70" s="350">
        <v>18049796.801106259</v>
      </c>
      <c r="L70" s="350">
        <v>26896719.343450774</v>
      </c>
      <c r="M70" s="350">
        <v>35512677.147379026</v>
      </c>
      <c r="N70" s="350">
        <v>43893462.362285659</v>
      </c>
      <c r="O70" s="348">
        <v>133330999.88725783</v>
      </c>
      <c r="P70" s="369"/>
      <c r="Q70" s="350">
        <f t="shared" si="44"/>
        <v>1103737.456161119</v>
      </c>
      <c r="R70" s="350">
        <f t="shared" si="45"/>
        <v>3256317.9531676453</v>
      </c>
      <c r="S70" s="350">
        <f t="shared" si="46"/>
        <v>5132296.1608743295</v>
      </c>
      <c r="T70" s="350">
        <f t="shared" si="47"/>
        <v>6724742.5727119595</v>
      </c>
      <c r="U70" s="350">
        <f t="shared" si="48"/>
        <v>8028321.690733403</v>
      </c>
      <c r="V70" s="350">
        <f t="shared" si="49"/>
        <v>24245415.833648458</v>
      </c>
      <c r="W70" s="365"/>
      <c r="X70" s="377">
        <f t="shared" si="28"/>
        <v>0</v>
      </c>
      <c r="Y70" s="377">
        <f t="shared" si="29"/>
        <v>0</v>
      </c>
      <c r="Z70" s="377">
        <f t="shared" si="30"/>
        <v>0</v>
      </c>
      <c r="AA70" s="377">
        <f t="shared" si="31"/>
        <v>0</v>
      </c>
      <c r="AB70" s="377">
        <f t="shared" si="32"/>
        <v>0</v>
      </c>
      <c r="AC70" s="377">
        <f t="shared" si="33"/>
        <v>0</v>
      </c>
      <c r="AD70" s="376"/>
      <c r="AE70" s="332">
        <v>55</v>
      </c>
      <c r="AF70" s="350">
        <v>3448273.5941042094</v>
      </c>
      <c r="AG70" s="350">
        <v>6923627.0758008901</v>
      </c>
      <c r="AH70" s="350">
        <v>10425282.218453905</v>
      </c>
      <c r="AI70" s="350">
        <v>13953355.126962068</v>
      </c>
      <c r="AJ70" s="350">
        <v>17508354.599053178</v>
      </c>
      <c r="AK70" s="348">
        <v>52258892.61437425</v>
      </c>
      <c r="AL70" s="369"/>
      <c r="AM70" s="350">
        <v>4068832.8814722532</v>
      </c>
      <c r="AN70" s="350">
        <v>8755403.0078947805</v>
      </c>
      <c r="AO70" s="350">
        <v>13314311.662506737</v>
      </c>
      <c r="AP70" s="350">
        <v>17742797.280962162</v>
      </c>
      <c r="AQ70" s="350">
        <v>22039402.780687883</v>
      </c>
      <c r="AR70" s="348">
        <v>65920747.613523811</v>
      </c>
      <c r="AS70" s="369"/>
      <c r="AT70" s="350">
        <f t="shared" si="50"/>
        <v>620559.28736804379</v>
      </c>
      <c r="AU70" s="350">
        <f t="shared" si="34"/>
        <v>1831775.9320938904</v>
      </c>
      <c r="AV70" s="350">
        <f t="shared" si="35"/>
        <v>2889029.4440528322</v>
      </c>
      <c r="AW70" s="350">
        <f t="shared" si="36"/>
        <v>3789442.1540000942</v>
      </c>
      <c r="AX70" s="350">
        <f t="shared" si="37"/>
        <v>4531048.1816347055</v>
      </c>
      <c r="AY70" s="350">
        <f t="shared" si="38"/>
        <v>13661854.999149561</v>
      </c>
      <c r="AZ70" s="365"/>
      <c r="BA70" s="377">
        <f t="shared" si="51"/>
        <v>0</v>
      </c>
      <c r="BB70" s="377">
        <f t="shared" si="39"/>
        <v>0</v>
      </c>
      <c r="BC70" s="377">
        <f t="shared" si="40"/>
        <v>0</v>
      </c>
      <c r="BD70" s="377">
        <f t="shared" si="41"/>
        <v>0</v>
      </c>
      <c r="BE70" s="377">
        <f t="shared" si="42"/>
        <v>0</v>
      </c>
      <c r="BF70" s="377">
        <f t="shared" si="43"/>
        <v>0</v>
      </c>
      <c r="BG70" s="328"/>
    </row>
    <row r="71" spans="2:59">
      <c r="B71" s="332">
        <v>56</v>
      </c>
      <c r="C71" s="350">
        <v>10073639.424920022</v>
      </c>
      <c r="D71" s="350">
        <v>18757880.327463523</v>
      </c>
      <c r="E71" s="350">
        <v>27507425.329612609</v>
      </c>
      <c r="F71" s="350">
        <v>36322945.036901586</v>
      </c>
      <c r="G71" s="350">
        <v>45205876.383981399</v>
      </c>
      <c r="H71" s="348">
        <v>137867766.50287914</v>
      </c>
      <c r="I71" s="369"/>
      <c r="J71" s="350">
        <v>11519309.133876113</v>
      </c>
      <c r="K71" s="350">
        <v>23023924.295765266</v>
      </c>
      <c r="L71" s="350">
        <v>34241420.97469528</v>
      </c>
      <c r="M71" s="350">
        <v>45164040.473601758</v>
      </c>
      <c r="N71" s="350">
        <v>55786880.286520563</v>
      </c>
      <c r="O71" s="348">
        <v>169735575.16445899</v>
      </c>
      <c r="P71" s="369"/>
      <c r="Q71" s="350">
        <f t="shared" si="44"/>
        <v>1445669.7089560907</v>
      </c>
      <c r="R71" s="350">
        <f t="shared" si="45"/>
        <v>4266043.9683017433</v>
      </c>
      <c r="S71" s="350">
        <f t="shared" si="46"/>
        <v>6733995.6450826712</v>
      </c>
      <c r="T71" s="350">
        <f t="shared" si="47"/>
        <v>8841095.4367001727</v>
      </c>
      <c r="U71" s="350">
        <f t="shared" si="48"/>
        <v>10581003.902539164</v>
      </c>
      <c r="V71" s="350">
        <f t="shared" si="49"/>
        <v>31867808.661579847</v>
      </c>
      <c r="W71" s="365"/>
      <c r="X71" s="377">
        <f t="shared" si="28"/>
        <v>0</v>
      </c>
      <c r="Y71" s="377">
        <f t="shared" si="29"/>
        <v>0</v>
      </c>
      <c r="Z71" s="377">
        <f t="shared" si="30"/>
        <v>0</v>
      </c>
      <c r="AA71" s="377">
        <f t="shared" si="31"/>
        <v>0</v>
      </c>
      <c r="AB71" s="377">
        <f t="shared" si="32"/>
        <v>0</v>
      </c>
      <c r="AC71" s="377">
        <f t="shared" si="33"/>
        <v>0</v>
      </c>
      <c r="AD71" s="376"/>
      <c r="AE71" s="332">
        <v>56</v>
      </c>
      <c r="AF71" s="350">
        <v>7389927.3021251718</v>
      </c>
      <c r="AG71" s="350">
        <v>14837888.978610964</v>
      </c>
      <c r="AH71" s="350">
        <v>22342217.22726341</v>
      </c>
      <c r="AI71" s="350">
        <v>29903160.870207049</v>
      </c>
      <c r="AJ71" s="350">
        <v>37521810.301842816</v>
      </c>
      <c r="AK71" s="348">
        <v>111995004.68004942</v>
      </c>
      <c r="AL71" s="369"/>
      <c r="AM71" s="350">
        <v>8618828.2040406112</v>
      </c>
      <c r="AN71" s="350">
        <v>18463973.362706985</v>
      </c>
      <c r="AO71" s="350">
        <v>28032504.526160147</v>
      </c>
      <c r="AP71" s="350">
        <v>37318532.008845508</v>
      </c>
      <c r="AQ71" s="350">
        <v>46318830.868848838</v>
      </c>
      <c r="AR71" s="348">
        <v>138752668.9706021</v>
      </c>
      <c r="AS71" s="369"/>
      <c r="AT71" s="350">
        <f t="shared" si="50"/>
        <v>1228900.9019154394</v>
      </c>
      <c r="AU71" s="350">
        <f t="shared" si="34"/>
        <v>3626084.3840960208</v>
      </c>
      <c r="AV71" s="350">
        <f t="shared" si="35"/>
        <v>5690287.2988967374</v>
      </c>
      <c r="AW71" s="350">
        <f t="shared" si="36"/>
        <v>7415371.1386384591</v>
      </c>
      <c r="AX71" s="350">
        <f t="shared" si="37"/>
        <v>8797020.5670060217</v>
      </c>
      <c r="AY71" s="350">
        <f t="shared" si="38"/>
        <v>26757664.290552676</v>
      </c>
      <c r="AZ71" s="365"/>
      <c r="BA71" s="377">
        <f t="shared" si="51"/>
        <v>0</v>
      </c>
      <c r="BB71" s="377">
        <f t="shared" si="39"/>
        <v>0</v>
      </c>
      <c r="BC71" s="377">
        <f t="shared" si="40"/>
        <v>0</v>
      </c>
      <c r="BD71" s="377">
        <f t="shared" si="41"/>
        <v>0</v>
      </c>
      <c r="BE71" s="377">
        <f t="shared" si="42"/>
        <v>0</v>
      </c>
      <c r="BF71" s="377">
        <f t="shared" si="43"/>
        <v>0</v>
      </c>
      <c r="BG71" s="328"/>
    </row>
    <row r="72" spans="2:59">
      <c r="B72" s="332">
        <v>57</v>
      </c>
      <c r="C72" s="350">
        <v>6619895.5925161429</v>
      </c>
      <c r="D72" s="350">
        <v>12324586.630010489</v>
      </c>
      <c r="E72" s="350">
        <v>18072175.309432708</v>
      </c>
      <c r="F72" s="350">
        <v>23863102.807110254</v>
      </c>
      <c r="G72" s="350">
        <v>29698313.332383849</v>
      </c>
      <c r="H72" s="348">
        <v>90578073.671453446</v>
      </c>
      <c r="I72" s="369"/>
      <c r="J72" s="350">
        <v>7726762.1210670592</v>
      </c>
      <c r="K72" s="350">
        <v>15593208.258742221</v>
      </c>
      <c r="L72" s="350">
        <v>23285150.543365777</v>
      </c>
      <c r="M72" s="350">
        <v>30797101.241051931</v>
      </c>
      <c r="N72" s="350">
        <v>38125638.056174144</v>
      </c>
      <c r="O72" s="348">
        <v>115527860.22040112</v>
      </c>
      <c r="P72" s="369"/>
      <c r="Q72" s="350">
        <f t="shared" si="44"/>
        <v>1106866.5285509164</v>
      </c>
      <c r="R72" s="350">
        <f t="shared" si="45"/>
        <v>3268621.6287317313</v>
      </c>
      <c r="S72" s="350">
        <f t="shared" si="46"/>
        <v>5212975.2339330688</v>
      </c>
      <c r="T72" s="350">
        <f t="shared" si="47"/>
        <v>6933998.4339416772</v>
      </c>
      <c r="U72" s="350">
        <f t="shared" si="48"/>
        <v>8427324.7237902954</v>
      </c>
      <c r="V72" s="350">
        <f t="shared" si="49"/>
        <v>24949786.548947677</v>
      </c>
      <c r="W72" s="365"/>
      <c r="X72" s="377">
        <f t="shared" si="28"/>
        <v>0</v>
      </c>
      <c r="Y72" s="377">
        <f t="shared" si="29"/>
        <v>0</v>
      </c>
      <c r="Z72" s="377">
        <f t="shared" si="30"/>
        <v>0</v>
      </c>
      <c r="AA72" s="377">
        <f t="shared" si="31"/>
        <v>0</v>
      </c>
      <c r="AB72" s="377">
        <f t="shared" si="32"/>
        <v>0</v>
      </c>
      <c r="AC72" s="377">
        <f t="shared" si="33"/>
        <v>0</v>
      </c>
      <c r="AD72" s="376"/>
      <c r="AE72" s="332">
        <v>57</v>
      </c>
      <c r="AF72" s="350">
        <v>5221047.0246678311</v>
      </c>
      <c r="AG72" s="350">
        <v>10483095.832600411</v>
      </c>
      <c r="AH72" s="350">
        <v>15784968.107242439</v>
      </c>
      <c r="AI72" s="350">
        <v>21126839.643559128</v>
      </c>
      <c r="AJ72" s="350">
        <v>26509480.814547393</v>
      </c>
      <c r="AK72" s="348">
        <v>79125431.422617197</v>
      </c>
      <c r="AL72" s="369"/>
      <c r="AM72" s="350">
        <v>6398165.6423103204</v>
      </c>
      <c r="AN72" s="350">
        <v>13961031.368356261</v>
      </c>
      <c r="AO72" s="350">
        <v>21337718.274814431</v>
      </c>
      <c r="AP72" s="350">
        <v>28523977.882888988</v>
      </c>
      <c r="AQ72" s="350">
        <v>35517844.576196678</v>
      </c>
      <c r="AR72" s="348">
        <v>105738737.74456668</v>
      </c>
      <c r="AS72" s="369"/>
      <c r="AT72" s="350">
        <f t="shared" si="50"/>
        <v>1177118.6176424893</v>
      </c>
      <c r="AU72" s="350">
        <f t="shared" si="34"/>
        <v>3477935.5357558504</v>
      </c>
      <c r="AV72" s="350">
        <f t="shared" si="35"/>
        <v>5552750.1675719917</v>
      </c>
      <c r="AW72" s="350">
        <f t="shared" si="36"/>
        <v>7397138.2393298596</v>
      </c>
      <c r="AX72" s="350">
        <f t="shared" si="37"/>
        <v>9008363.7616492845</v>
      </c>
      <c r="AY72" s="350">
        <f t="shared" si="38"/>
        <v>26613306.321949482</v>
      </c>
      <c r="AZ72" s="365"/>
      <c r="BA72" s="377">
        <f t="shared" si="51"/>
        <v>0</v>
      </c>
      <c r="BB72" s="377">
        <f t="shared" si="39"/>
        <v>0</v>
      </c>
      <c r="BC72" s="377">
        <f t="shared" si="40"/>
        <v>0</v>
      </c>
      <c r="BD72" s="377">
        <f t="shared" si="41"/>
        <v>0</v>
      </c>
      <c r="BE72" s="377">
        <f t="shared" si="42"/>
        <v>0</v>
      </c>
      <c r="BF72" s="377">
        <f t="shared" si="43"/>
        <v>0</v>
      </c>
      <c r="BG72" s="328"/>
    </row>
    <row r="73" spans="2:59">
      <c r="B73" s="332">
        <v>58</v>
      </c>
      <c r="C73" s="350">
        <v>8088383.6037183907</v>
      </c>
      <c r="D73" s="350">
        <v>15237649.473938446</v>
      </c>
      <c r="E73" s="350">
        <v>22440735.499473318</v>
      </c>
      <c r="F73" s="350">
        <v>29698140.300833493</v>
      </c>
      <c r="G73" s="350">
        <v>37011023.571412973</v>
      </c>
      <c r="H73" s="348">
        <v>112475932.44937661</v>
      </c>
      <c r="I73" s="369"/>
      <c r="J73" s="350">
        <v>9076661.6599799171</v>
      </c>
      <c r="K73" s="350">
        <v>18150967.795276582</v>
      </c>
      <c r="L73" s="350">
        <v>26989392.018709086</v>
      </c>
      <c r="M73" s="350">
        <v>35585276.773645513</v>
      </c>
      <c r="N73" s="350">
        <v>43934074.211592093</v>
      </c>
      <c r="O73" s="348">
        <v>133736372.4592032</v>
      </c>
      <c r="P73" s="369"/>
      <c r="Q73" s="350">
        <f t="shared" si="44"/>
        <v>988278.05626152642</v>
      </c>
      <c r="R73" s="350">
        <f t="shared" si="45"/>
        <v>2913318.3213381357</v>
      </c>
      <c r="S73" s="350">
        <f t="shared" si="46"/>
        <v>4548656.5192357674</v>
      </c>
      <c r="T73" s="350">
        <f t="shared" si="47"/>
        <v>5887136.4728120193</v>
      </c>
      <c r="U73" s="350">
        <f t="shared" si="48"/>
        <v>6923050.64017912</v>
      </c>
      <c r="V73" s="350">
        <f t="shared" si="49"/>
        <v>21260440.009826586</v>
      </c>
      <c r="W73" s="365"/>
      <c r="X73" s="377">
        <f t="shared" si="28"/>
        <v>0</v>
      </c>
      <c r="Y73" s="377">
        <f t="shared" si="29"/>
        <v>0</v>
      </c>
      <c r="Z73" s="377">
        <f t="shared" si="30"/>
        <v>0</v>
      </c>
      <c r="AA73" s="377">
        <f t="shared" si="31"/>
        <v>0</v>
      </c>
      <c r="AB73" s="377">
        <f t="shared" si="32"/>
        <v>0</v>
      </c>
      <c r="AC73" s="377">
        <f t="shared" si="33"/>
        <v>0</v>
      </c>
      <c r="AD73" s="376"/>
      <c r="AE73" s="332">
        <v>58</v>
      </c>
      <c r="AF73" s="350">
        <v>6634139.315164349</v>
      </c>
      <c r="AG73" s="350">
        <v>13320377.671203706</v>
      </c>
      <c r="AH73" s="350">
        <v>20057217.836595684</v>
      </c>
      <c r="AI73" s="350">
        <v>26844883.185748633</v>
      </c>
      <c r="AJ73" s="350">
        <v>33684352.595459104</v>
      </c>
      <c r="AK73" s="348">
        <v>100540970.60417148</v>
      </c>
      <c r="AL73" s="369"/>
      <c r="AM73" s="350">
        <v>7730950.2406359054</v>
      </c>
      <c r="AN73" s="350">
        <v>16556611.443998918</v>
      </c>
      <c r="AO73" s="350">
        <v>25133756.828895506</v>
      </c>
      <c r="AP73" s="350">
        <v>33457100.876068458</v>
      </c>
      <c r="AQ73" s="350">
        <v>41523741.978470951</v>
      </c>
      <c r="AR73" s="348">
        <v>124402161.36806974</v>
      </c>
      <c r="AS73" s="369"/>
      <c r="AT73" s="350">
        <f t="shared" si="50"/>
        <v>1096810.9254715564</v>
      </c>
      <c r="AU73" s="350">
        <f t="shared" si="34"/>
        <v>3236233.7727952115</v>
      </c>
      <c r="AV73" s="350">
        <f t="shared" si="35"/>
        <v>5076538.9922998212</v>
      </c>
      <c r="AW73" s="350">
        <f t="shared" si="36"/>
        <v>6612217.690319825</v>
      </c>
      <c r="AX73" s="350">
        <f t="shared" si="37"/>
        <v>7839389.3830118477</v>
      </c>
      <c r="AY73" s="350">
        <f t="shared" si="38"/>
        <v>23861190.763898253</v>
      </c>
      <c r="AZ73" s="365"/>
      <c r="BA73" s="377">
        <f t="shared" si="51"/>
        <v>0</v>
      </c>
      <c r="BB73" s="377">
        <f t="shared" si="39"/>
        <v>0</v>
      </c>
      <c r="BC73" s="377">
        <f t="shared" si="40"/>
        <v>0</v>
      </c>
      <c r="BD73" s="377">
        <f t="shared" si="41"/>
        <v>0</v>
      </c>
      <c r="BE73" s="377">
        <f t="shared" si="42"/>
        <v>0</v>
      </c>
      <c r="BF73" s="377">
        <f t="shared" si="43"/>
        <v>0</v>
      </c>
      <c r="BG73" s="328"/>
    </row>
    <row r="74" spans="2:59">
      <c r="B74" s="332">
        <v>59</v>
      </c>
      <c r="C74" s="350">
        <v>6112204.0609331885</v>
      </c>
      <c r="D74" s="350">
        <v>11558568.185450152</v>
      </c>
      <c r="E74" s="350">
        <v>17045947.155389447</v>
      </c>
      <c r="F74" s="350">
        <v>22574707.875001088</v>
      </c>
      <c r="G74" s="350">
        <v>28145728.173471019</v>
      </c>
      <c r="H74" s="348">
        <v>85437155.450244889</v>
      </c>
      <c r="I74" s="369"/>
      <c r="J74" s="350">
        <v>6818086.438897281</v>
      </c>
      <c r="K74" s="350">
        <v>13638589.218444852</v>
      </c>
      <c r="L74" s="350">
        <v>20271917.247531988</v>
      </c>
      <c r="M74" s="350">
        <v>26713248.041326135</v>
      </c>
      <c r="N74" s="350">
        <v>32959322.272779182</v>
      </c>
      <c r="O74" s="348">
        <v>100401163.21897943</v>
      </c>
      <c r="P74" s="369"/>
      <c r="Q74" s="350">
        <f t="shared" si="44"/>
        <v>705882.37796409242</v>
      </c>
      <c r="R74" s="350">
        <f t="shared" si="45"/>
        <v>2080021.0329947006</v>
      </c>
      <c r="S74" s="350">
        <f t="shared" si="46"/>
        <v>3225970.092142541</v>
      </c>
      <c r="T74" s="350">
        <f t="shared" si="47"/>
        <v>4138540.1663250476</v>
      </c>
      <c r="U74" s="350">
        <f t="shared" si="48"/>
        <v>4813594.0993081629</v>
      </c>
      <c r="V74" s="350">
        <f t="shared" si="49"/>
        <v>14964007.768734545</v>
      </c>
      <c r="W74" s="365"/>
      <c r="X74" s="377">
        <f t="shared" si="28"/>
        <v>0</v>
      </c>
      <c r="Y74" s="377">
        <f t="shared" si="29"/>
        <v>0</v>
      </c>
      <c r="Z74" s="377">
        <f t="shared" si="30"/>
        <v>0</v>
      </c>
      <c r="AA74" s="377">
        <f t="shared" si="31"/>
        <v>0</v>
      </c>
      <c r="AB74" s="377">
        <f t="shared" si="32"/>
        <v>0</v>
      </c>
      <c r="AC74" s="377">
        <f t="shared" si="33"/>
        <v>0</v>
      </c>
      <c r="AD74" s="376"/>
      <c r="AE74" s="332">
        <v>59</v>
      </c>
      <c r="AF74" s="350">
        <v>7058826.8073858581</v>
      </c>
      <c r="AG74" s="350">
        <v>14173087.799810154</v>
      </c>
      <c r="AH74" s="350">
        <v>21341189.899783097</v>
      </c>
      <c r="AI74" s="350">
        <v>28563370.781128962</v>
      </c>
      <c r="AJ74" s="350">
        <v>35840671.983894527</v>
      </c>
      <c r="AK74" s="348">
        <v>106977147.27200259</v>
      </c>
      <c r="AL74" s="369"/>
      <c r="AM74" s="350">
        <v>8297323.6684433501</v>
      </c>
      <c r="AN74" s="350">
        <v>17828458.732058249</v>
      </c>
      <c r="AO74" s="350">
        <v>27097309.763528313</v>
      </c>
      <c r="AP74" s="350">
        <v>36098232.673402414</v>
      </c>
      <c r="AQ74" s="350">
        <v>44828212.492390521</v>
      </c>
      <c r="AR74" s="348">
        <v>134149537.32982284</v>
      </c>
      <c r="AS74" s="369"/>
      <c r="AT74" s="350">
        <f t="shared" si="50"/>
        <v>1238496.861057492</v>
      </c>
      <c r="AU74" s="350">
        <f t="shared" si="34"/>
        <v>3655370.9322480951</v>
      </c>
      <c r="AV74" s="350">
        <f t="shared" si="35"/>
        <v>5756119.8637452163</v>
      </c>
      <c r="AW74" s="350">
        <f t="shared" si="36"/>
        <v>7534861.8922734521</v>
      </c>
      <c r="AX74" s="350">
        <f t="shared" si="37"/>
        <v>8987540.5084959939</v>
      </c>
      <c r="AY74" s="350">
        <f t="shared" si="38"/>
        <v>27172390.057820246</v>
      </c>
      <c r="AZ74" s="365"/>
      <c r="BA74" s="377">
        <f t="shared" si="51"/>
        <v>0</v>
      </c>
      <c r="BB74" s="377">
        <f t="shared" si="39"/>
        <v>0</v>
      </c>
      <c r="BC74" s="377">
        <f t="shared" si="40"/>
        <v>0</v>
      </c>
      <c r="BD74" s="377">
        <f t="shared" si="41"/>
        <v>0</v>
      </c>
      <c r="BE74" s="377">
        <f t="shared" si="42"/>
        <v>0</v>
      </c>
      <c r="BF74" s="377">
        <f t="shared" si="43"/>
        <v>0</v>
      </c>
      <c r="BG74" s="328"/>
    </row>
    <row r="75" spans="2:59">
      <c r="B75" s="332">
        <v>60</v>
      </c>
      <c r="C75" s="350">
        <v>5493486.8748452365</v>
      </c>
      <c r="D75" s="350">
        <v>10351937.804733815</v>
      </c>
      <c r="E75" s="350">
        <v>15246964.389725063</v>
      </c>
      <c r="F75" s="350">
        <v>20178904.652978204</v>
      </c>
      <c r="G75" s="350">
        <v>25148546.331853695</v>
      </c>
      <c r="H75" s="348">
        <v>76419840.054136008</v>
      </c>
      <c r="I75" s="369"/>
      <c r="J75" s="350">
        <v>6204392.473943755</v>
      </c>
      <c r="K75" s="350">
        <v>12448289.29361573</v>
      </c>
      <c r="L75" s="350">
        <v>18531809.235254083</v>
      </c>
      <c r="M75" s="350">
        <v>24450458.13624965</v>
      </c>
      <c r="N75" s="350">
        <v>30201228.728370957</v>
      </c>
      <c r="O75" s="348">
        <v>91836177.867434174</v>
      </c>
      <c r="P75" s="369"/>
      <c r="Q75" s="350">
        <f t="shared" si="44"/>
        <v>710905.59909851849</v>
      </c>
      <c r="R75" s="350">
        <f t="shared" si="45"/>
        <v>2096351.4888819158</v>
      </c>
      <c r="S75" s="350">
        <f t="shared" si="46"/>
        <v>3284844.8455290198</v>
      </c>
      <c r="T75" s="350">
        <f t="shared" si="47"/>
        <v>4271553.4832714461</v>
      </c>
      <c r="U75" s="350">
        <f t="shared" si="48"/>
        <v>5052682.3965172619</v>
      </c>
      <c r="V75" s="350">
        <f t="shared" si="49"/>
        <v>15416337.813298166</v>
      </c>
      <c r="W75" s="365"/>
      <c r="X75" s="377">
        <f t="shared" si="28"/>
        <v>0</v>
      </c>
      <c r="Y75" s="377">
        <f t="shared" si="29"/>
        <v>0</v>
      </c>
      <c r="Z75" s="377">
        <f t="shared" si="30"/>
        <v>0</v>
      </c>
      <c r="AA75" s="377">
        <f t="shared" si="31"/>
        <v>0</v>
      </c>
      <c r="AB75" s="377">
        <f t="shared" si="32"/>
        <v>0</v>
      </c>
      <c r="AC75" s="377">
        <f t="shared" si="33"/>
        <v>0</v>
      </c>
      <c r="AD75" s="376"/>
      <c r="AE75" s="332">
        <v>60</v>
      </c>
      <c r="AF75" s="350">
        <v>6826341.0470335949</v>
      </c>
      <c r="AG75" s="350">
        <v>13706290.52831023</v>
      </c>
      <c r="AH75" s="350">
        <v>20638307.835091881</v>
      </c>
      <c r="AI75" s="350">
        <v>27622622.81330432</v>
      </c>
      <c r="AJ75" s="350">
        <v>34660242.699386045</v>
      </c>
      <c r="AK75" s="348">
        <v>103453804.92312607</v>
      </c>
      <c r="AL75" s="369"/>
      <c r="AM75" s="350">
        <v>8254200.1490842476</v>
      </c>
      <c r="AN75" s="350">
        <v>17923835.474601388</v>
      </c>
      <c r="AO75" s="350">
        <v>27346718.361542776</v>
      </c>
      <c r="AP75" s="350">
        <v>36517325.515456796</v>
      </c>
      <c r="AQ75" s="350">
        <v>45432974.357220113</v>
      </c>
      <c r="AR75" s="348">
        <v>135475053.85790533</v>
      </c>
      <c r="AS75" s="369"/>
      <c r="AT75" s="350">
        <f t="shared" si="50"/>
        <v>1427859.1020506527</v>
      </c>
      <c r="AU75" s="350">
        <f t="shared" si="34"/>
        <v>4217544.946291158</v>
      </c>
      <c r="AV75" s="350">
        <f t="shared" si="35"/>
        <v>6708410.5264508948</v>
      </c>
      <c r="AW75" s="350">
        <f t="shared" si="36"/>
        <v>8894702.7021524757</v>
      </c>
      <c r="AX75" s="350">
        <f t="shared" si="37"/>
        <v>10772731.657834068</v>
      </c>
      <c r="AY75" s="350">
        <f t="shared" si="38"/>
        <v>32021248.934779257</v>
      </c>
      <c r="AZ75" s="365"/>
      <c r="BA75" s="377">
        <f t="shared" si="51"/>
        <v>0</v>
      </c>
      <c r="BB75" s="377">
        <f t="shared" si="39"/>
        <v>0</v>
      </c>
      <c r="BC75" s="377">
        <f t="shared" si="40"/>
        <v>0</v>
      </c>
      <c r="BD75" s="377">
        <f t="shared" si="41"/>
        <v>0</v>
      </c>
      <c r="BE75" s="377">
        <f t="shared" si="42"/>
        <v>0</v>
      </c>
      <c r="BF75" s="377">
        <f t="shared" si="43"/>
        <v>0</v>
      </c>
      <c r="BG75" s="328"/>
    </row>
    <row r="76" spans="2:59">
      <c r="B76" s="332">
        <v>61</v>
      </c>
      <c r="C76" s="350">
        <v>7599040.5927921385</v>
      </c>
      <c r="D76" s="350">
        <v>14170804.751087766</v>
      </c>
      <c r="E76" s="350">
        <v>20791994.460819799</v>
      </c>
      <c r="F76" s="350">
        <v>27463110.894989114</v>
      </c>
      <c r="G76" s="350">
        <v>34185238.704774208</v>
      </c>
      <c r="H76" s="348">
        <v>104210189.40446302</v>
      </c>
      <c r="I76" s="369"/>
      <c r="J76" s="350">
        <v>8632835.2211411335</v>
      </c>
      <c r="K76" s="350">
        <v>17220568.817055508</v>
      </c>
      <c r="L76" s="350">
        <v>25596716.240290683</v>
      </c>
      <c r="M76" s="350">
        <v>33755134.60128101</v>
      </c>
      <c r="N76" s="350">
        <v>41691756.645719618</v>
      </c>
      <c r="O76" s="348">
        <v>126897011.52548796</v>
      </c>
      <c r="P76" s="369"/>
      <c r="Q76" s="350">
        <f t="shared" si="44"/>
        <v>1033794.628348995</v>
      </c>
      <c r="R76" s="350">
        <f t="shared" si="45"/>
        <v>3049764.0659677424</v>
      </c>
      <c r="S76" s="350">
        <f t="shared" si="46"/>
        <v>4804721.7794708833</v>
      </c>
      <c r="T76" s="350">
        <f t="shared" si="47"/>
        <v>6292023.7062918954</v>
      </c>
      <c r="U76" s="350">
        <f t="shared" si="48"/>
        <v>7506517.9409454092</v>
      </c>
      <c r="V76" s="350">
        <f t="shared" si="49"/>
        <v>22686822.121024936</v>
      </c>
      <c r="W76" s="365"/>
      <c r="X76" s="377">
        <f t="shared" si="28"/>
        <v>0</v>
      </c>
      <c r="Y76" s="377">
        <f t="shared" si="29"/>
        <v>0</v>
      </c>
      <c r="Z76" s="377">
        <f t="shared" si="30"/>
        <v>0</v>
      </c>
      <c r="AA76" s="377">
        <f t="shared" si="31"/>
        <v>0</v>
      </c>
      <c r="AB76" s="377">
        <f t="shared" si="32"/>
        <v>0</v>
      </c>
      <c r="AC76" s="377">
        <f t="shared" si="33"/>
        <v>0</v>
      </c>
      <c r="AD76" s="376"/>
      <c r="AE76" s="332">
        <v>61</v>
      </c>
      <c r="AF76" s="350">
        <v>4500863.9184910432</v>
      </c>
      <c r="AG76" s="350">
        <v>9037073.8980342448</v>
      </c>
      <c r="AH76" s="350">
        <v>13607614.157227281</v>
      </c>
      <c r="AI76" s="350">
        <v>18212636.242151283</v>
      </c>
      <c r="AJ76" s="350">
        <v>22852804.261750143</v>
      </c>
      <c r="AK76" s="348">
        <v>68210992.477653995</v>
      </c>
      <c r="AL76" s="369"/>
      <c r="AM76" s="350">
        <v>5507864.9760586629</v>
      </c>
      <c r="AN76" s="350">
        <v>12012291.164222805</v>
      </c>
      <c r="AO76" s="350">
        <v>18355987.705081463</v>
      </c>
      <c r="AP76" s="350">
        <v>24535294.339718595</v>
      </c>
      <c r="AQ76" s="350">
        <v>30548508.739265811</v>
      </c>
      <c r="AR76" s="348">
        <v>90959946.924347341</v>
      </c>
      <c r="AS76" s="369"/>
      <c r="AT76" s="350">
        <f t="shared" si="50"/>
        <v>1007001.0575676197</v>
      </c>
      <c r="AU76" s="350">
        <f t="shared" si="34"/>
        <v>2975217.2661885601</v>
      </c>
      <c r="AV76" s="350">
        <f t="shared" si="35"/>
        <v>4748373.5478541814</v>
      </c>
      <c r="AW76" s="350">
        <f t="shared" si="36"/>
        <v>6322658.0975673124</v>
      </c>
      <c r="AX76" s="350">
        <f t="shared" si="37"/>
        <v>7695704.4775156677</v>
      </c>
      <c r="AY76" s="350">
        <f t="shared" si="38"/>
        <v>22748954.446693346</v>
      </c>
      <c r="AZ76" s="365"/>
      <c r="BA76" s="377">
        <f t="shared" si="51"/>
        <v>0</v>
      </c>
      <c r="BB76" s="377">
        <f t="shared" si="39"/>
        <v>0</v>
      </c>
      <c r="BC76" s="377">
        <f t="shared" si="40"/>
        <v>0</v>
      </c>
      <c r="BD76" s="377">
        <f t="shared" si="41"/>
        <v>0</v>
      </c>
      <c r="BE76" s="377">
        <f t="shared" si="42"/>
        <v>0</v>
      </c>
      <c r="BF76" s="377">
        <f t="shared" si="43"/>
        <v>0</v>
      </c>
      <c r="BG76" s="328"/>
    </row>
    <row r="77" spans="2:59">
      <c r="B77" s="332">
        <v>62</v>
      </c>
      <c r="C77" s="350">
        <v>6624853.3384006741</v>
      </c>
      <c r="D77" s="350">
        <v>12375597.916170565</v>
      </c>
      <c r="E77" s="350">
        <v>18169600.377618536</v>
      </c>
      <c r="F77" s="350">
        <v>24007292.800048176</v>
      </c>
      <c r="G77" s="350">
        <v>29889621.506725401</v>
      </c>
      <c r="H77" s="348">
        <v>91066965.938963354</v>
      </c>
      <c r="I77" s="369"/>
      <c r="J77" s="350">
        <v>7328619.6213345546</v>
      </c>
      <c r="K77" s="350">
        <v>14448589.41312186</v>
      </c>
      <c r="L77" s="350">
        <v>21374158.174436085</v>
      </c>
      <c r="M77" s="350">
        <v>28100107.091814123</v>
      </c>
      <c r="N77" s="350">
        <v>34622781.718804017</v>
      </c>
      <c r="O77" s="348">
        <v>105874256.01951064</v>
      </c>
      <c r="P77" s="369"/>
      <c r="Q77" s="350">
        <f t="shared" si="44"/>
        <v>703766.28293388058</v>
      </c>
      <c r="R77" s="350">
        <f t="shared" si="45"/>
        <v>2072991.4969512951</v>
      </c>
      <c r="S77" s="350">
        <f t="shared" si="46"/>
        <v>3204557.7968175486</v>
      </c>
      <c r="T77" s="350">
        <f t="shared" si="47"/>
        <v>4092814.2917659469</v>
      </c>
      <c r="U77" s="350">
        <f t="shared" si="48"/>
        <v>4733160.212078616</v>
      </c>
      <c r="V77" s="350">
        <f t="shared" si="49"/>
        <v>14807290.080547288</v>
      </c>
      <c r="W77" s="365"/>
      <c r="X77" s="377">
        <f t="shared" si="28"/>
        <v>0</v>
      </c>
      <c r="Y77" s="377">
        <f t="shared" si="29"/>
        <v>0</v>
      </c>
      <c r="Z77" s="377">
        <f t="shared" si="30"/>
        <v>0</v>
      </c>
      <c r="AA77" s="377">
        <f t="shared" si="31"/>
        <v>0</v>
      </c>
      <c r="AB77" s="377">
        <f t="shared" si="32"/>
        <v>0</v>
      </c>
      <c r="AC77" s="377">
        <f t="shared" si="33"/>
        <v>0</v>
      </c>
      <c r="AD77" s="376"/>
      <c r="AE77" s="332">
        <v>62</v>
      </c>
      <c r="AF77" s="350">
        <v>5496103.6665071258</v>
      </c>
      <c r="AG77" s="350">
        <v>11035369.183553044</v>
      </c>
      <c r="AH77" s="350">
        <v>16616556.158184137</v>
      </c>
      <c r="AI77" s="350">
        <v>22239849.646644548</v>
      </c>
      <c r="AJ77" s="350">
        <v>27906060.606934249</v>
      </c>
      <c r="AK77" s="348">
        <v>83293939.261823103</v>
      </c>
      <c r="AL77" s="369"/>
      <c r="AM77" s="350">
        <v>6740431.4685471803</v>
      </c>
      <c r="AN77" s="350">
        <v>14711939.78232342</v>
      </c>
      <c r="AO77" s="350">
        <v>22487616.571229242</v>
      </c>
      <c r="AP77" s="350">
        <v>30062988.067342944</v>
      </c>
      <c r="AQ77" s="350">
        <v>37435990.363360606</v>
      </c>
      <c r="AR77" s="348">
        <v>111438966.25280339</v>
      </c>
      <c r="AS77" s="369"/>
      <c r="AT77" s="350">
        <f t="shared" si="50"/>
        <v>1244327.8020400545</v>
      </c>
      <c r="AU77" s="350">
        <f t="shared" si="34"/>
        <v>3676570.5987703763</v>
      </c>
      <c r="AV77" s="350">
        <f t="shared" si="35"/>
        <v>5871060.4130451046</v>
      </c>
      <c r="AW77" s="350">
        <f t="shared" si="36"/>
        <v>7823138.4206983969</v>
      </c>
      <c r="AX77" s="350">
        <f t="shared" si="37"/>
        <v>9529929.7564263567</v>
      </c>
      <c r="AY77" s="350">
        <f t="shared" si="38"/>
        <v>28145026.990980282</v>
      </c>
      <c r="AZ77" s="365"/>
      <c r="BA77" s="377">
        <f t="shared" si="51"/>
        <v>0</v>
      </c>
      <c r="BB77" s="377">
        <f t="shared" si="39"/>
        <v>0</v>
      </c>
      <c r="BC77" s="377">
        <f t="shared" si="40"/>
        <v>0</v>
      </c>
      <c r="BD77" s="377">
        <f t="shared" si="41"/>
        <v>0</v>
      </c>
      <c r="BE77" s="377">
        <f t="shared" si="42"/>
        <v>0</v>
      </c>
      <c r="BF77" s="377">
        <f t="shared" si="43"/>
        <v>0</v>
      </c>
      <c r="BG77" s="328"/>
    </row>
    <row r="78" spans="2:59">
      <c r="B78" s="332">
        <v>63</v>
      </c>
      <c r="C78" s="350">
        <v>6973812.6177974595</v>
      </c>
      <c r="D78" s="350">
        <v>13071091.607893709</v>
      </c>
      <c r="E78" s="350">
        <v>19214249.599900708</v>
      </c>
      <c r="F78" s="350">
        <v>25403731.586471755</v>
      </c>
      <c r="G78" s="350">
        <v>31640535.2063982</v>
      </c>
      <c r="H78" s="348">
        <v>96303420.618461832</v>
      </c>
      <c r="I78" s="369"/>
      <c r="J78" s="350">
        <v>8076009.9266203698</v>
      </c>
      <c r="K78" s="350">
        <v>16324870.152790666</v>
      </c>
      <c r="L78" s="350">
        <v>24379019.859219477</v>
      </c>
      <c r="M78" s="350">
        <v>32232793.225135662</v>
      </c>
      <c r="N78" s="350">
        <v>39882650.786769569</v>
      </c>
      <c r="O78" s="348">
        <v>120895343.95053574</v>
      </c>
      <c r="P78" s="369"/>
      <c r="Q78" s="350">
        <f t="shared" si="44"/>
        <v>1102197.3088229103</v>
      </c>
      <c r="R78" s="350">
        <f t="shared" si="45"/>
        <v>3253778.5448969565</v>
      </c>
      <c r="S78" s="350">
        <f t="shared" si="46"/>
        <v>5164770.259318769</v>
      </c>
      <c r="T78" s="350">
        <f t="shared" si="47"/>
        <v>6829061.6386639066</v>
      </c>
      <c r="U78" s="350">
        <f t="shared" si="48"/>
        <v>8242115.5803713687</v>
      </c>
      <c r="V78" s="350">
        <f t="shared" si="49"/>
        <v>24591923.332073912</v>
      </c>
      <c r="W78" s="365"/>
      <c r="X78" s="377">
        <f t="shared" si="28"/>
        <v>0</v>
      </c>
      <c r="Y78" s="377">
        <f t="shared" si="29"/>
        <v>0</v>
      </c>
      <c r="Z78" s="377">
        <f t="shared" si="30"/>
        <v>0</v>
      </c>
      <c r="AA78" s="377">
        <f t="shared" si="31"/>
        <v>0</v>
      </c>
      <c r="AB78" s="377">
        <f t="shared" si="32"/>
        <v>0</v>
      </c>
      <c r="AC78" s="377">
        <f t="shared" si="33"/>
        <v>0</v>
      </c>
      <c r="AD78" s="376"/>
      <c r="AE78" s="332">
        <v>63</v>
      </c>
      <c r="AF78" s="350">
        <v>6046360.0005497728</v>
      </c>
      <c r="AG78" s="350">
        <v>12140203.109585617</v>
      </c>
      <c r="AH78" s="350">
        <v>18280164.749072842</v>
      </c>
      <c r="AI78" s="350">
        <v>24466448.50263001</v>
      </c>
      <c r="AJ78" s="350">
        <v>30699946.519370511</v>
      </c>
      <c r="AK78" s="348">
        <v>91633122.881208748</v>
      </c>
      <c r="AL78" s="369"/>
      <c r="AM78" s="350">
        <v>6957224.8233250901</v>
      </c>
      <c r="AN78" s="350">
        <v>14826444.79404822</v>
      </c>
      <c r="AO78" s="350">
        <v>22466508.568374649</v>
      </c>
      <c r="AP78" s="350">
        <v>29872624.027050372</v>
      </c>
      <c r="AQ78" s="350">
        <v>37042056.740292676</v>
      </c>
      <c r="AR78" s="348">
        <v>111164858.953091</v>
      </c>
      <c r="AS78" s="369"/>
      <c r="AT78" s="350">
        <f t="shared" si="50"/>
        <v>910864.82277531736</v>
      </c>
      <c r="AU78" s="350">
        <f t="shared" si="34"/>
        <v>2686241.6844626032</v>
      </c>
      <c r="AV78" s="350">
        <f t="shared" si="35"/>
        <v>4186343.8193018064</v>
      </c>
      <c r="AW78" s="350">
        <f t="shared" si="36"/>
        <v>5406175.524420362</v>
      </c>
      <c r="AX78" s="350">
        <f t="shared" si="37"/>
        <v>6342110.2209221646</v>
      </c>
      <c r="AY78" s="350">
        <f t="shared" si="38"/>
        <v>19531736.071882248</v>
      </c>
      <c r="AZ78" s="365"/>
      <c r="BA78" s="377">
        <f t="shared" si="51"/>
        <v>0</v>
      </c>
      <c r="BB78" s="377">
        <f t="shared" si="39"/>
        <v>0</v>
      </c>
      <c r="BC78" s="377">
        <f t="shared" si="40"/>
        <v>0</v>
      </c>
      <c r="BD78" s="377">
        <f t="shared" si="41"/>
        <v>0</v>
      </c>
      <c r="BE78" s="377">
        <f t="shared" si="42"/>
        <v>0</v>
      </c>
      <c r="BF78" s="377">
        <f t="shared" si="43"/>
        <v>0</v>
      </c>
      <c r="BG78" s="328"/>
    </row>
    <row r="79" spans="2:59">
      <c r="B79" s="332">
        <v>64</v>
      </c>
      <c r="C79" s="350">
        <v>8730111.0639903601</v>
      </c>
      <c r="D79" s="350">
        <v>16348591.844569277</v>
      </c>
      <c r="E79" s="350">
        <v>24024393.200482115</v>
      </c>
      <c r="F79" s="350">
        <v>31758075.430498246</v>
      </c>
      <c r="G79" s="350">
        <v>39550886.937561929</v>
      </c>
      <c r="H79" s="348">
        <v>120412058.47710192</v>
      </c>
      <c r="I79" s="369"/>
      <c r="J79" s="350">
        <v>9746357.9367859997</v>
      </c>
      <c r="K79" s="350">
        <v>19343722.418135971</v>
      </c>
      <c r="L79" s="350">
        <v>28688864.308529936</v>
      </c>
      <c r="M79" s="350">
        <v>37774737.388469696</v>
      </c>
      <c r="N79" s="350">
        <v>46596479.361284807</v>
      </c>
      <c r="O79" s="348">
        <v>142150161.4132064</v>
      </c>
      <c r="P79" s="369"/>
      <c r="Q79" s="350">
        <f t="shared" si="44"/>
        <v>1016246.8727956396</v>
      </c>
      <c r="R79" s="350">
        <f t="shared" si="45"/>
        <v>2995130.5735666938</v>
      </c>
      <c r="S79" s="350">
        <f t="shared" si="46"/>
        <v>4664471.1080478206</v>
      </c>
      <c r="T79" s="350">
        <f t="shared" si="47"/>
        <v>6016661.9579714499</v>
      </c>
      <c r="U79" s="350">
        <f t="shared" si="48"/>
        <v>7045592.4237228781</v>
      </c>
      <c r="V79" s="350">
        <f t="shared" si="49"/>
        <v>21738102.936104476</v>
      </c>
      <c r="W79" s="365"/>
      <c r="X79" s="377">
        <f t="shared" si="28"/>
        <v>0</v>
      </c>
      <c r="Y79" s="377">
        <f t="shared" si="29"/>
        <v>0</v>
      </c>
      <c r="Z79" s="377">
        <f t="shared" si="30"/>
        <v>0</v>
      </c>
      <c r="AA79" s="377">
        <f t="shared" si="31"/>
        <v>0</v>
      </c>
      <c r="AB79" s="377">
        <f t="shared" si="32"/>
        <v>0</v>
      </c>
      <c r="AC79" s="377">
        <f t="shared" si="33"/>
        <v>0</v>
      </c>
      <c r="AD79" s="376"/>
      <c r="AE79" s="332">
        <v>64</v>
      </c>
      <c r="AF79" s="350">
        <v>5786782.5640178779</v>
      </c>
      <c r="AG79" s="350">
        <v>11619009.730118264</v>
      </c>
      <c r="AH79" s="350">
        <v>17495375.503226817</v>
      </c>
      <c r="AI79" s="350">
        <v>23416074.726874873</v>
      </c>
      <c r="AJ79" s="350">
        <v>29381961.249151763</v>
      </c>
      <c r="AK79" s="348">
        <v>87699203.773389593</v>
      </c>
      <c r="AL79" s="369"/>
      <c r="AM79" s="350">
        <v>6901804.3622014532</v>
      </c>
      <c r="AN79" s="350">
        <v>14911369.9955438</v>
      </c>
      <c r="AO79" s="350">
        <v>22708903.139207855</v>
      </c>
      <c r="AP79" s="350">
        <v>30289748.601954959</v>
      </c>
      <c r="AQ79" s="350">
        <v>37651535.713187829</v>
      </c>
      <c r="AR79" s="348">
        <v>112463361.8120959</v>
      </c>
      <c r="AS79" s="369"/>
      <c r="AT79" s="350">
        <f t="shared" si="50"/>
        <v>1115021.7981835753</v>
      </c>
      <c r="AU79" s="350">
        <f t="shared" si="34"/>
        <v>3292360.2654255368</v>
      </c>
      <c r="AV79" s="350">
        <f t="shared" si="35"/>
        <v>5213527.6359810382</v>
      </c>
      <c r="AW79" s="350">
        <f t="shared" si="36"/>
        <v>6873673.8750800863</v>
      </c>
      <c r="AX79" s="350">
        <f t="shared" si="37"/>
        <v>8269574.4640360661</v>
      </c>
      <c r="AY79" s="350">
        <f t="shared" si="38"/>
        <v>24764158.038706303</v>
      </c>
      <c r="AZ79" s="365"/>
      <c r="BA79" s="377">
        <f t="shared" si="51"/>
        <v>0</v>
      </c>
      <c r="BB79" s="377">
        <f t="shared" si="39"/>
        <v>0</v>
      </c>
      <c r="BC79" s="377">
        <f t="shared" si="40"/>
        <v>0</v>
      </c>
      <c r="BD79" s="377">
        <f t="shared" si="41"/>
        <v>0</v>
      </c>
      <c r="BE79" s="377">
        <f t="shared" si="42"/>
        <v>0</v>
      </c>
      <c r="BF79" s="377">
        <f t="shared" si="43"/>
        <v>0</v>
      </c>
      <c r="BG79" s="328"/>
    </row>
    <row r="80" spans="2:59">
      <c r="B80" s="332">
        <v>65</v>
      </c>
      <c r="C80" s="350">
        <v>7792408.7302301992</v>
      </c>
      <c r="D80" s="350">
        <v>14554633.703769593</v>
      </c>
      <c r="E80" s="350">
        <v>21367724.384476319</v>
      </c>
      <c r="F80" s="350">
        <v>28232189.454999652</v>
      </c>
      <c r="G80" s="350">
        <v>35149141.949243665</v>
      </c>
      <c r="H80" s="348">
        <v>107096098.22271943</v>
      </c>
      <c r="I80" s="369"/>
      <c r="J80" s="350">
        <v>9120788.4053758923</v>
      </c>
      <c r="K80" s="350">
        <v>18477558.685801841</v>
      </c>
      <c r="L80" s="350">
        <v>27631146.641951278</v>
      </c>
      <c r="M80" s="350">
        <v>36574865.324751601</v>
      </c>
      <c r="N80" s="350">
        <v>45304499.798998967</v>
      </c>
      <c r="O80" s="348">
        <v>137108858.85687959</v>
      </c>
      <c r="P80" s="369"/>
      <c r="Q80" s="350">
        <f t="shared" si="44"/>
        <v>1328379.6751456931</v>
      </c>
      <c r="R80" s="350">
        <f t="shared" si="45"/>
        <v>3922924.9820322488</v>
      </c>
      <c r="S80" s="350">
        <f t="shared" si="46"/>
        <v>6263422.2574749589</v>
      </c>
      <c r="T80" s="350">
        <f t="shared" si="47"/>
        <v>8342675.8697519489</v>
      </c>
      <c r="U80" s="350">
        <f t="shared" si="48"/>
        <v>10155357.849755302</v>
      </c>
      <c r="V80" s="350">
        <f t="shared" si="49"/>
        <v>30012760.634160161</v>
      </c>
      <c r="W80" s="365"/>
      <c r="X80" s="377">
        <f t="shared" ref="X80:X143" si="52">IF(Q80&lt;Q$8,1,0)</f>
        <v>0</v>
      </c>
      <c r="Y80" s="377">
        <f t="shared" ref="Y80:Y143" si="53">IF(R80&lt;R$8,1,0)</f>
        <v>0</v>
      </c>
      <c r="Z80" s="377">
        <f t="shared" ref="Z80:Z143" si="54">IF(S80&lt;S$8,1,0)</f>
        <v>0</v>
      </c>
      <c r="AA80" s="377">
        <f t="shared" ref="AA80:AA143" si="55">IF(T80&lt;T$8,1,0)</f>
        <v>0</v>
      </c>
      <c r="AB80" s="377">
        <f t="shared" ref="AB80:AB143" si="56">IF(U80&lt;U$8,1,0)</f>
        <v>0</v>
      </c>
      <c r="AC80" s="377">
        <f t="shared" ref="AC80:AC143" si="57">IF(V80&lt;V$8,1,0)</f>
        <v>0</v>
      </c>
      <c r="AD80" s="376"/>
      <c r="AE80" s="332">
        <v>65</v>
      </c>
      <c r="AF80" s="350">
        <v>5956247.0824490404</v>
      </c>
      <c r="AG80" s="350">
        <v>11959269.601087797</v>
      </c>
      <c r="AH80" s="350">
        <v>18007723.315094166</v>
      </c>
      <c r="AI80" s="350">
        <v>24101808.773944847</v>
      </c>
      <c r="AJ80" s="350">
        <v>30242404.830462582</v>
      </c>
      <c r="AK80" s="348">
        <v>90267453.60303843</v>
      </c>
      <c r="AL80" s="369"/>
      <c r="AM80" s="350">
        <v>7305487.1740107629</v>
      </c>
      <c r="AN80" s="350">
        <v>15945828.884035254</v>
      </c>
      <c r="AO80" s="350">
        <v>24373965.724406108</v>
      </c>
      <c r="AP80" s="350">
        <v>32585049.167641044</v>
      </c>
      <c r="AQ80" s="350">
        <v>40576843.256876469</v>
      </c>
      <c r="AR80" s="348">
        <v>120787174.20696963</v>
      </c>
      <c r="AS80" s="369"/>
      <c r="AT80" s="350">
        <f t="shared" si="50"/>
        <v>1349240.0915617226</v>
      </c>
      <c r="AU80" s="350">
        <f t="shared" ref="AU80:AU143" si="58">AN80-AG80</f>
        <v>3986559.2829474565</v>
      </c>
      <c r="AV80" s="350">
        <f t="shared" ref="AV80:AV143" si="59">AO80-AH80</f>
        <v>6366242.4093119428</v>
      </c>
      <c r="AW80" s="350">
        <f t="shared" ref="AW80:AW143" si="60">AP80-AI80</f>
        <v>8483240.3936961964</v>
      </c>
      <c r="AX80" s="350">
        <f t="shared" ref="AX80:AX143" si="61">AQ80-AJ80</f>
        <v>10334438.426413886</v>
      </c>
      <c r="AY80" s="350">
        <f t="shared" ref="AY80:AY143" si="62">AR80-AK80</f>
        <v>30519720.603931203</v>
      </c>
      <c r="AZ80" s="365"/>
      <c r="BA80" s="377">
        <f t="shared" ref="BA80:BA143" si="63">IF(AT80&lt;AT$8,1,0)</f>
        <v>0</v>
      </c>
      <c r="BB80" s="377">
        <f t="shared" ref="BB80:BB143" si="64">IF(AU80&lt;AU$8,1,0)</f>
        <v>0</v>
      </c>
      <c r="BC80" s="377">
        <f t="shared" ref="BC80:BC143" si="65">IF(AV80&lt;AV$8,1,0)</f>
        <v>0</v>
      </c>
      <c r="BD80" s="377">
        <f t="shared" ref="BD80:BD143" si="66">IF(AW80&lt;AW$8,1,0)</f>
        <v>0</v>
      </c>
      <c r="BE80" s="377">
        <f t="shared" ref="BE80:BE143" si="67">IF(AX80&lt;AX$8,1,0)</f>
        <v>0</v>
      </c>
      <c r="BF80" s="377">
        <f t="shared" ref="BF80:BF143" si="68">IF(AY80&lt;AY$8,1,0)</f>
        <v>0</v>
      </c>
      <c r="BG80" s="328"/>
    </row>
    <row r="81" spans="2:59">
      <c r="B81" s="332">
        <v>66</v>
      </c>
      <c r="C81" s="350">
        <v>6463774.0012169089</v>
      </c>
      <c r="D81" s="350">
        <v>12146800.683962528</v>
      </c>
      <c r="E81" s="350">
        <v>17872599.737537879</v>
      </c>
      <c r="F81" s="350">
        <v>23641576.459786393</v>
      </c>
      <c r="G81" s="350">
        <v>29454656.592599794</v>
      </c>
      <c r="H81" s="348">
        <v>89579407.475103498</v>
      </c>
      <c r="I81" s="369"/>
      <c r="J81" s="350">
        <v>7734417.0006532948</v>
      </c>
      <c r="K81" s="350">
        <v>15901160.878247689</v>
      </c>
      <c r="L81" s="350">
        <v>23891268.662142169</v>
      </c>
      <c r="M81" s="350">
        <v>31699479.728258554</v>
      </c>
      <c r="N81" s="350">
        <v>39322839.761486284</v>
      </c>
      <c r="O81" s="348">
        <v>118549166.03078797</v>
      </c>
      <c r="P81" s="369"/>
      <c r="Q81" s="350">
        <f t="shared" ref="Q81:Q144" si="69">J81-C81</f>
        <v>1270642.9994363859</v>
      </c>
      <c r="R81" s="350">
        <f t="shared" ref="R81:R144" si="70">K81-D81</f>
        <v>3754360.1942851618</v>
      </c>
      <c r="S81" s="350">
        <f t="shared" ref="S81:S144" si="71">L81-E81</f>
        <v>6018668.9246042892</v>
      </c>
      <c r="T81" s="350">
        <f t="shared" ref="T81:T144" si="72">M81-F81</f>
        <v>8057903.2684721611</v>
      </c>
      <c r="U81" s="350">
        <f t="shared" ref="U81:U144" si="73">N81-G81</f>
        <v>9868183.1688864902</v>
      </c>
      <c r="V81" s="350">
        <f t="shared" ref="V81:V144" si="74">O81-H81</f>
        <v>28969758.555684477</v>
      </c>
      <c r="W81" s="365"/>
      <c r="X81" s="377">
        <f t="shared" si="52"/>
        <v>0</v>
      </c>
      <c r="Y81" s="377">
        <f t="shared" si="53"/>
        <v>0</v>
      </c>
      <c r="Z81" s="377">
        <f t="shared" si="54"/>
        <v>0</v>
      </c>
      <c r="AA81" s="377">
        <f t="shared" si="55"/>
        <v>0</v>
      </c>
      <c r="AB81" s="377">
        <f t="shared" si="56"/>
        <v>0</v>
      </c>
      <c r="AC81" s="377">
        <f t="shared" si="57"/>
        <v>0</v>
      </c>
      <c r="AD81" s="376"/>
      <c r="AE81" s="332">
        <v>66</v>
      </c>
      <c r="AF81" s="350">
        <v>7523948.5964870136</v>
      </c>
      <c r="AG81" s="350">
        <v>15106984.059686914</v>
      </c>
      <c r="AH81" s="350">
        <v>22747408.340692926</v>
      </c>
      <c r="AI81" s="350">
        <v>30445474.774185918</v>
      </c>
      <c r="AJ81" s="350">
        <v>38202293.529601544</v>
      </c>
      <c r="AK81" s="348">
        <v>114026109.30065432</v>
      </c>
      <c r="AL81" s="369"/>
      <c r="AM81" s="350">
        <v>8995042.7335596979</v>
      </c>
      <c r="AN81" s="350">
        <v>19451007.404801361</v>
      </c>
      <c r="AO81" s="350">
        <v>29631927.763068251</v>
      </c>
      <c r="AP81" s="350">
        <v>39531745.111746483</v>
      </c>
      <c r="AQ81" s="350">
        <v>49147398.735954978</v>
      </c>
      <c r="AR81" s="348">
        <v>146757121.74913076</v>
      </c>
      <c r="AS81" s="369"/>
      <c r="AT81" s="350">
        <f t="shared" ref="AT81:AT144" si="75">AM81-AF81</f>
        <v>1471094.1370726842</v>
      </c>
      <c r="AU81" s="350">
        <f t="shared" si="58"/>
        <v>4344023.3451144472</v>
      </c>
      <c r="AV81" s="350">
        <f t="shared" si="59"/>
        <v>6884519.4223753251</v>
      </c>
      <c r="AW81" s="350">
        <f t="shared" si="60"/>
        <v>9086270.3375605643</v>
      </c>
      <c r="AX81" s="350">
        <f t="shared" si="61"/>
        <v>10945105.206353433</v>
      </c>
      <c r="AY81" s="350">
        <f t="shared" si="62"/>
        <v>32731012.448476434</v>
      </c>
      <c r="AZ81" s="365"/>
      <c r="BA81" s="377">
        <f t="shared" si="63"/>
        <v>0</v>
      </c>
      <c r="BB81" s="377">
        <f t="shared" si="64"/>
        <v>0</v>
      </c>
      <c r="BC81" s="377">
        <f t="shared" si="65"/>
        <v>0</v>
      </c>
      <c r="BD81" s="377">
        <f t="shared" si="66"/>
        <v>0</v>
      </c>
      <c r="BE81" s="377">
        <f t="shared" si="67"/>
        <v>0</v>
      </c>
      <c r="BF81" s="377">
        <f t="shared" si="68"/>
        <v>0</v>
      </c>
      <c r="BG81" s="328"/>
    </row>
    <row r="82" spans="2:59">
      <c r="B82" s="332">
        <v>67</v>
      </c>
      <c r="C82" s="350">
        <v>9726319.2358344626</v>
      </c>
      <c r="D82" s="350">
        <v>18319265.556873333</v>
      </c>
      <c r="E82" s="350">
        <v>26976898.83071648</v>
      </c>
      <c r="F82" s="350">
        <v>35699819.571537949</v>
      </c>
      <c r="G82" s="350">
        <v>44489422.178729214</v>
      </c>
      <c r="H82" s="348">
        <v>135211725.37369144</v>
      </c>
      <c r="I82" s="369"/>
      <c r="J82" s="350">
        <v>11278219.860859144</v>
      </c>
      <c r="K82" s="350">
        <v>22900580.910859291</v>
      </c>
      <c r="L82" s="350">
        <v>34247990.416072294</v>
      </c>
      <c r="M82" s="350">
        <v>45312453.140379928</v>
      </c>
      <c r="N82" s="350">
        <v>56088984.450885288</v>
      </c>
      <c r="O82" s="348">
        <v>169828228.77905595</v>
      </c>
      <c r="P82" s="369"/>
      <c r="Q82" s="350">
        <f t="shared" si="69"/>
        <v>1551900.6250246819</v>
      </c>
      <c r="R82" s="350">
        <f t="shared" si="70"/>
        <v>4581315.3539859578</v>
      </c>
      <c r="S82" s="350">
        <f t="shared" si="71"/>
        <v>7271091.5853558145</v>
      </c>
      <c r="T82" s="350">
        <f t="shared" si="72"/>
        <v>9612633.5688419789</v>
      </c>
      <c r="U82" s="350">
        <f t="shared" si="73"/>
        <v>11599562.272156075</v>
      </c>
      <c r="V82" s="350">
        <f t="shared" si="74"/>
        <v>34616503.405364513</v>
      </c>
      <c r="W82" s="365"/>
      <c r="X82" s="377">
        <f t="shared" si="52"/>
        <v>0</v>
      </c>
      <c r="Y82" s="377">
        <f t="shared" si="53"/>
        <v>0</v>
      </c>
      <c r="Z82" s="377">
        <f t="shared" si="54"/>
        <v>0</v>
      </c>
      <c r="AA82" s="377">
        <f t="shared" si="55"/>
        <v>0</v>
      </c>
      <c r="AB82" s="377">
        <f t="shared" si="56"/>
        <v>0</v>
      </c>
      <c r="AC82" s="377">
        <f t="shared" si="57"/>
        <v>0</v>
      </c>
      <c r="AD82" s="376"/>
      <c r="AE82" s="332">
        <v>67</v>
      </c>
      <c r="AF82" s="350">
        <v>4972377.0898097996</v>
      </c>
      <c r="AG82" s="350">
        <v>9983803.1149736997</v>
      </c>
      <c r="AH82" s="350">
        <v>15033155.880227719</v>
      </c>
      <c r="AI82" s="350">
        <v>20120602.807710253</v>
      </c>
      <c r="AJ82" s="350">
        <v>25246877.578811713</v>
      </c>
      <c r="AK82" s="348">
        <v>75356816.471533179</v>
      </c>
      <c r="AL82" s="369"/>
      <c r="AM82" s="350">
        <v>6093983.7789179254</v>
      </c>
      <c r="AN82" s="350">
        <v>13297728.246881714</v>
      </c>
      <c r="AO82" s="350">
        <v>20324177.829853218</v>
      </c>
      <c r="AP82" s="350">
        <v>27169286.240923695</v>
      </c>
      <c r="AQ82" s="350">
        <v>33831182.042162478</v>
      </c>
      <c r="AR82" s="348">
        <v>100716358.13873902</v>
      </c>
      <c r="AS82" s="369"/>
      <c r="AT82" s="350">
        <f t="shared" si="75"/>
        <v>1121606.6891081259</v>
      </c>
      <c r="AU82" s="350">
        <f t="shared" si="58"/>
        <v>3313925.1319080144</v>
      </c>
      <c r="AV82" s="350">
        <f t="shared" si="59"/>
        <v>5291021.9496254995</v>
      </c>
      <c r="AW82" s="350">
        <f t="shared" si="60"/>
        <v>7048683.4332134426</v>
      </c>
      <c r="AX82" s="350">
        <f t="shared" si="61"/>
        <v>8584304.4633507654</v>
      </c>
      <c r="AY82" s="350">
        <f t="shared" si="62"/>
        <v>25359541.66720584</v>
      </c>
      <c r="AZ82" s="365"/>
      <c r="BA82" s="377">
        <f t="shared" si="63"/>
        <v>0</v>
      </c>
      <c r="BB82" s="377">
        <f t="shared" si="64"/>
        <v>0</v>
      </c>
      <c r="BC82" s="377">
        <f t="shared" si="65"/>
        <v>0</v>
      </c>
      <c r="BD82" s="377">
        <f t="shared" si="66"/>
        <v>0</v>
      </c>
      <c r="BE82" s="377">
        <f t="shared" si="67"/>
        <v>0</v>
      </c>
      <c r="BF82" s="377">
        <f t="shared" si="68"/>
        <v>0</v>
      </c>
      <c r="BG82" s="328"/>
    </row>
    <row r="83" spans="2:59">
      <c r="B83" s="332">
        <v>68</v>
      </c>
      <c r="C83" s="350">
        <v>7681862.3426489076</v>
      </c>
      <c r="D83" s="350">
        <v>14473604.828587381</v>
      </c>
      <c r="E83" s="350">
        <v>21316476.594221905</v>
      </c>
      <c r="F83" s="350">
        <v>28210950.793685496</v>
      </c>
      <c r="G83" s="350">
        <v>35158128.894847952</v>
      </c>
      <c r="H83" s="348">
        <v>106841023.45399165</v>
      </c>
      <c r="I83" s="369"/>
      <c r="J83" s="350">
        <v>9034691.7116651535</v>
      </c>
      <c r="K83" s="350">
        <v>18468965.119778838</v>
      </c>
      <c r="L83" s="350">
        <v>27689557.192658767</v>
      </c>
      <c r="M83" s="350">
        <v>36690112.792712912</v>
      </c>
      <c r="N83" s="350">
        <v>45466820.852297105</v>
      </c>
      <c r="O83" s="348">
        <v>137350147.66911277</v>
      </c>
      <c r="P83" s="369"/>
      <c r="Q83" s="350">
        <f t="shared" si="69"/>
        <v>1352829.3690162459</v>
      </c>
      <c r="R83" s="350">
        <f t="shared" si="70"/>
        <v>3995360.2911914568</v>
      </c>
      <c r="S83" s="350">
        <f t="shared" si="71"/>
        <v>6373080.5984368622</v>
      </c>
      <c r="T83" s="350">
        <f t="shared" si="72"/>
        <v>8479161.9990274161</v>
      </c>
      <c r="U83" s="350">
        <f t="shared" si="73"/>
        <v>10308691.957449153</v>
      </c>
      <c r="V83" s="350">
        <f t="shared" si="74"/>
        <v>30509124.21512112</v>
      </c>
      <c r="W83" s="365"/>
      <c r="X83" s="377">
        <f t="shared" si="52"/>
        <v>0</v>
      </c>
      <c r="Y83" s="377">
        <f t="shared" si="53"/>
        <v>0</v>
      </c>
      <c r="Z83" s="377">
        <f t="shared" si="54"/>
        <v>0</v>
      </c>
      <c r="AA83" s="377">
        <f t="shared" si="55"/>
        <v>0</v>
      </c>
      <c r="AB83" s="377">
        <f t="shared" si="56"/>
        <v>0</v>
      </c>
      <c r="AC83" s="377">
        <f t="shared" si="57"/>
        <v>0</v>
      </c>
      <c r="AD83" s="376"/>
      <c r="AE83" s="332">
        <v>68</v>
      </c>
      <c r="AF83" s="350">
        <v>6106401.3153241025</v>
      </c>
      <c r="AG83" s="350">
        <v>12260757.253940344</v>
      </c>
      <c r="AH83" s="350">
        <v>18461689.687337499</v>
      </c>
      <c r="AI83" s="350">
        <v>24709404.220751785</v>
      </c>
      <c r="AJ83" s="350">
        <v>31004801.862478931</v>
      </c>
      <c r="AK83" s="348">
        <v>92543054.339832664</v>
      </c>
      <c r="AL83" s="369"/>
      <c r="AM83" s="350">
        <v>7013894.4709013924</v>
      </c>
      <c r="AN83" s="350">
        <v>14936849.460313145</v>
      </c>
      <c r="AO83" s="350">
        <v>22628000.811848998</v>
      </c>
      <c r="AP83" s="350">
        <v>30082512.331653133</v>
      </c>
      <c r="AQ83" s="350">
        <v>37297609.861415222</v>
      </c>
      <c r="AR83" s="348">
        <v>111958866.93613189</v>
      </c>
      <c r="AS83" s="369"/>
      <c r="AT83" s="350">
        <f t="shared" si="75"/>
        <v>907493.15557728987</v>
      </c>
      <c r="AU83" s="350">
        <f t="shared" si="58"/>
        <v>2676092.2063728012</v>
      </c>
      <c r="AV83" s="350">
        <f t="shared" si="59"/>
        <v>4166311.124511499</v>
      </c>
      <c r="AW83" s="350">
        <f t="shared" si="60"/>
        <v>5373108.1109013483</v>
      </c>
      <c r="AX83" s="350">
        <f t="shared" si="61"/>
        <v>6292807.9989362918</v>
      </c>
      <c r="AY83" s="350">
        <f t="shared" si="62"/>
        <v>19415812.596299231</v>
      </c>
      <c r="AZ83" s="365"/>
      <c r="BA83" s="377">
        <f t="shared" si="63"/>
        <v>0</v>
      </c>
      <c r="BB83" s="377">
        <f t="shared" si="64"/>
        <v>0</v>
      </c>
      <c r="BC83" s="377">
        <f t="shared" si="65"/>
        <v>0</v>
      </c>
      <c r="BD83" s="377">
        <f t="shared" si="66"/>
        <v>0</v>
      </c>
      <c r="BE83" s="377">
        <f t="shared" si="67"/>
        <v>0</v>
      </c>
      <c r="BF83" s="377">
        <f t="shared" si="68"/>
        <v>0</v>
      </c>
      <c r="BG83" s="328"/>
    </row>
    <row r="84" spans="2:59">
      <c r="B84" s="332">
        <v>69</v>
      </c>
      <c r="C84" s="350">
        <v>7492644.8800048158</v>
      </c>
      <c r="D84" s="350">
        <v>14184831.639191914</v>
      </c>
      <c r="E84" s="350">
        <v>20927420.222960867</v>
      </c>
      <c r="F84" s="350">
        <v>27720856.843662228</v>
      </c>
      <c r="G84" s="350">
        <v>34566218.118840247</v>
      </c>
      <c r="H84" s="348">
        <v>104891971.70466007</v>
      </c>
      <c r="I84" s="369"/>
      <c r="J84" s="350">
        <v>8566458.7778387871</v>
      </c>
      <c r="K84" s="350">
        <v>17352964.239158563</v>
      </c>
      <c r="L84" s="350">
        <v>25918858.681749724</v>
      </c>
      <c r="M84" s="350">
        <v>34258030.07418485</v>
      </c>
      <c r="N84" s="350">
        <v>42366552.331065178</v>
      </c>
      <c r="O84" s="348">
        <v>128462864.10399711</v>
      </c>
      <c r="P84" s="369"/>
      <c r="Q84" s="350">
        <f t="shared" si="69"/>
        <v>1073813.8978339713</v>
      </c>
      <c r="R84" s="350">
        <f t="shared" si="70"/>
        <v>3168132.599966649</v>
      </c>
      <c r="S84" s="350">
        <f t="shared" si="71"/>
        <v>4991438.4587888569</v>
      </c>
      <c r="T84" s="350">
        <f t="shared" si="72"/>
        <v>6537173.2305226214</v>
      </c>
      <c r="U84" s="350">
        <f t="shared" si="73"/>
        <v>7800334.2122249305</v>
      </c>
      <c r="V84" s="350">
        <f t="shared" si="74"/>
        <v>23570892.399337038</v>
      </c>
      <c r="W84" s="365"/>
      <c r="X84" s="377">
        <f t="shared" si="52"/>
        <v>0</v>
      </c>
      <c r="Y84" s="377">
        <f t="shared" si="53"/>
        <v>0</v>
      </c>
      <c r="Z84" s="377">
        <f t="shared" si="54"/>
        <v>0</v>
      </c>
      <c r="AA84" s="377">
        <f t="shared" si="55"/>
        <v>0</v>
      </c>
      <c r="AB84" s="377">
        <f t="shared" si="56"/>
        <v>0</v>
      </c>
      <c r="AC84" s="377">
        <f t="shared" si="57"/>
        <v>0</v>
      </c>
      <c r="AD84" s="376"/>
      <c r="AE84" s="332">
        <v>69</v>
      </c>
      <c r="AF84" s="350">
        <v>8605520.3088742718</v>
      </c>
      <c r="AG84" s="350">
        <v>17278621.253762312</v>
      </c>
      <c r="AH84" s="350">
        <v>26017360.690301314</v>
      </c>
      <c r="AI84" s="350">
        <v>34822028.370170623</v>
      </c>
      <c r="AJ84" s="350">
        <v>43693894.050267473</v>
      </c>
      <c r="AK84" s="348">
        <v>130417424.67337599</v>
      </c>
      <c r="AL84" s="369"/>
      <c r="AM84" s="350">
        <v>9714420.6781285666</v>
      </c>
      <c r="AN84" s="350">
        <v>20545780.314208861</v>
      </c>
      <c r="AO84" s="350">
        <v>31045376.439114094</v>
      </c>
      <c r="AP84" s="350">
        <v>41206441.668847337</v>
      </c>
      <c r="AQ84" s="350">
        <v>51024894.321592182</v>
      </c>
      <c r="AR84" s="348">
        <v>153536913.42189103</v>
      </c>
      <c r="AS84" s="369"/>
      <c r="AT84" s="350">
        <f t="shared" si="75"/>
        <v>1108900.3692542948</v>
      </c>
      <c r="AU84" s="350">
        <f t="shared" si="58"/>
        <v>3267159.0604465492</v>
      </c>
      <c r="AV84" s="350">
        <f t="shared" si="59"/>
        <v>5028015.7488127798</v>
      </c>
      <c r="AW84" s="350">
        <f t="shared" si="60"/>
        <v>6384413.2986767143</v>
      </c>
      <c r="AX84" s="350">
        <f t="shared" si="61"/>
        <v>7331000.2713247091</v>
      </c>
      <c r="AY84" s="350">
        <f t="shared" si="62"/>
        <v>23119488.74851504</v>
      </c>
      <c r="AZ84" s="365"/>
      <c r="BA84" s="377">
        <f t="shared" si="63"/>
        <v>0</v>
      </c>
      <c r="BB84" s="377">
        <f t="shared" si="64"/>
        <v>0</v>
      </c>
      <c r="BC84" s="377">
        <f t="shared" si="65"/>
        <v>0</v>
      </c>
      <c r="BD84" s="377">
        <f t="shared" si="66"/>
        <v>0</v>
      </c>
      <c r="BE84" s="377">
        <f t="shared" si="67"/>
        <v>0</v>
      </c>
      <c r="BF84" s="377">
        <f t="shared" si="68"/>
        <v>0</v>
      </c>
      <c r="BG84" s="328"/>
    </row>
    <row r="85" spans="2:59">
      <c r="B85" s="332">
        <v>70</v>
      </c>
      <c r="C85" s="350">
        <v>7742783.1637079604</v>
      </c>
      <c r="D85" s="350">
        <v>14409231.311399408</v>
      </c>
      <c r="E85" s="350">
        <v>21125807.27462998</v>
      </c>
      <c r="F85" s="350">
        <v>27893028.39286752</v>
      </c>
      <c r="G85" s="350">
        <v>34711998.836881034</v>
      </c>
      <c r="H85" s="348">
        <v>105882848.9794859</v>
      </c>
      <c r="I85" s="369"/>
      <c r="J85" s="350">
        <v>8967928.0526562873</v>
      </c>
      <c r="K85" s="350">
        <v>18026246.456979144</v>
      </c>
      <c r="L85" s="350">
        <v>26869348.680934969</v>
      </c>
      <c r="M85" s="350">
        <v>35491191.687610574</v>
      </c>
      <c r="N85" s="350">
        <v>43888070.550276227</v>
      </c>
      <c r="O85" s="348">
        <v>133242785.4284572</v>
      </c>
      <c r="P85" s="369"/>
      <c r="Q85" s="350">
        <f t="shared" si="69"/>
        <v>1225144.8889483269</v>
      </c>
      <c r="R85" s="350">
        <f t="shared" si="70"/>
        <v>3617015.1455797367</v>
      </c>
      <c r="S85" s="350">
        <f t="shared" si="71"/>
        <v>5743541.406304989</v>
      </c>
      <c r="T85" s="350">
        <f t="shared" si="72"/>
        <v>7598163.2947430536</v>
      </c>
      <c r="U85" s="350">
        <f t="shared" si="73"/>
        <v>9176071.7133951932</v>
      </c>
      <c r="V85" s="350">
        <f t="shared" si="74"/>
        <v>27359936.448971301</v>
      </c>
      <c r="W85" s="365"/>
      <c r="X85" s="377">
        <f t="shared" si="52"/>
        <v>0</v>
      </c>
      <c r="Y85" s="377">
        <f t="shared" si="53"/>
        <v>0</v>
      </c>
      <c r="Z85" s="377">
        <f t="shared" si="54"/>
        <v>0</v>
      </c>
      <c r="AA85" s="377">
        <f t="shared" si="55"/>
        <v>0</v>
      </c>
      <c r="AB85" s="377">
        <f t="shared" si="56"/>
        <v>0</v>
      </c>
      <c r="AC85" s="377">
        <f t="shared" si="57"/>
        <v>0</v>
      </c>
      <c r="AD85" s="376"/>
      <c r="AE85" s="332">
        <v>70</v>
      </c>
      <c r="AF85" s="350">
        <v>4856266.5798103083</v>
      </c>
      <c r="AG85" s="350">
        <v>9750670.2591028605</v>
      </c>
      <c r="AH85" s="350">
        <v>14682115.047115475</v>
      </c>
      <c r="AI85" s="350">
        <v>19650764.456494261</v>
      </c>
      <c r="AJ85" s="350">
        <v>24657335.0363569</v>
      </c>
      <c r="AK85" s="348">
        <v>73597151.3788798</v>
      </c>
      <c r="AL85" s="369"/>
      <c r="AM85" s="350">
        <v>5759099.7276790533</v>
      </c>
      <c r="AN85" s="350">
        <v>12416067.58788484</v>
      </c>
      <c r="AO85" s="350">
        <v>18894112.679848015</v>
      </c>
      <c r="AP85" s="350">
        <v>25189337.67149356</v>
      </c>
      <c r="AQ85" s="350">
        <v>31299719.783826657</v>
      </c>
      <c r="AR85" s="348">
        <v>93558337.450732127</v>
      </c>
      <c r="AS85" s="369"/>
      <c r="AT85" s="350">
        <f t="shared" si="75"/>
        <v>902833.14786874503</v>
      </c>
      <c r="AU85" s="350">
        <f t="shared" si="58"/>
        <v>2665397.3287819792</v>
      </c>
      <c r="AV85" s="350">
        <f t="shared" si="59"/>
        <v>4211997.6327325404</v>
      </c>
      <c r="AW85" s="350">
        <f t="shared" si="60"/>
        <v>5538573.2149992995</v>
      </c>
      <c r="AX85" s="350">
        <f t="shared" si="61"/>
        <v>6642384.7474697568</v>
      </c>
      <c r="AY85" s="350">
        <f t="shared" si="62"/>
        <v>19961186.071852326</v>
      </c>
      <c r="AZ85" s="365"/>
      <c r="BA85" s="377">
        <f t="shared" si="63"/>
        <v>0</v>
      </c>
      <c r="BB85" s="377">
        <f t="shared" si="64"/>
        <v>0</v>
      </c>
      <c r="BC85" s="377">
        <f t="shared" si="65"/>
        <v>0</v>
      </c>
      <c r="BD85" s="377">
        <f t="shared" si="66"/>
        <v>0</v>
      </c>
      <c r="BE85" s="377">
        <f t="shared" si="67"/>
        <v>0</v>
      </c>
      <c r="BF85" s="377">
        <f t="shared" si="68"/>
        <v>0</v>
      </c>
      <c r="BG85" s="328"/>
    </row>
    <row r="86" spans="2:59">
      <c r="B86" s="332">
        <v>71</v>
      </c>
      <c r="C86" s="350">
        <v>10078960.436204169</v>
      </c>
      <c r="D86" s="350">
        <v>18907174.963118471</v>
      </c>
      <c r="E86" s="350">
        <v>27801822.710319437</v>
      </c>
      <c r="F86" s="350">
        <v>36763543.17999687</v>
      </c>
      <c r="G86" s="350">
        <v>45793778.759012476</v>
      </c>
      <c r="H86" s="348">
        <v>139345280.0486514</v>
      </c>
      <c r="I86" s="369"/>
      <c r="J86" s="350">
        <v>11459290.042290598</v>
      </c>
      <c r="K86" s="350">
        <v>22979068.171383046</v>
      </c>
      <c r="L86" s="350">
        <v>34209015.539394274</v>
      </c>
      <c r="M86" s="350">
        <v>45141025.892891936</v>
      </c>
      <c r="N86" s="350">
        <v>55769797.156024754</v>
      </c>
      <c r="O86" s="348">
        <v>169558196.80198461</v>
      </c>
      <c r="P86" s="369"/>
      <c r="Q86" s="350">
        <f t="shared" si="69"/>
        <v>1380329.6060864292</v>
      </c>
      <c r="R86" s="350">
        <f t="shared" si="70"/>
        <v>4071893.2082645744</v>
      </c>
      <c r="S86" s="350">
        <f t="shared" si="71"/>
        <v>6407192.8290748373</v>
      </c>
      <c r="T86" s="350">
        <f t="shared" si="72"/>
        <v>8377482.7128950655</v>
      </c>
      <c r="U86" s="350">
        <f t="shared" si="73"/>
        <v>9976018.3970122784</v>
      </c>
      <c r="V86" s="350">
        <f t="shared" si="74"/>
        <v>30212916.753333211</v>
      </c>
      <c r="W86" s="365"/>
      <c r="X86" s="377">
        <f t="shared" si="52"/>
        <v>0</v>
      </c>
      <c r="Y86" s="377">
        <f t="shared" si="53"/>
        <v>0</v>
      </c>
      <c r="Z86" s="377">
        <f t="shared" si="54"/>
        <v>0</v>
      </c>
      <c r="AA86" s="377">
        <f t="shared" si="55"/>
        <v>0</v>
      </c>
      <c r="AB86" s="377">
        <f t="shared" si="56"/>
        <v>0</v>
      </c>
      <c r="AC86" s="377">
        <f t="shared" si="57"/>
        <v>0</v>
      </c>
      <c r="AD86" s="376"/>
      <c r="AE86" s="332">
        <v>71</v>
      </c>
      <c r="AF86" s="350">
        <v>4901397.8819632586</v>
      </c>
      <c r="AG86" s="350">
        <v>9841287.2873127349</v>
      </c>
      <c r="AH86" s="350">
        <v>14818562.039788932</v>
      </c>
      <c r="AI86" s="350">
        <v>19833387.171628881</v>
      </c>
      <c r="AJ86" s="350">
        <v>24886485.891138807</v>
      </c>
      <c r="AK86" s="348">
        <v>74281120.271832615</v>
      </c>
      <c r="AL86" s="369"/>
      <c r="AM86" s="350">
        <v>5964169.3528807638</v>
      </c>
      <c r="AN86" s="350">
        <v>12980901.88733511</v>
      </c>
      <c r="AO86" s="350">
        <v>19821587.757944956</v>
      </c>
      <c r="AP86" s="350">
        <v>26482250.549736571</v>
      </c>
      <c r="AQ86" s="350">
        <v>32961002.167704642</v>
      </c>
      <c r="AR86" s="348">
        <v>98209911.71560204</v>
      </c>
      <c r="AS86" s="369"/>
      <c r="AT86" s="350">
        <f t="shared" si="75"/>
        <v>1062771.4709175052</v>
      </c>
      <c r="AU86" s="350">
        <f t="shared" si="58"/>
        <v>3139614.6000223756</v>
      </c>
      <c r="AV86" s="350">
        <f t="shared" si="59"/>
        <v>5003025.7181560248</v>
      </c>
      <c r="AW86" s="350">
        <f t="shared" si="60"/>
        <v>6648863.3781076893</v>
      </c>
      <c r="AX86" s="350">
        <f t="shared" si="61"/>
        <v>8074516.2765658349</v>
      </c>
      <c r="AY86" s="350">
        <f t="shared" si="62"/>
        <v>23928791.443769425</v>
      </c>
      <c r="AZ86" s="365"/>
      <c r="BA86" s="377">
        <f t="shared" si="63"/>
        <v>0</v>
      </c>
      <c r="BB86" s="377">
        <f t="shared" si="64"/>
        <v>0</v>
      </c>
      <c r="BC86" s="377">
        <f t="shared" si="65"/>
        <v>0</v>
      </c>
      <c r="BD86" s="377">
        <f t="shared" si="66"/>
        <v>0</v>
      </c>
      <c r="BE86" s="377">
        <f t="shared" si="67"/>
        <v>0</v>
      </c>
      <c r="BF86" s="377">
        <f t="shared" si="68"/>
        <v>0</v>
      </c>
      <c r="BG86" s="328"/>
    </row>
    <row r="87" spans="2:59">
      <c r="B87" s="332">
        <v>72</v>
      </c>
      <c r="C87" s="350">
        <v>8252278.8234772291</v>
      </c>
      <c r="D87" s="350">
        <v>15396470.492475782</v>
      </c>
      <c r="E87" s="350">
        <v>22594395.371577248</v>
      </c>
      <c r="F87" s="350">
        <v>29846596.024207711</v>
      </c>
      <c r="G87" s="350">
        <v>37154250.594124191</v>
      </c>
      <c r="H87" s="348">
        <v>113243991.30586216</v>
      </c>
      <c r="I87" s="369"/>
      <c r="J87" s="350">
        <v>9345668.1065514926</v>
      </c>
      <c r="K87" s="350">
        <v>18621560.861492682</v>
      </c>
      <c r="L87" s="350">
        <v>27664050.990809061</v>
      </c>
      <c r="M87" s="350">
        <v>36466560.407995008</v>
      </c>
      <c r="N87" s="350">
        <v>45024733.032677047</v>
      </c>
      <c r="O87" s="348">
        <v>137122573.39952528</v>
      </c>
      <c r="P87" s="369"/>
      <c r="Q87" s="350">
        <f t="shared" si="69"/>
        <v>1093389.2830742635</v>
      </c>
      <c r="R87" s="350">
        <f t="shared" si="70"/>
        <v>3225090.3690169007</v>
      </c>
      <c r="S87" s="350">
        <f t="shared" si="71"/>
        <v>5069655.6192318127</v>
      </c>
      <c r="T87" s="350">
        <f t="shared" si="72"/>
        <v>6619964.3837872967</v>
      </c>
      <c r="U87" s="350">
        <f t="shared" si="73"/>
        <v>7870482.4385528564</v>
      </c>
      <c r="V87" s="350">
        <f t="shared" si="74"/>
        <v>23878582.093663126</v>
      </c>
      <c r="W87" s="365"/>
      <c r="X87" s="377">
        <f t="shared" si="52"/>
        <v>0</v>
      </c>
      <c r="Y87" s="377">
        <f t="shared" si="53"/>
        <v>0</v>
      </c>
      <c r="Z87" s="377">
        <f t="shared" si="54"/>
        <v>0</v>
      </c>
      <c r="AA87" s="377">
        <f t="shared" si="55"/>
        <v>0</v>
      </c>
      <c r="AB87" s="377">
        <f t="shared" si="56"/>
        <v>0</v>
      </c>
      <c r="AC87" s="377">
        <f t="shared" si="57"/>
        <v>0</v>
      </c>
      <c r="AD87" s="376"/>
      <c r="AE87" s="332">
        <v>72</v>
      </c>
      <c r="AF87" s="350">
        <v>5522454.1625914369</v>
      </c>
      <c r="AG87" s="350">
        <v>11088277.110714639</v>
      </c>
      <c r="AH87" s="350">
        <v>16696222.50448128</v>
      </c>
      <c r="AI87" s="350">
        <v>22346476.287368372</v>
      </c>
      <c r="AJ87" s="350">
        <v>28039853.305429485</v>
      </c>
      <c r="AK87" s="348">
        <v>83693283.370585218</v>
      </c>
      <c r="AL87" s="369"/>
      <c r="AM87" s="350">
        <v>6490614.2038705619</v>
      </c>
      <c r="AN87" s="350">
        <v>13945749.352834713</v>
      </c>
      <c r="AO87" s="350">
        <v>21195664.093971565</v>
      </c>
      <c r="AP87" s="350">
        <v>28235943.008181818</v>
      </c>
      <c r="AQ87" s="350">
        <v>35064226.55781763</v>
      </c>
      <c r="AR87" s="348">
        <v>104932197.21667629</v>
      </c>
      <c r="AS87" s="369"/>
      <c r="AT87" s="350">
        <f t="shared" si="75"/>
        <v>968160.04127912503</v>
      </c>
      <c r="AU87" s="350">
        <f t="shared" si="58"/>
        <v>2857472.2421200741</v>
      </c>
      <c r="AV87" s="350">
        <f t="shared" si="59"/>
        <v>4499441.5894902851</v>
      </c>
      <c r="AW87" s="350">
        <f t="shared" si="60"/>
        <v>5889466.7208134457</v>
      </c>
      <c r="AX87" s="350">
        <f t="shared" si="61"/>
        <v>7024373.2523881458</v>
      </c>
      <c r="AY87" s="350">
        <f t="shared" si="62"/>
        <v>21238913.846091077</v>
      </c>
      <c r="AZ87" s="365"/>
      <c r="BA87" s="377">
        <f t="shared" si="63"/>
        <v>0</v>
      </c>
      <c r="BB87" s="377">
        <f t="shared" si="64"/>
        <v>0</v>
      </c>
      <c r="BC87" s="377">
        <f t="shared" si="65"/>
        <v>0</v>
      </c>
      <c r="BD87" s="377">
        <f t="shared" si="66"/>
        <v>0</v>
      </c>
      <c r="BE87" s="377">
        <f t="shared" si="67"/>
        <v>0</v>
      </c>
      <c r="BF87" s="377">
        <f t="shared" si="68"/>
        <v>0</v>
      </c>
      <c r="BG87" s="328"/>
    </row>
    <row r="88" spans="2:59">
      <c r="B88" s="332">
        <v>73</v>
      </c>
      <c r="C88" s="350">
        <v>10373421.740288373</v>
      </c>
      <c r="D88" s="350">
        <v>19508565.264976826</v>
      </c>
      <c r="E88" s="350">
        <v>28712467.760469217</v>
      </c>
      <c r="F88" s="350">
        <v>37985776.351704039</v>
      </c>
      <c r="G88" s="350">
        <v>47329977.215663254</v>
      </c>
      <c r="H88" s="348">
        <v>143910208.33310172</v>
      </c>
      <c r="I88" s="369"/>
      <c r="J88" s="350">
        <v>11462318.003065068</v>
      </c>
      <c r="K88" s="350">
        <v>22715395.195073172</v>
      </c>
      <c r="L88" s="350">
        <v>33655596.658536091</v>
      </c>
      <c r="M88" s="350">
        <v>44274726.831823856</v>
      </c>
      <c r="N88" s="350">
        <v>54567064.667584397</v>
      </c>
      <c r="O88" s="348">
        <v>166675101.35608259</v>
      </c>
      <c r="P88" s="369"/>
      <c r="Q88" s="350">
        <f t="shared" si="69"/>
        <v>1088896.2627766952</v>
      </c>
      <c r="R88" s="350">
        <f t="shared" si="70"/>
        <v>3206829.9300963469</v>
      </c>
      <c r="S88" s="350">
        <f t="shared" si="71"/>
        <v>4943128.8980668746</v>
      </c>
      <c r="T88" s="350">
        <f t="shared" si="72"/>
        <v>6288950.480119817</v>
      </c>
      <c r="U88" s="350">
        <f t="shared" si="73"/>
        <v>7237087.4519211426</v>
      </c>
      <c r="V88" s="350">
        <f t="shared" si="74"/>
        <v>22764893.022980869</v>
      </c>
      <c r="W88" s="365"/>
      <c r="X88" s="377">
        <f t="shared" si="52"/>
        <v>0</v>
      </c>
      <c r="Y88" s="377">
        <f t="shared" si="53"/>
        <v>0</v>
      </c>
      <c r="Z88" s="377">
        <f t="shared" si="54"/>
        <v>0</v>
      </c>
      <c r="AA88" s="377">
        <f t="shared" si="55"/>
        <v>0</v>
      </c>
      <c r="AB88" s="377">
        <f t="shared" si="56"/>
        <v>0</v>
      </c>
      <c r="AC88" s="377">
        <f t="shared" si="57"/>
        <v>0</v>
      </c>
      <c r="AD88" s="376"/>
      <c r="AE88" s="332">
        <v>73</v>
      </c>
      <c r="AF88" s="350">
        <v>6377453.7057676651</v>
      </c>
      <c r="AG88" s="350">
        <v>12804990.656024301</v>
      </c>
      <c r="AH88" s="350">
        <v>19281171.549563337</v>
      </c>
      <c r="AI88" s="350">
        <v>25806211.118074998</v>
      </c>
      <c r="AJ88" s="350">
        <v>32381050.364025034</v>
      </c>
      <c r="AK88" s="348">
        <v>96650877.393455327</v>
      </c>
      <c r="AL88" s="369"/>
      <c r="AM88" s="350">
        <v>7360646.7841442926</v>
      </c>
      <c r="AN88" s="350">
        <v>15704908.972793128</v>
      </c>
      <c r="AO88" s="350">
        <v>23808138.946002401</v>
      </c>
      <c r="AP88" s="350">
        <v>31665275.822299674</v>
      </c>
      <c r="AQ88" s="350">
        <v>39273458.173408203</v>
      </c>
      <c r="AR88" s="348">
        <v>117812428.69864771</v>
      </c>
      <c r="AS88" s="369"/>
      <c r="AT88" s="350">
        <f t="shared" si="75"/>
        <v>983193.07837662753</v>
      </c>
      <c r="AU88" s="350">
        <f t="shared" si="58"/>
        <v>2899918.3167688269</v>
      </c>
      <c r="AV88" s="350">
        <f t="shared" si="59"/>
        <v>4526967.3964390643</v>
      </c>
      <c r="AW88" s="350">
        <f t="shared" si="60"/>
        <v>5859064.7042246759</v>
      </c>
      <c r="AX88" s="350">
        <f t="shared" si="61"/>
        <v>6892407.8093831688</v>
      </c>
      <c r="AY88" s="350">
        <f t="shared" si="62"/>
        <v>21161551.305192381</v>
      </c>
      <c r="AZ88" s="365"/>
      <c r="BA88" s="377">
        <f t="shared" si="63"/>
        <v>0</v>
      </c>
      <c r="BB88" s="377">
        <f t="shared" si="64"/>
        <v>0</v>
      </c>
      <c r="BC88" s="377">
        <f t="shared" si="65"/>
        <v>0</v>
      </c>
      <c r="BD88" s="377">
        <f t="shared" si="66"/>
        <v>0</v>
      </c>
      <c r="BE88" s="377">
        <f t="shared" si="67"/>
        <v>0</v>
      </c>
      <c r="BF88" s="377">
        <f t="shared" si="68"/>
        <v>0</v>
      </c>
      <c r="BG88" s="328"/>
    </row>
    <row r="89" spans="2:59">
      <c r="B89" s="332">
        <v>74</v>
      </c>
      <c r="C89" s="350">
        <v>8732992.7282800414</v>
      </c>
      <c r="D89" s="350">
        <v>16536974.458922455</v>
      </c>
      <c r="E89" s="350">
        <v>24399732.707801118</v>
      </c>
      <c r="F89" s="350">
        <v>32321786.661226727</v>
      </c>
      <c r="G89" s="350">
        <v>40304391.295447484</v>
      </c>
      <c r="H89" s="348">
        <v>122295877.85167782</v>
      </c>
      <c r="I89" s="369"/>
      <c r="J89" s="350">
        <v>9770744.0686538853</v>
      </c>
      <c r="K89" s="350">
        <v>19595399.672021516</v>
      </c>
      <c r="L89" s="350">
        <v>29147278.146909449</v>
      </c>
      <c r="M89" s="350">
        <v>38419657.811392508</v>
      </c>
      <c r="N89" s="350">
        <v>47408102.707593396</v>
      </c>
      <c r="O89" s="348">
        <v>144341182.40657073</v>
      </c>
      <c r="P89" s="369"/>
      <c r="Q89" s="350">
        <f t="shared" si="69"/>
        <v>1037751.3403738439</v>
      </c>
      <c r="R89" s="350">
        <f t="shared" si="70"/>
        <v>3058425.2130990606</v>
      </c>
      <c r="S89" s="350">
        <f t="shared" si="71"/>
        <v>4747545.4391083308</v>
      </c>
      <c r="T89" s="350">
        <f t="shared" si="72"/>
        <v>6097871.1501657814</v>
      </c>
      <c r="U89" s="350">
        <f t="shared" si="73"/>
        <v>7103711.4121459126</v>
      </c>
      <c r="V89" s="350">
        <f t="shared" si="74"/>
        <v>22045304.554892913</v>
      </c>
      <c r="W89" s="365"/>
      <c r="X89" s="377">
        <f t="shared" si="52"/>
        <v>0</v>
      </c>
      <c r="Y89" s="377">
        <f t="shared" si="53"/>
        <v>0</v>
      </c>
      <c r="Z89" s="377">
        <f t="shared" si="54"/>
        <v>0</v>
      </c>
      <c r="AA89" s="377">
        <f t="shared" si="55"/>
        <v>0</v>
      </c>
      <c r="AB89" s="377">
        <f t="shared" si="56"/>
        <v>0</v>
      </c>
      <c r="AC89" s="377">
        <f t="shared" si="57"/>
        <v>0</v>
      </c>
      <c r="AD89" s="376"/>
      <c r="AE89" s="332">
        <v>74</v>
      </c>
      <c r="AF89" s="350">
        <v>6945025.3582210168</v>
      </c>
      <c r="AG89" s="350">
        <v>13944591.199061815</v>
      </c>
      <c r="AH89" s="350">
        <v>20997130.128412001</v>
      </c>
      <c r="AI89" s="350">
        <v>28102875.98835066</v>
      </c>
      <c r="AJ89" s="350">
        <v>35262853.527357079</v>
      </c>
      <c r="AK89" s="348">
        <v>105252476.20140257</v>
      </c>
      <c r="AL89" s="369"/>
      <c r="AM89" s="350">
        <v>7980995.6805390492</v>
      </c>
      <c r="AN89" s="350">
        <v>16999612.393935211</v>
      </c>
      <c r="AO89" s="350">
        <v>25754705.863407053</v>
      </c>
      <c r="AP89" s="350">
        <v>34240774.627392404</v>
      </c>
      <c r="AQ89" s="350">
        <v>42454667.433389798</v>
      </c>
      <c r="AR89" s="348">
        <v>127430755.99866351</v>
      </c>
      <c r="AS89" s="369"/>
      <c r="AT89" s="350">
        <f t="shared" si="75"/>
        <v>1035970.3223180324</v>
      </c>
      <c r="AU89" s="350">
        <f t="shared" si="58"/>
        <v>3055021.1948733963</v>
      </c>
      <c r="AV89" s="350">
        <f t="shared" si="59"/>
        <v>4757575.7349950522</v>
      </c>
      <c r="AW89" s="350">
        <f t="shared" si="60"/>
        <v>6137898.6390417442</v>
      </c>
      <c r="AX89" s="350">
        <f t="shared" si="61"/>
        <v>7191813.9060327187</v>
      </c>
      <c r="AY89" s="350">
        <f t="shared" si="62"/>
        <v>22178279.79726094</v>
      </c>
      <c r="AZ89" s="365"/>
      <c r="BA89" s="377">
        <f t="shared" si="63"/>
        <v>0</v>
      </c>
      <c r="BB89" s="377">
        <f t="shared" si="64"/>
        <v>0</v>
      </c>
      <c r="BC89" s="377">
        <f t="shared" si="65"/>
        <v>0</v>
      </c>
      <c r="BD89" s="377">
        <f t="shared" si="66"/>
        <v>0</v>
      </c>
      <c r="BE89" s="377">
        <f t="shared" si="67"/>
        <v>0</v>
      </c>
      <c r="BF89" s="377">
        <f t="shared" si="68"/>
        <v>0</v>
      </c>
      <c r="BG89" s="328"/>
    </row>
    <row r="90" spans="2:59">
      <c r="B90" s="332">
        <v>75</v>
      </c>
      <c r="C90" s="350">
        <v>10550481.776260756</v>
      </c>
      <c r="D90" s="350">
        <v>19752590.97142208</v>
      </c>
      <c r="E90" s="350">
        <v>29023934.150701765</v>
      </c>
      <c r="F90" s="350">
        <v>38365189.561283469</v>
      </c>
      <c r="G90" s="350">
        <v>47777865.751867875</v>
      </c>
      <c r="H90" s="348">
        <v>145470062.21153593</v>
      </c>
      <c r="I90" s="369"/>
      <c r="J90" s="350">
        <v>11746436.709775593</v>
      </c>
      <c r="K90" s="350">
        <v>23276773.900851976</v>
      </c>
      <c r="L90" s="350">
        <v>34500323.268011123</v>
      </c>
      <c r="M90" s="350">
        <v>45408623.173389629</v>
      </c>
      <c r="N90" s="350">
        <v>55995809.872048087</v>
      </c>
      <c r="O90" s="348">
        <v>170927966.92407641</v>
      </c>
      <c r="P90" s="369"/>
      <c r="Q90" s="350">
        <f t="shared" si="69"/>
        <v>1195954.9335148372</v>
      </c>
      <c r="R90" s="350">
        <f t="shared" si="70"/>
        <v>3524182.9294298962</v>
      </c>
      <c r="S90" s="350">
        <f t="shared" si="71"/>
        <v>5476389.117309358</v>
      </c>
      <c r="T90" s="350">
        <f t="shared" si="72"/>
        <v>7043433.6121061593</v>
      </c>
      <c r="U90" s="350">
        <f t="shared" si="73"/>
        <v>8217944.120180212</v>
      </c>
      <c r="V90" s="350">
        <f t="shared" si="74"/>
        <v>25457904.712540478</v>
      </c>
      <c r="W90" s="365"/>
      <c r="X90" s="377">
        <f t="shared" si="52"/>
        <v>0</v>
      </c>
      <c r="Y90" s="377">
        <f t="shared" si="53"/>
        <v>0</v>
      </c>
      <c r="Z90" s="377">
        <f t="shared" si="54"/>
        <v>0</v>
      </c>
      <c r="AA90" s="377">
        <f t="shared" si="55"/>
        <v>0</v>
      </c>
      <c r="AB90" s="377">
        <f t="shared" si="56"/>
        <v>0</v>
      </c>
      <c r="AC90" s="377">
        <f t="shared" si="57"/>
        <v>0</v>
      </c>
      <c r="AD90" s="376"/>
      <c r="AE90" s="332">
        <v>75</v>
      </c>
      <c r="AF90" s="350">
        <v>6190353.4101595255</v>
      </c>
      <c r="AG90" s="350">
        <v>12429320.733899286</v>
      </c>
      <c r="AH90" s="350">
        <v>18715504.895906255</v>
      </c>
      <c r="AI90" s="350">
        <v>25049114.32812085</v>
      </c>
      <c r="AJ90" s="350">
        <v>31431062.426091131</v>
      </c>
      <c r="AK90" s="348">
        <v>93815355.79417704</v>
      </c>
      <c r="AL90" s="369"/>
      <c r="AM90" s="350">
        <v>7155290.5963009186</v>
      </c>
      <c r="AN90" s="350">
        <v>15275565.185969017</v>
      </c>
      <c r="AO90" s="350">
        <v>23162196.0468871</v>
      </c>
      <c r="AP90" s="350">
        <v>30810267.777673092</v>
      </c>
      <c r="AQ90" s="350">
        <v>38217013.621962592</v>
      </c>
      <c r="AR90" s="348">
        <v>114620333.22879273</v>
      </c>
      <c r="AS90" s="369"/>
      <c r="AT90" s="350">
        <f t="shared" si="75"/>
        <v>964937.18614139315</v>
      </c>
      <c r="AU90" s="350">
        <f t="shared" si="58"/>
        <v>2846244.4520697314</v>
      </c>
      <c r="AV90" s="350">
        <f t="shared" si="59"/>
        <v>4446691.1509808451</v>
      </c>
      <c r="AW90" s="350">
        <f t="shared" si="60"/>
        <v>5761153.4495522417</v>
      </c>
      <c r="AX90" s="350">
        <f t="shared" si="61"/>
        <v>6785951.1958714612</v>
      </c>
      <c r="AY90" s="350">
        <f t="shared" si="62"/>
        <v>20804977.434615687</v>
      </c>
      <c r="AZ90" s="365"/>
      <c r="BA90" s="377">
        <f t="shared" si="63"/>
        <v>0</v>
      </c>
      <c r="BB90" s="377">
        <f t="shared" si="64"/>
        <v>0</v>
      </c>
      <c r="BC90" s="377">
        <f t="shared" si="65"/>
        <v>0</v>
      </c>
      <c r="BD90" s="377">
        <f t="shared" si="66"/>
        <v>0</v>
      </c>
      <c r="BE90" s="377">
        <f t="shared" si="67"/>
        <v>0</v>
      </c>
      <c r="BF90" s="377">
        <f t="shared" si="68"/>
        <v>0</v>
      </c>
      <c r="BG90" s="328"/>
    </row>
    <row r="91" spans="2:59">
      <c r="B91" s="332">
        <v>76</v>
      </c>
      <c r="C91" s="350">
        <v>5358004.13334875</v>
      </c>
      <c r="D91" s="350">
        <v>10087058.063107539</v>
      </c>
      <c r="E91" s="350">
        <v>14851710.403073022</v>
      </c>
      <c r="F91" s="350">
        <v>19652293.001051813</v>
      </c>
      <c r="G91" s="350">
        <v>24489573.84446495</v>
      </c>
      <c r="H91" s="348">
        <v>74438639.445046067</v>
      </c>
      <c r="I91" s="369"/>
      <c r="J91" s="350">
        <v>6267514.4161293851</v>
      </c>
      <c r="K91" s="350">
        <v>12772733.928608989</v>
      </c>
      <c r="L91" s="350">
        <v>19126845.30625236</v>
      </c>
      <c r="M91" s="350">
        <v>25325477.578099869</v>
      </c>
      <c r="N91" s="350">
        <v>31365989.691193283</v>
      </c>
      <c r="O91" s="348">
        <v>94858560.920283884</v>
      </c>
      <c r="P91" s="369"/>
      <c r="Q91" s="350">
        <f t="shared" si="69"/>
        <v>909510.28278063517</v>
      </c>
      <c r="R91" s="350">
        <f t="shared" si="70"/>
        <v>2685675.8655014504</v>
      </c>
      <c r="S91" s="350">
        <f t="shared" si="71"/>
        <v>4275134.9031793382</v>
      </c>
      <c r="T91" s="350">
        <f t="shared" si="72"/>
        <v>5673184.5770480558</v>
      </c>
      <c r="U91" s="350">
        <f t="shared" si="73"/>
        <v>6876415.8467283323</v>
      </c>
      <c r="V91" s="350">
        <f t="shared" si="74"/>
        <v>20419921.475237817</v>
      </c>
      <c r="W91" s="365"/>
      <c r="X91" s="377">
        <f t="shared" si="52"/>
        <v>0</v>
      </c>
      <c r="Y91" s="377">
        <f t="shared" si="53"/>
        <v>0</v>
      </c>
      <c r="Z91" s="377">
        <f t="shared" si="54"/>
        <v>0</v>
      </c>
      <c r="AA91" s="377">
        <f t="shared" si="55"/>
        <v>0</v>
      </c>
      <c r="AB91" s="377">
        <f t="shared" si="56"/>
        <v>0</v>
      </c>
      <c r="AC91" s="377">
        <f t="shared" si="57"/>
        <v>0</v>
      </c>
      <c r="AD91" s="376"/>
      <c r="AE91" s="332">
        <v>76</v>
      </c>
      <c r="AF91" s="350">
        <v>5839518.0657789186</v>
      </c>
      <c r="AG91" s="350">
        <v>11724894.874636076</v>
      </c>
      <c r="AH91" s="350">
        <v>17654812.529839389</v>
      </c>
      <c r="AI91" s="350">
        <v>23629467.650547881</v>
      </c>
      <c r="AJ91" s="350">
        <v>29649721.866050009</v>
      </c>
      <c r="AK91" s="348">
        <v>88498414.986852273</v>
      </c>
      <c r="AL91" s="369"/>
      <c r="AM91" s="350">
        <v>6988226.2865418028</v>
      </c>
      <c r="AN91" s="350">
        <v>15117027.33849553</v>
      </c>
      <c r="AO91" s="350">
        <v>23032568.213296603</v>
      </c>
      <c r="AP91" s="350">
        <v>30730144.642727062</v>
      </c>
      <c r="AQ91" s="350">
        <v>38207388.177476279</v>
      </c>
      <c r="AR91" s="348">
        <v>114075354.65853727</v>
      </c>
      <c r="AS91" s="369"/>
      <c r="AT91" s="350">
        <f t="shared" si="75"/>
        <v>1148708.2207628842</v>
      </c>
      <c r="AU91" s="350">
        <f t="shared" si="58"/>
        <v>3392132.4638594538</v>
      </c>
      <c r="AV91" s="350">
        <f t="shared" si="59"/>
        <v>5377755.6834572144</v>
      </c>
      <c r="AW91" s="350">
        <f t="shared" si="60"/>
        <v>7100676.9921791814</v>
      </c>
      <c r="AX91" s="350">
        <f t="shared" si="61"/>
        <v>8557666.3114262708</v>
      </c>
      <c r="AY91" s="350">
        <f t="shared" si="62"/>
        <v>25576939.671684995</v>
      </c>
      <c r="AZ91" s="365"/>
      <c r="BA91" s="377">
        <f t="shared" si="63"/>
        <v>0</v>
      </c>
      <c r="BB91" s="377">
        <f t="shared" si="64"/>
        <v>0</v>
      </c>
      <c r="BC91" s="377">
        <f t="shared" si="65"/>
        <v>0</v>
      </c>
      <c r="BD91" s="377">
        <f t="shared" si="66"/>
        <v>0</v>
      </c>
      <c r="BE91" s="377">
        <f t="shared" si="67"/>
        <v>0</v>
      </c>
      <c r="BF91" s="377">
        <f t="shared" si="68"/>
        <v>0</v>
      </c>
      <c r="BG91" s="328"/>
    </row>
    <row r="92" spans="2:59">
      <c r="B92" s="332">
        <v>77</v>
      </c>
      <c r="C92" s="350">
        <v>7829636.4179391973</v>
      </c>
      <c r="D92" s="350">
        <v>14777454.954288155</v>
      </c>
      <c r="E92" s="350">
        <v>21777585.998399455</v>
      </c>
      <c r="F92" s="350">
        <v>28830506.068293571</v>
      </c>
      <c r="G92" s="350">
        <v>35937338.676574394</v>
      </c>
      <c r="H92" s="348">
        <v>109152522.11549477</v>
      </c>
      <c r="I92" s="369"/>
      <c r="J92" s="350">
        <v>9060675.3738801852</v>
      </c>
      <c r="K92" s="350">
        <v>18411234.946809128</v>
      </c>
      <c r="L92" s="350">
        <v>27541486.580392972</v>
      </c>
      <c r="M92" s="350">
        <v>36444849.937693909</v>
      </c>
      <c r="N92" s="350">
        <v>45117148.944620639</v>
      </c>
      <c r="O92" s="348">
        <v>136575395.78339684</v>
      </c>
      <c r="P92" s="369"/>
      <c r="Q92" s="350">
        <f t="shared" si="69"/>
        <v>1231038.9559409879</v>
      </c>
      <c r="R92" s="350">
        <f t="shared" si="70"/>
        <v>3633779.9925209731</v>
      </c>
      <c r="S92" s="350">
        <f t="shared" si="71"/>
        <v>5763900.5819935165</v>
      </c>
      <c r="T92" s="350">
        <f t="shared" si="72"/>
        <v>7614343.8694003373</v>
      </c>
      <c r="U92" s="350">
        <f t="shared" si="73"/>
        <v>9179810.268046245</v>
      </c>
      <c r="V92" s="350">
        <f t="shared" si="74"/>
        <v>27422873.667902067</v>
      </c>
      <c r="W92" s="365"/>
      <c r="X92" s="377">
        <f t="shared" si="52"/>
        <v>0</v>
      </c>
      <c r="Y92" s="377">
        <f t="shared" si="53"/>
        <v>0</v>
      </c>
      <c r="Z92" s="377">
        <f t="shared" si="54"/>
        <v>0</v>
      </c>
      <c r="AA92" s="377">
        <f t="shared" si="55"/>
        <v>0</v>
      </c>
      <c r="AB92" s="377">
        <f t="shared" si="56"/>
        <v>0</v>
      </c>
      <c r="AC92" s="377">
        <f t="shared" si="57"/>
        <v>0</v>
      </c>
      <c r="AD92" s="376"/>
      <c r="AE92" s="332">
        <v>77</v>
      </c>
      <c r="AF92" s="350">
        <v>7560586.5617129039</v>
      </c>
      <c r="AG92" s="350">
        <v>15180547.714402115</v>
      </c>
      <c r="AH92" s="350">
        <v>22858177.140489697</v>
      </c>
      <c r="AI92" s="350">
        <v>30593729.408273023</v>
      </c>
      <c r="AJ92" s="350">
        <v>38388320.093172207</v>
      </c>
      <c r="AK92" s="348">
        <v>114581360.91804995</v>
      </c>
      <c r="AL92" s="369"/>
      <c r="AM92" s="350">
        <v>8695488.0063848197</v>
      </c>
      <c r="AN92" s="350">
        <v>18527430.663562909</v>
      </c>
      <c r="AO92" s="350">
        <v>28072706.049305893</v>
      </c>
      <c r="AP92" s="350">
        <v>37325323.077969126</v>
      </c>
      <c r="AQ92" s="350">
        <v>46281858.39113979</v>
      </c>
      <c r="AR92" s="348">
        <v>138902806.18836254</v>
      </c>
      <c r="AS92" s="369"/>
      <c r="AT92" s="350">
        <f t="shared" si="75"/>
        <v>1134901.4446719158</v>
      </c>
      <c r="AU92" s="350">
        <f t="shared" si="58"/>
        <v>3346882.9491607938</v>
      </c>
      <c r="AV92" s="350">
        <f t="shared" si="59"/>
        <v>5214528.908816196</v>
      </c>
      <c r="AW92" s="350">
        <f t="shared" si="60"/>
        <v>6731593.6696961038</v>
      </c>
      <c r="AX92" s="350">
        <f t="shared" si="61"/>
        <v>7893538.2979675829</v>
      </c>
      <c r="AY92" s="350">
        <f t="shared" si="62"/>
        <v>24321445.270312592</v>
      </c>
      <c r="AZ92" s="365"/>
      <c r="BA92" s="377">
        <f t="shared" si="63"/>
        <v>0</v>
      </c>
      <c r="BB92" s="377">
        <f t="shared" si="64"/>
        <v>0</v>
      </c>
      <c r="BC92" s="377">
        <f t="shared" si="65"/>
        <v>0</v>
      </c>
      <c r="BD92" s="377">
        <f t="shared" si="66"/>
        <v>0</v>
      </c>
      <c r="BE92" s="377">
        <f t="shared" si="67"/>
        <v>0</v>
      </c>
      <c r="BF92" s="377">
        <f t="shared" si="68"/>
        <v>0</v>
      </c>
      <c r="BG92" s="328"/>
    </row>
    <row r="93" spans="2:59">
      <c r="B93" s="332">
        <v>78</v>
      </c>
      <c r="C93" s="350">
        <v>9717107.2011363078</v>
      </c>
      <c r="D93" s="350">
        <v>18428804.743714564</v>
      </c>
      <c r="E93" s="350">
        <v>27206124.460086018</v>
      </c>
      <c r="F93" s="350">
        <v>36049637.658425294</v>
      </c>
      <c r="G93" s="350">
        <v>44960741.689890228</v>
      </c>
      <c r="H93" s="348">
        <v>136362415.75325242</v>
      </c>
      <c r="I93" s="369"/>
      <c r="J93" s="350">
        <v>10915275.151669223</v>
      </c>
      <c r="K93" s="350">
        <v>21960752.667171679</v>
      </c>
      <c r="L93" s="350">
        <v>32711590.571068905</v>
      </c>
      <c r="M93" s="350">
        <v>43159931.241967171</v>
      </c>
      <c r="N93" s="350">
        <v>53300511.516383149</v>
      </c>
      <c r="O93" s="348">
        <v>162048061.14826012</v>
      </c>
      <c r="P93" s="369"/>
      <c r="Q93" s="350">
        <f t="shared" si="69"/>
        <v>1198167.9505329151</v>
      </c>
      <c r="R93" s="350">
        <f t="shared" si="70"/>
        <v>3531947.9234571159</v>
      </c>
      <c r="S93" s="350">
        <f t="shared" si="71"/>
        <v>5505466.1109828874</v>
      </c>
      <c r="T93" s="350">
        <f t="shared" si="72"/>
        <v>7110293.5835418776</v>
      </c>
      <c r="U93" s="350">
        <f t="shared" si="73"/>
        <v>8339769.8264929205</v>
      </c>
      <c r="V93" s="350">
        <f t="shared" si="74"/>
        <v>25685645.3950077</v>
      </c>
      <c r="W93" s="365"/>
      <c r="X93" s="377">
        <f t="shared" si="52"/>
        <v>0</v>
      </c>
      <c r="Y93" s="377">
        <f t="shared" si="53"/>
        <v>0</v>
      </c>
      <c r="Z93" s="377">
        <f t="shared" si="54"/>
        <v>0</v>
      </c>
      <c r="AA93" s="377">
        <f t="shared" si="55"/>
        <v>0</v>
      </c>
      <c r="AB93" s="377">
        <f t="shared" si="56"/>
        <v>0</v>
      </c>
      <c r="AC93" s="377">
        <f t="shared" si="57"/>
        <v>0</v>
      </c>
      <c r="AD93" s="376"/>
      <c r="AE93" s="332">
        <v>78</v>
      </c>
      <c r="AF93" s="350">
        <v>4768564.3569410844</v>
      </c>
      <c r="AG93" s="350">
        <v>9574577.0726737157</v>
      </c>
      <c r="AH93" s="350">
        <v>14416961.94958844</v>
      </c>
      <c r="AI93" s="350">
        <v>19295879.547358688</v>
      </c>
      <c r="AJ93" s="350">
        <v>24212033.474513032</v>
      </c>
      <c r="AK93" s="348">
        <v>72268016.401074961</v>
      </c>
      <c r="AL93" s="369"/>
      <c r="AM93" s="350">
        <v>5678838.6874642437</v>
      </c>
      <c r="AN93" s="350">
        <v>12262262.019626368</v>
      </c>
      <c r="AO93" s="350">
        <v>18670705.056622218</v>
      </c>
      <c r="AP93" s="350">
        <v>24900334.134382039</v>
      </c>
      <c r="AQ93" s="350">
        <v>30949187.053604253</v>
      </c>
      <c r="AR93" s="348">
        <v>92461326.951699123</v>
      </c>
      <c r="AS93" s="369"/>
      <c r="AT93" s="350">
        <f t="shared" si="75"/>
        <v>910274.33052315935</v>
      </c>
      <c r="AU93" s="350">
        <f t="shared" si="58"/>
        <v>2687684.9469526522</v>
      </c>
      <c r="AV93" s="350">
        <f t="shared" si="59"/>
        <v>4253743.107033778</v>
      </c>
      <c r="AW93" s="350">
        <f t="shared" si="60"/>
        <v>5604454.5870233513</v>
      </c>
      <c r="AX93" s="350">
        <f t="shared" si="61"/>
        <v>6737153.5790912211</v>
      </c>
      <c r="AY93" s="350">
        <f t="shared" si="62"/>
        <v>20193310.550624162</v>
      </c>
      <c r="AZ93" s="365"/>
      <c r="BA93" s="377">
        <f t="shared" si="63"/>
        <v>0</v>
      </c>
      <c r="BB93" s="377">
        <f t="shared" si="64"/>
        <v>0</v>
      </c>
      <c r="BC93" s="377">
        <f t="shared" si="65"/>
        <v>0</v>
      </c>
      <c r="BD93" s="377">
        <f t="shared" si="66"/>
        <v>0</v>
      </c>
      <c r="BE93" s="377">
        <f t="shared" si="67"/>
        <v>0</v>
      </c>
      <c r="BF93" s="377">
        <f t="shared" si="68"/>
        <v>0</v>
      </c>
      <c r="BG93" s="328"/>
    </row>
    <row r="94" spans="2:59">
      <c r="B94" s="332">
        <v>79</v>
      </c>
      <c r="C94" s="350">
        <v>12592644.595922744</v>
      </c>
      <c r="D94" s="350">
        <v>23854856.834934905</v>
      </c>
      <c r="E94" s="350">
        <v>35201894.570558235</v>
      </c>
      <c r="F94" s="350">
        <v>46634504.381075129</v>
      </c>
      <c r="G94" s="350">
        <v>58154496.203314185</v>
      </c>
      <c r="H94" s="348">
        <v>176438396.58580518</v>
      </c>
      <c r="I94" s="369"/>
      <c r="J94" s="350">
        <v>14198206.19266184</v>
      </c>
      <c r="K94" s="350">
        <v>28588705.96150684</v>
      </c>
      <c r="L94" s="350">
        <v>42601165.120845243</v>
      </c>
      <c r="M94" s="350">
        <v>56225349.306993768</v>
      </c>
      <c r="N94" s="350">
        <v>69454444.825167745</v>
      </c>
      <c r="O94" s="348">
        <v>211067871.40717545</v>
      </c>
      <c r="P94" s="369"/>
      <c r="Q94" s="350">
        <f t="shared" si="69"/>
        <v>1605561.5967390966</v>
      </c>
      <c r="R94" s="350">
        <f t="shared" si="70"/>
        <v>4733849.1265719347</v>
      </c>
      <c r="S94" s="350">
        <f t="shared" si="71"/>
        <v>7399270.5502870083</v>
      </c>
      <c r="T94" s="350">
        <f t="shared" si="72"/>
        <v>9590844.9259186387</v>
      </c>
      <c r="U94" s="350">
        <f t="shared" si="73"/>
        <v>11299948.62185356</v>
      </c>
      <c r="V94" s="350">
        <f t="shared" si="74"/>
        <v>34629474.821370274</v>
      </c>
      <c r="W94" s="365"/>
      <c r="X94" s="377">
        <f t="shared" si="52"/>
        <v>0</v>
      </c>
      <c r="Y94" s="377">
        <f t="shared" si="53"/>
        <v>0</v>
      </c>
      <c r="Z94" s="377">
        <f t="shared" si="54"/>
        <v>0</v>
      </c>
      <c r="AA94" s="377">
        <f t="shared" si="55"/>
        <v>0</v>
      </c>
      <c r="AB94" s="377">
        <f t="shared" si="56"/>
        <v>0</v>
      </c>
      <c r="AC94" s="377">
        <f t="shared" si="57"/>
        <v>0</v>
      </c>
      <c r="AD94" s="376"/>
      <c r="AE94" s="332">
        <v>79</v>
      </c>
      <c r="AF94" s="350">
        <v>5173679.3461883478</v>
      </c>
      <c r="AG94" s="350">
        <v>10387988.489088248</v>
      </c>
      <c r="AH94" s="350">
        <v>15641759.80236027</v>
      </c>
      <c r="AI94" s="350">
        <v>20935167.486078918</v>
      </c>
      <c r="AJ94" s="350">
        <v>26268974.924072023</v>
      </c>
      <c r="AK94" s="348">
        <v>78407570.047787815</v>
      </c>
      <c r="AL94" s="369"/>
      <c r="AM94" s="350">
        <v>6045783.5950450609</v>
      </c>
      <c r="AN94" s="350">
        <v>12961459.395175325</v>
      </c>
      <c r="AO94" s="350">
        <v>19683830.046692923</v>
      </c>
      <c r="AP94" s="350">
        <v>26208768.863767609</v>
      </c>
      <c r="AQ94" s="350">
        <v>32534029.970594332</v>
      </c>
      <c r="AR94" s="348">
        <v>97433871.871275246</v>
      </c>
      <c r="AS94" s="369"/>
      <c r="AT94" s="350">
        <f t="shared" si="75"/>
        <v>872104.24885671306</v>
      </c>
      <c r="AU94" s="350">
        <f t="shared" si="58"/>
        <v>2573470.9060870763</v>
      </c>
      <c r="AV94" s="350">
        <f t="shared" si="59"/>
        <v>4042070.2443326525</v>
      </c>
      <c r="AW94" s="350">
        <f t="shared" si="60"/>
        <v>5273601.377688691</v>
      </c>
      <c r="AX94" s="350">
        <f t="shared" si="61"/>
        <v>6265055.0465223081</v>
      </c>
      <c r="AY94" s="350">
        <f t="shared" si="62"/>
        <v>19026301.823487431</v>
      </c>
      <c r="AZ94" s="365"/>
      <c r="BA94" s="377">
        <f t="shared" si="63"/>
        <v>0</v>
      </c>
      <c r="BB94" s="377">
        <f t="shared" si="64"/>
        <v>0</v>
      </c>
      <c r="BC94" s="377">
        <f t="shared" si="65"/>
        <v>0</v>
      </c>
      <c r="BD94" s="377">
        <f t="shared" si="66"/>
        <v>0</v>
      </c>
      <c r="BE94" s="377">
        <f t="shared" si="67"/>
        <v>0</v>
      </c>
      <c r="BF94" s="377">
        <f t="shared" si="68"/>
        <v>0</v>
      </c>
      <c r="BG94" s="328"/>
    </row>
    <row r="95" spans="2:59">
      <c r="B95" s="332">
        <v>80</v>
      </c>
      <c r="C95" s="350">
        <v>5769616.9304101113</v>
      </c>
      <c r="D95" s="350">
        <v>10962080.232356235</v>
      </c>
      <c r="E95" s="350">
        <v>16193662.897968683</v>
      </c>
      <c r="F95" s="350">
        <v>21464699.674005933</v>
      </c>
      <c r="G95" s="350">
        <v>26776020.917124204</v>
      </c>
      <c r="H95" s="348">
        <v>81166080.651865169</v>
      </c>
      <c r="I95" s="369"/>
      <c r="J95" s="350">
        <v>6535096.2293608058</v>
      </c>
      <c r="K95" s="350">
        <v>13219472.857821129</v>
      </c>
      <c r="L95" s="350">
        <v>19728505.232727252</v>
      </c>
      <c r="M95" s="350">
        <v>26057540.729327187</v>
      </c>
      <c r="N95" s="350">
        <v>32203544.850467943</v>
      </c>
      <c r="O95" s="348">
        <v>97744159.899704307</v>
      </c>
      <c r="P95" s="369"/>
      <c r="Q95" s="350">
        <f t="shared" si="69"/>
        <v>765479.2989506945</v>
      </c>
      <c r="R95" s="350">
        <f t="shared" si="70"/>
        <v>2257392.6254648939</v>
      </c>
      <c r="S95" s="350">
        <f t="shared" si="71"/>
        <v>3534842.3347585686</v>
      </c>
      <c r="T95" s="350">
        <f t="shared" si="72"/>
        <v>4592841.0553212538</v>
      </c>
      <c r="U95" s="350">
        <f t="shared" si="73"/>
        <v>5427523.9333437383</v>
      </c>
      <c r="V95" s="350">
        <f t="shared" si="74"/>
        <v>16578079.247839138</v>
      </c>
      <c r="W95" s="365"/>
      <c r="X95" s="377">
        <f t="shared" si="52"/>
        <v>0</v>
      </c>
      <c r="Y95" s="377">
        <f t="shared" si="53"/>
        <v>0</v>
      </c>
      <c r="Z95" s="377">
        <f t="shared" si="54"/>
        <v>0</v>
      </c>
      <c r="AA95" s="377">
        <f t="shared" si="55"/>
        <v>0</v>
      </c>
      <c r="AB95" s="377">
        <f t="shared" si="56"/>
        <v>0</v>
      </c>
      <c r="AC95" s="377">
        <f t="shared" si="57"/>
        <v>0</v>
      </c>
      <c r="AD95" s="376"/>
      <c r="AE95" s="332">
        <v>80</v>
      </c>
      <c r="AF95" s="350">
        <v>5186607.5136439465</v>
      </c>
      <c r="AG95" s="350">
        <v>10413946.35112945</v>
      </c>
      <c r="AH95" s="350">
        <v>15680845.968412319</v>
      </c>
      <c r="AI95" s="350">
        <v>20987481.000864182</v>
      </c>
      <c r="AJ95" s="350">
        <v>26334616.73988257</v>
      </c>
      <c r="AK95" s="348">
        <v>78603497.573932469</v>
      </c>
      <c r="AL95" s="369"/>
      <c r="AM95" s="350">
        <v>6538109.1495523062</v>
      </c>
      <c r="AN95" s="350">
        <v>14409136.809417542</v>
      </c>
      <c r="AO95" s="350">
        <v>22100669.11702735</v>
      </c>
      <c r="AP95" s="350">
        <v>29608434.099654719</v>
      </c>
      <c r="AQ95" s="350">
        <v>36930663.579526216</v>
      </c>
      <c r="AR95" s="348">
        <v>109587012.75517812</v>
      </c>
      <c r="AS95" s="369"/>
      <c r="AT95" s="350">
        <f t="shared" si="75"/>
        <v>1351501.6359083597</v>
      </c>
      <c r="AU95" s="350">
        <f t="shared" si="58"/>
        <v>3995190.4582880922</v>
      </c>
      <c r="AV95" s="350">
        <f t="shared" si="59"/>
        <v>6419823.1486150306</v>
      </c>
      <c r="AW95" s="350">
        <f t="shared" si="60"/>
        <v>8620953.0987905376</v>
      </c>
      <c r="AX95" s="350">
        <f t="shared" si="61"/>
        <v>10596046.839643646</v>
      </c>
      <c r="AY95" s="350">
        <f t="shared" si="62"/>
        <v>30983515.181245655</v>
      </c>
      <c r="AZ95" s="365"/>
      <c r="BA95" s="377">
        <f t="shared" si="63"/>
        <v>0</v>
      </c>
      <c r="BB95" s="377">
        <f t="shared" si="64"/>
        <v>0</v>
      </c>
      <c r="BC95" s="377">
        <f t="shared" si="65"/>
        <v>0</v>
      </c>
      <c r="BD95" s="377">
        <f t="shared" si="66"/>
        <v>0</v>
      </c>
      <c r="BE95" s="377">
        <f t="shared" si="67"/>
        <v>0</v>
      </c>
      <c r="BF95" s="377">
        <f t="shared" si="68"/>
        <v>0</v>
      </c>
      <c r="BG95" s="328"/>
    </row>
    <row r="96" spans="2:59">
      <c r="B96" s="332">
        <v>81</v>
      </c>
      <c r="C96" s="350">
        <v>9363224.6779513489</v>
      </c>
      <c r="D96" s="350">
        <v>17474055.22554002</v>
      </c>
      <c r="E96" s="350">
        <v>25645890.925762609</v>
      </c>
      <c r="F96" s="350">
        <v>33879346.285114869</v>
      </c>
      <c r="G96" s="350">
        <v>42175758.216376454</v>
      </c>
      <c r="H96" s="348">
        <v>128538275.33074531</v>
      </c>
      <c r="I96" s="369"/>
      <c r="J96" s="350">
        <v>11148875.274702337</v>
      </c>
      <c r="K96" s="350">
        <v>22749807.547052197</v>
      </c>
      <c r="L96" s="350">
        <v>34097773.667299964</v>
      </c>
      <c r="M96" s="350">
        <v>45185318.198246948</v>
      </c>
      <c r="N96" s="350">
        <v>56008221.006494664</v>
      </c>
      <c r="O96" s="348">
        <v>169189995.69379613</v>
      </c>
      <c r="P96" s="369"/>
      <c r="Q96" s="350">
        <f t="shared" si="69"/>
        <v>1785650.5967509877</v>
      </c>
      <c r="R96" s="350">
        <f t="shared" si="70"/>
        <v>5275752.3215121776</v>
      </c>
      <c r="S96" s="350">
        <f t="shared" si="71"/>
        <v>8451882.7415373549</v>
      </c>
      <c r="T96" s="350">
        <f t="shared" si="72"/>
        <v>11305971.913132079</v>
      </c>
      <c r="U96" s="350">
        <f t="shared" si="73"/>
        <v>13832462.79011821</v>
      </c>
      <c r="V96" s="350">
        <f t="shared" si="74"/>
        <v>40651720.363050818</v>
      </c>
      <c r="W96" s="365"/>
      <c r="X96" s="377">
        <f t="shared" si="52"/>
        <v>0</v>
      </c>
      <c r="Y96" s="377">
        <f t="shared" si="53"/>
        <v>0</v>
      </c>
      <c r="Z96" s="377">
        <f t="shared" si="54"/>
        <v>0</v>
      </c>
      <c r="AA96" s="377">
        <f t="shared" si="55"/>
        <v>0</v>
      </c>
      <c r="AB96" s="377">
        <f t="shared" si="56"/>
        <v>0</v>
      </c>
      <c r="AC96" s="377">
        <f t="shared" si="57"/>
        <v>0</v>
      </c>
      <c r="AD96" s="376"/>
      <c r="AE96" s="332">
        <v>81</v>
      </c>
      <c r="AF96" s="350">
        <v>7128690.2604641616</v>
      </c>
      <c r="AG96" s="350">
        <v>14313363.355719907</v>
      </c>
      <c r="AH96" s="350">
        <v>21552410.441083055</v>
      </c>
      <c r="AI96" s="350">
        <v>28846071.542711273</v>
      </c>
      <c r="AJ96" s="350">
        <v>36195398.509104311</v>
      </c>
      <c r="AK96" s="348">
        <v>108035934.10908271</v>
      </c>
      <c r="AL96" s="369"/>
      <c r="AM96" s="350">
        <v>8290477.8454839857</v>
      </c>
      <c r="AN96" s="350">
        <v>17741062.442659777</v>
      </c>
      <c r="AO96" s="350">
        <v>26924102.507335953</v>
      </c>
      <c r="AP96" s="350">
        <v>35833923.251902141</v>
      </c>
      <c r="AQ96" s="350">
        <v>44467389.764170364</v>
      </c>
      <c r="AR96" s="348">
        <v>133256955.81155221</v>
      </c>
      <c r="AS96" s="369"/>
      <c r="AT96" s="350">
        <f t="shared" si="75"/>
        <v>1161787.5850198241</v>
      </c>
      <c r="AU96" s="350">
        <f t="shared" si="58"/>
        <v>3427699.0869398694</v>
      </c>
      <c r="AV96" s="350">
        <f t="shared" si="59"/>
        <v>5371692.0662528984</v>
      </c>
      <c r="AW96" s="350">
        <f t="shared" si="60"/>
        <v>6987851.7091908678</v>
      </c>
      <c r="AX96" s="350">
        <f t="shared" si="61"/>
        <v>8271991.2550660521</v>
      </c>
      <c r="AY96" s="350">
        <f t="shared" si="62"/>
        <v>25221021.702469498</v>
      </c>
      <c r="AZ96" s="365"/>
      <c r="BA96" s="377">
        <f t="shared" si="63"/>
        <v>0</v>
      </c>
      <c r="BB96" s="377">
        <f t="shared" si="64"/>
        <v>0</v>
      </c>
      <c r="BC96" s="377">
        <f t="shared" si="65"/>
        <v>0</v>
      </c>
      <c r="BD96" s="377">
        <f t="shared" si="66"/>
        <v>0</v>
      </c>
      <c r="BE96" s="377">
        <f t="shared" si="67"/>
        <v>0</v>
      </c>
      <c r="BF96" s="377">
        <f t="shared" si="68"/>
        <v>0</v>
      </c>
      <c r="BG96" s="328"/>
    </row>
    <row r="97" spans="2:59">
      <c r="B97" s="332">
        <v>82</v>
      </c>
      <c r="C97" s="350">
        <v>5973023.8644404011</v>
      </c>
      <c r="D97" s="350">
        <v>11152858.313834399</v>
      </c>
      <c r="E97" s="350">
        <v>16371654.499687448</v>
      </c>
      <c r="F97" s="350">
        <v>21629803.134292934</v>
      </c>
      <c r="G97" s="350">
        <v>26928157.259487312</v>
      </c>
      <c r="H97" s="348">
        <v>82055497.07174249</v>
      </c>
      <c r="I97" s="369"/>
      <c r="J97" s="350">
        <v>6810669.2651372692</v>
      </c>
      <c r="K97" s="350">
        <v>13624307.128694084</v>
      </c>
      <c r="L97" s="350">
        <v>20267974.765053622</v>
      </c>
      <c r="M97" s="350">
        <v>26736957.759513903</v>
      </c>
      <c r="N97" s="350">
        <v>33028215.435795963</v>
      </c>
      <c r="O97" s="348">
        <v>100468124.35419483</v>
      </c>
      <c r="P97" s="369"/>
      <c r="Q97" s="350">
        <f t="shared" si="69"/>
        <v>837645.40069686808</v>
      </c>
      <c r="R97" s="350">
        <f t="shared" si="70"/>
        <v>2471448.8148596846</v>
      </c>
      <c r="S97" s="350">
        <f t="shared" si="71"/>
        <v>3896320.2653661743</v>
      </c>
      <c r="T97" s="350">
        <f t="shared" si="72"/>
        <v>5107154.6252209693</v>
      </c>
      <c r="U97" s="350">
        <f t="shared" si="73"/>
        <v>6100058.1763086505</v>
      </c>
      <c r="V97" s="350">
        <f t="shared" si="74"/>
        <v>18412627.282452345</v>
      </c>
      <c r="W97" s="365"/>
      <c r="X97" s="377">
        <f t="shared" si="52"/>
        <v>0</v>
      </c>
      <c r="Y97" s="377">
        <f t="shared" si="53"/>
        <v>0</v>
      </c>
      <c r="Z97" s="377">
        <f t="shared" si="54"/>
        <v>0</v>
      </c>
      <c r="AA97" s="377">
        <f t="shared" si="55"/>
        <v>0</v>
      </c>
      <c r="AB97" s="377">
        <f t="shared" si="56"/>
        <v>0</v>
      </c>
      <c r="AC97" s="377">
        <f t="shared" si="57"/>
        <v>0</v>
      </c>
      <c r="AD97" s="376"/>
      <c r="AE97" s="332">
        <v>82</v>
      </c>
      <c r="AF97" s="350">
        <v>6075473.4514078833</v>
      </c>
      <c r="AG97" s="350">
        <v>12198658.644255448</v>
      </c>
      <c r="AH97" s="350">
        <v>18368184.430013429</v>
      </c>
      <c r="AI97" s="350">
        <v>24584255.372563172</v>
      </c>
      <c r="AJ97" s="350">
        <v>30847767.916749611</v>
      </c>
      <c r="AK97" s="348">
        <v>92074339.814989537</v>
      </c>
      <c r="AL97" s="369"/>
      <c r="AM97" s="350">
        <v>7190931.2979679424</v>
      </c>
      <c r="AN97" s="350">
        <v>15491590.373899434</v>
      </c>
      <c r="AO97" s="350">
        <v>23567986.125774994</v>
      </c>
      <c r="AP97" s="350">
        <v>31415246.734090522</v>
      </c>
      <c r="AQ97" s="350">
        <v>39030827.365614504</v>
      </c>
      <c r="AR97" s="348">
        <v>116696581.89734739</v>
      </c>
      <c r="AS97" s="369"/>
      <c r="AT97" s="350">
        <f t="shared" si="75"/>
        <v>1115457.8465600591</v>
      </c>
      <c r="AU97" s="350">
        <f t="shared" si="58"/>
        <v>3292931.7296439856</v>
      </c>
      <c r="AV97" s="350">
        <f t="shared" si="59"/>
        <v>5199801.6957615651</v>
      </c>
      <c r="AW97" s="350">
        <f t="shared" si="60"/>
        <v>6830991.3615273498</v>
      </c>
      <c r="AX97" s="350">
        <f t="shared" si="61"/>
        <v>8183059.4488648921</v>
      </c>
      <c r="AY97" s="350">
        <f t="shared" si="62"/>
        <v>24622242.082357854</v>
      </c>
      <c r="AZ97" s="365"/>
      <c r="BA97" s="377">
        <f t="shared" si="63"/>
        <v>0</v>
      </c>
      <c r="BB97" s="377">
        <f t="shared" si="64"/>
        <v>0</v>
      </c>
      <c r="BC97" s="377">
        <f t="shared" si="65"/>
        <v>0</v>
      </c>
      <c r="BD97" s="377">
        <f t="shared" si="66"/>
        <v>0</v>
      </c>
      <c r="BE97" s="377">
        <f t="shared" si="67"/>
        <v>0</v>
      </c>
      <c r="BF97" s="377">
        <f t="shared" si="68"/>
        <v>0</v>
      </c>
      <c r="BG97" s="328"/>
    </row>
    <row r="98" spans="2:59">
      <c r="B98" s="332">
        <v>83</v>
      </c>
      <c r="C98" s="350">
        <v>6446095.7144419905</v>
      </c>
      <c r="D98" s="350">
        <v>12124044.798508245</v>
      </c>
      <c r="E98" s="350">
        <v>17844731.45814611</v>
      </c>
      <c r="F98" s="350">
        <v>23608557.520833857</v>
      </c>
      <c r="G98" s="350">
        <v>29416446.548951827</v>
      </c>
      <c r="H98" s="348">
        <v>89439876.040882021</v>
      </c>
      <c r="I98" s="369"/>
      <c r="J98" s="350">
        <v>7671958.4830269869</v>
      </c>
      <c r="K98" s="350">
        <v>15745612.734912571</v>
      </c>
      <c r="L98" s="350">
        <v>23643622.879796676</v>
      </c>
      <c r="M98" s="350">
        <v>31360657.214372598</v>
      </c>
      <c r="N98" s="350">
        <v>38893630.183107436</v>
      </c>
      <c r="O98" s="348">
        <v>117315481.49521627</v>
      </c>
      <c r="P98" s="369"/>
      <c r="Q98" s="350">
        <f t="shared" si="69"/>
        <v>1225862.7685849965</v>
      </c>
      <c r="R98" s="350">
        <f t="shared" si="70"/>
        <v>3621567.9364043251</v>
      </c>
      <c r="S98" s="350">
        <f t="shared" si="71"/>
        <v>5798891.4216505662</v>
      </c>
      <c r="T98" s="350">
        <f t="shared" si="72"/>
        <v>7752099.6935387403</v>
      </c>
      <c r="U98" s="350">
        <f t="shared" si="73"/>
        <v>9477183.6341556087</v>
      </c>
      <c r="V98" s="350">
        <f t="shared" si="74"/>
        <v>27875605.454334244</v>
      </c>
      <c r="W98" s="365"/>
      <c r="X98" s="377">
        <f t="shared" si="52"/>
        <v>0</v>
      </c>
      <c r="Y98" s="377">
        <f t="shared" si="53"/>
        <v>0</v>
      </c>
      <c r="Z98" s="377">
        <f t="shared" si="54"/>
        <v>0</v>
      </c>
      <c r="AA98" s="377">
        <f t="shared" si="55"/>
        <v>0</v>
      </c>
      <c r="AB98" s="377">
        <f t="shared" si="56"/>
        <v>0</v>
      </c>
      <c r="AC98" s="377">
        <f t="shared" si="57"/>
        <v>0</v>
      </c>
      <c r="AD98" s="376"/>
      <c r="AE98" s="332">
        <v>83</v>
      </c>
      <c r="AF98" s="350">
        <v>4414934.2469582139</v>
      </c>
      <c r="AG98" s="350">
        <v>8864539.734429419</v>
      </c>
      <c r="AH98" s="350">
        <v>13347820.074124223</v>
      </c>
      <c r="AI98" s="350">
        <v>17864923.918833666</v>
      </c>
      <c r="AJ98" s="350">
        <v>22416502.698455028</v>
      </c>
      <c r="AK98" s="348">
        <v>66908720.672800548</v>
      </c>
      <c r="AL98" s="369"/>
      <c r="AM98" s="350">
        <v>5436467.8863087147</v>
      </c>
      <c r="AN98" s="350">
        <v>11883071.19480148</v>
      </c>
      <c r="AO98" s="350">
        <v>18173024.541649722</v>
      </c>
      <c r="AP98" s="350">
        <v>24302728.000899687</v>
      </c>
      <c r="AQ98" s="350">
        <v>30270545.93323746</v>
      </c>
      <c r="AR98" s="348">
        <v>90065837.556897059</v>
      </c>
      <c r="AS98" s="369"/>
      <c r="AT98" s="350">
        <f t="shared" si="75"/>
        <v>1021533.6393505009</v>
      </c>
      <c r="AU98" s="350">
        <f t="shared" si="58"/>
        <v>3018531.4603720605</v>
      </c>
      <c r="AV98" s="350">
        <f t="shared" si="59"/>
        <v>4825204.4675254989</v>
      </c>
      <c r="AW98" s="350">
        <f t="shared" si="60"/>
        <v>6437804.0820660219</v>
      </c>
      <c r="AX98" s="350">
        <f t="shared" si="61"/>
        <v>7854043.2347824313</v>
      </c>
      <c r="AY98" s="350">
        <f t="shared" si="62"/>
        <v>23157116.884096511</v>
      </c>
      <c r="AZ98" s="365"/>
      <c r="BA98" s="377">
        <f t="shared" si="63"/>
        <v>0</v>
      </c>
      <c r="BB98" s="377">
        <f t="shared" si="64"/>
        <v>0</v>
      </c>
      <c r="BC98" s="377">
        <f t="shared" si="65"/>
        <v>0</v>
      </c>
      <c r="BD98" s="377">
        <f t="shared" si="66"/>
        <v>0</v>
      </c>
      <c r="BE98" s="377">
        <f t="shared" si="67"/>
        <v>0</v>
      </c>
      <c r="BF98" s="377">
        <f t="shared" si="68"/>
        <v>0</v>
      </c>
      <c r="BG98" s="328"/>
    </row>
    <row r="99" spans="2:59">
      <c r="B99" s="332">
        <v>84</v>
      </c>
      <c r="C99" s="350">
        <v>8181439.0281605404</v>
      </c>
      <c r="D99" s="350">
        <v>15514657.72746104</v>
      </c>
      <c r="E99" s="350">
        <v>22903114.455148749</v>
      </c>
      <c r="F99" s="350">
        <v>30347290.615618184</v>
      </c>
      <c r="G99" s="350">
        <v>37848362.668675207</v>
      </c>
      <c r="H99" s="348">
        <v>114794864.49506372</v>
      </c>
      <c r="I99" s="369"/>
      <c r="J99" s="350">
        <v>9448968.1003086455</v>
      </c>
      <c r="K99" s="350">
        <v>19255685.841921203</v>
      </c>
      <c r="L99" s="350">
        <v>28825636.26193209</v>
      </c>
      <c r="M99" s="350">
        <v>38151973.952573925</v>
      </c>
      <c r="N99" s="350">
        <v>47230366.913212553</v>
      </c>
      <c r="O99" s="348">
        <v>142912631.06994843</v>
      </c>
      <c r="P99" s="369"/>
      <c r="Q99" s="350">
        <f t="shared" si="69"/>
        <v>1267529.0721481051</v>
      </c>
      <c r="R99" s="350">
        <f t="shared" si="70"/>
        <v>3741028.1144601628</v>
      </c>
      <c r="S99" s="350">
        <f t="shared" si="71"/>
        <v>5922521.8067833409</v>
      </c>
      <c r="T99" s="350">
        <f t="shared" si="72"/>
        <v>7804683.336955741</v>
      </c>
      <c r="U99" s="350">
        <f t="shared" si="73"/>
        <v>9382004.2445373461</v>
      </c>
      <c r="V99" s="350">
        <f t="shared" si="74"/>
        <v>28117766.574884713</v>
      </c>
      <c r="W99" s="365"/>
      <c r="X99" s="377">
        <f t="shared" si="52"/>
        <v>0</v>
      </c>
      <c r="Y99" s="377">
        <f t="shared" si="53"/>
        <v>0</v>
      </c>
      <c r="Z99" s="377">
        <f t="shared" si="54"/>
        <v>0</v>
      </c>
      <c r="AA99" s="377">
        <f t="shared" si="55"/>
        <v>0</v>
      </c>
      <c r="AB99" s="377">
        <f t="shared" si="56"/>
        <v>0</v>
      </c>
      <c r="AC99" s="377">
        <f t="shared" si="57"/>
        <v>0</v>
      </c>
      <c r="AD99" s="376"/>
      <c r="AE99" s="332">
        <v>84</v>
      </c>
      <c r="AF99" s="350">
        <v>4025435.7973172092</v>
      </c>
      <c r="AG99" s="350">
        <v>8082484.0366078299</v>
      </c>
      <c r="AH99" s="350">
        <v>12170236.233880073</v>
      </c>
      <c r="AI99" s="350">
        <v>16288827.92733971</v>
      </c>
      <c r="AJ99" s="350">
        <v>20438853.07582764</v>
      </c>
      <c r="AK99" s="348">
        <v>61005837.070972458</v>
      </c>
      <c r="AL99" s="369"/>
      <c r="AM99" s="350">
        <v>4729518.818760884</v>
      </c>
      <c r="AN99" s="350">
        <v>10160523.931311056</v>
      </c>
      <c r="AO99" s="350">
        <v>15441890.658321695</v>
      </c>
      <c r="AP99" s="350">
        <v>20570400.966635671</v>
      </c>
      <c r="AQ99" s="350">
        <v>25544333.287943598</v>
      </c>
      <c r="AR99" s="348">
        <v>76446667.662972912</v>
      </c>
      <c r="AS99" s="369"/>
      <c r="AT99" s="350">
        <f t="shared" si="75"/>
        <v>704083.02144367481</v>
      </c>
      <c r="AU99" s="350">
        <f t="shared" si="58"/>
        <v>2078039.8947032262</v>
      </c>
      <c r="AV99" s="350">
        <f t="shared" si="59"/>
        <v>3271654.4244416226</v>
      </c>
      <c r="AW99" s="350">
        <f t="shared" si="60"/>
        <v>4281573.0392959602</v>
      </c>
      <c r="AX99" s="350">
        <f t="shared" si="61"/>
        <v>5105480.2121159583</v>
      </c>
      <c r="AY99" s="350">
        <f t="shared" si="62"/>
        <v>15440830.592000455</v>
      </c>
      <c r="AZ99" s="365"/>
      <c r="BA99" s="377">
        <f t="shared" si="63"/>
        <v>0</v>
      </c>
      <c r="BB99" s="377">
        <f t="shared" si="64"/>
        <v>0</v>
      </c>
      <c r="BC99" s="377">
        <f t="shared" si="65"/>
        <v>0</v>
      </c>
      <c r="BD99" s="377">
        <f t="shared" si="66"/>
        <v>0</v>
      </c>
      <c r="BE99" s="377">
        <f t="shared" si="67"/>
        <v>0</v>
      </c>
      <c r="BF99" s="377">
        <f t="shared" si="68"/>
        <v>0</v>
      </c>
      <c r="BG99" s="328"/>
    </row>
    <row r="100" spans="2:59">
      <c r="B100" s="332">
        <v>85</v>
      </c>
      <c r="C100" s="350">
        <v>11534880.877900448</v>
      </c>
      <c r="D100" s="350">
        <v>21650042.60411603</v>
      </c>
      <c r="E100" s="350">
        <v>31841325.798392683</v>
      </c>
      <c r="F100" s="350">
        <v>42109459.699680619</v>
      </c>
      <c r="G100" s="350">
        <v>52456095.443618402</v>
      </c>
      <c r="H100" s="348">
        <v>159591804.4237082</v>
      </c>
      <c r="I100" s="369"/>
      <c r="J100" s="350">
        <v>13310315.736967118</v>
      </c>
      <c r="K100" s="350">
        <v>26890552.656327359</v>
      </c>
      <c r="L100" s="350">
        <v>40147688.011380509</v>
      </c>
      <c r="M100" s="350">
        <v>53072269.568791077</v>
      </c>
      <c r="N100" s="350">
        <v>65658306.657682978</v>
      </c>
      <c r="O100" s="348">
        <v>199079132.63114902</v>
      </c>
      <c r="P100" s="369"/>
      <c r="Q100" s="350">
        <f t="shared" si="69"/>
        <v>1775434.8590666708</v>
      </c>
      <c r="R100" s="350">
        <f t="shared" si="70"/>
        <v>5240510.0522113293</v>
      </c>
      <c r="S100" s="350">
        <f t="shared" si="71"/>
        <v>8306362.2129878253</v>
      </c>
      <c r="T100" s="350">
        <f t="shared" si="72"/>
        <v>10962809.869110458</v>
      </c>
      <c r="U100" s="350">
        <f t="shared" si="73"/>
        <v>13202211.214064576</v>
      </c>
      <c r="V100" s="350">
        <f t="shared" si="74"/>
        <v>39487328.207440823</v>
      </c>
      <c r="W100" s="365"/>
      <c r="X100" s="377">
        <f t="shared" si="52"/>
        <v>0</v>
      </c>
      <c r="Y100" s="377">
        <f t="shared" si="53"/>
        <v>0</v>
      </c>
      <c r="Z100" s="377">
        <f t="shared" si="54"/>
        <v>0</v>
      </c>
      <c r="AA100" s="377">
        <f t="shared" si="55"/>
        <v>0</v>
      </c>
      <c r="AB100" s="377">
        <f t="shared" si="56"/>
        <v>0</v>
      </c>
      <c r="AC100" s="377">
        <f t="shared" si="57"/>
        <v>0</v>
      </c>
      <c r="AD100" s="376"/>
      <c r="AE100" s="332">
        <v>85</v>
      </c>
      <c r="AF100" s="350">
        <v>6001620.803208787</v>
      </c>
      <c r="AG100" s="350">
        <v>12050373.370266421</v>
      </c>
      <c r="AH100" s="350">
        <v>18144903.22014302</v>
      </c>
      <c r="AI100" s="350">
        <v>24285412.430068556</v>
      </c>
      <c r="AJ100" s="350">
        <v>30472786.547823515</v>
      </c>
      <c r="AK100" s="348">
        <v>90955096.371510297</v>
      </c>
      <c r="AL100" s="369"/>
      <c r="AM100" s="350">
        <v>7682109.6650943467</v>
      </c>
      <c r="AN100" s="350">
        <v>17019205.798879161</v>
      </c>
      <c r="AO100" s="350">
        <v>26152093.687929913</v>
      </c>
      <c r="AP100" s="350">
        <v>35075797.087113738</v>
      </c>
      <c r="AQ100" s="350">
        <v>43788388.074260652</v>
      </c>
      <c r="AR100" s="348">
        <v>129717594.31327781</v>
      </c>
      <c r="AS100" s="369"/>
      <c r="AT100" s="350">
        <f t="shared" si="75"/>
        <v>1680488.8618855597</v>
      </c>
      <c r="AU100" s="350">
        <f t="shared" si="58"/>
        <v>4968832.4286127407</v>
      </c>
      <c r="AV100" s="350">
        <f t="shared" si="59"/>
        <v>8007190.4677868932</v>
      </c>
      <c r="AW100" s="350">
        <f t="shared" si="60"/>
        <v>10790384.657045182</v>
      </c>
      <c r="AX100" s="350">
        <f t="shared" si="61"/>
        <v>13315601.526437137</v>
      </c>
      <c r="AY100" s="350">
        <f t="shared" si="62"/>
        <v>38762497.941767514</v>
      </c>
      <c r="AZ100" s="365"/>
      <c r="BA100" s="377">
        <f t="shared" si="63"/>
        <v>0</v>
      </c>
      <c r="BB100" s="377">
        <f t="shared" si="64"/>
        <v>0</v>
      </c>
      <c r="BC100" s="377">
        <f t="shared" si="65"/>
        <v>0</v>
      </c>
      <c r="BD100" s="377">
        <f t="shared" si="66"/>
        <v>0</v>
      </c>
      <c r="BE100" s="377">
        <f t="shared" si="67"/>
        <v>0</v>
      </c>
      <c r="BF100" s="377">
        <f t="shared" si="68"/>
        <v>0</v>
      </c>
      <c r="BG100" s="328"/>
    </row>
    <row r="101" spans="2:59">
      <c r="B101" s="332">
        <v>86</v>
      </c>
      <c r="C101" s="350">
        <v>6796480.3243617844</v>
      </c>
      <c r="D101" s="350">
        <v>12804101.966327364</v>
      </c>
      <c r="E101" s="350">
        <v>18856949.473464202</v>
      </c>
      <c r="F101" s="350">
        <v>24955441.766277287</v>
      </c>
      <c r="G101" s="350">
        <v>31100553.316867445</v>
      </c>
      <c r="H101" s="348">
        <v>94513526.847298071</v>
      </c>
      <c r="I101" s="369"/>
      <c r="J101" s="350">
        <v>8036890.6731371842</v>
      </c>
      <c r="K101" s="350">
        <v>16467991.838077638</v>
      </c>
      <c r="L101" s="350">
        <v>24718356.794325963</v>
      </c>
      <c r="M101" s="350">
        <v>32782074.02858017</v>
      </c>
      <c r="N101" s="350">
        <v>40655528.060852379</v>
      </c>
      <c r="O101" s="348">
        <v>122660841.39497334</v>
      </c>
      <c r="P101" s="369"/>
      <c r="Q101" s="350">
        <f t="shared" si="69"/>
        <v>1240410.3487753998</v>
      </c>
      <c r="R101" s="350">
        <f t="shared" si="70"/>
        <v>3663889.8717502747</v>
      </c>
      <c r="S101" s="350">
        <f t="shared" si="71"/>
        <v>5861407.3208617605</v>
      </c>
      <c r="T101" s="350">
        <f t="shared" si="72"/>
        <v>7826632.262302883</v>
      </c>
      <c r="U101" s="350">
        <f t="shared" si="73"/>
        <v>9554974.7439849339</v>
      </c>
      <c r="V101" s="350">
        <f t="shared" si="74"/>
        <v>28147314.547675267</v>
      </c>
      <c r="W101" s="365"/>
      <c r="X101" s="377">
        <f t="shared" si="52"/>
        <v>0</v>
      </c>
      <c r="Y101" s="377">
        <f t="shared" si="53"/>
        <v>0</v>
      </c>
      <c r="Z101" s="377">
        <f t="shared" si="54"/>
        <v>0</v>
      </c>
      <c r="AA101" s="377">
        <f t="shared" si="55"/>
        <v>0</v>
      </c>
      <c r="AB101" s="377">
        <f t="shared" si="56"/>
        <v>0</v>
      </c>
      <c r="AC101" s="377">
        <f t="shared" si="57"/>
        <v>0</v>
      </c>
      <c r="AD101" s="376"/>
      <c r="AE101" s="332">
        <v>86</v>
      </c>
      <c r="AF101" s="350">
        <v>5816963.0866699582</v>
      </c>
      <c r="AG101" s="350">
        <v>11679607.78827497</v>
      </c>
      <c r="AH101" s="350">
        <v>17586621.298423097</v>
      </c>
      <c r="AI101" s="350">
        <v>23538199.476837233</v>
      </c>
      <c r="AJ101" s="350">
        <v>29535200.624786232</v>
      </c>
      <c r="AK101" s="348">
        <v>88156592.274991482</v>
      </c>
      <c r="AL101" s="369"/>
      <c r="AM101" s="350">
        <v>7359473.9256257415</v>
      </c>
      <c r="AN101" s="350">
        <v>16239699.563087199</v>
      </c>
      <c r="AO101" s="350">
        <v>24919416.132806301</v>
      </c>
      <c r="AP101" s="350">
        <v>33393824.899777714</v>
      </c>
      <c r="AQ101" s="350">
        <v>41660969.885986552</v>
      </c>
      <c r="AR101" s="348">
        <v>123573384.4072835</v>
      </c>
      <c r="AS101" s="369"/>
      <c r="AT101" s="350">
        <f t="shared" si="75"/>
        <v>1542510.8389557833</v>
      </c>
      <c r="AU101" s="350">
        <f t="shared" si="58"/>
        <v>4560091.774812229</v>
      </c>
      <c r="AV101" s="350">
        <f t="shared" si="59"/>
        <v>7332794.8343832046</v>
      </c>
      <c r="AW101" s="350">
        <f t="shared" si="60"/>
        <v>9855625.4229404815</v>
      </c>
      <c r="AX101" s="350">
        <f t="shared" si="61"/>
        <v>12125769.26120032</v>
      </c>
      <c r="AY101" s="350">
        <f t="shared" si="62"/>
        <v>35416792.132292017</v>
      </c>
      <c r="AZ101" s="365"/>
      <c r="BA101" s="377">
        <f t="shared" si="63"/>
        <v>0</v>
      </c>
      <c r="BB101" s="377">
        <f t="shared" si="64"/>
        <v>0</v>
      </c>
      <c r="BC101" s="377">
        <f t="shared" si="65"/>
        <v>0</v>
      </c>
      <c r="BD101" s="377">
        <f t="shared" si="66"/>
        <v>0</v>
      </c>
      <c r="BE101" s="377">
        <f t="shared" si="67"/>
        <v>0</v>
      </c>
      <c r="BF101" s="377">
        <f t="shared" si="68"/>
        <v>0</v>
      </c>
      <c r="BG101" s="328"/>
    </row>
    <row r="102" spans="2:59">
      <c r="B102" s="332">
        <v>87</v>
      </c>
      <c r="C102" s="350">
        <v>8947371.6502476279</v>
      </c>
      <c r="D102" s="350">
        <v>16912733.368475232</v>
      </c>
      <c r="E102" s="350">
        <v>24938077.346290965</v>
      </c>
      <c r="F102" s="350">
        <v>33023942.329304025</v>
      </c>
      <c r="G102" s="350">
        <v>41171613.084497228</v>
      </c>
      <c r="H102" s="348">
        <v>124993737.77881508</v>
      </c>
      <c r="I102" s="369"/>
      <c r="J102" s="350">
        <v>10071356.226872567</v>
      </c>
      <c r="K102" s="350">
        <v>20226485.380780123</v>
      </c>
      <c r="L102" s="350">
        <v>30114453.088623751</v>
      </c>
      <c r="M102" s="350">
        <v>39728001.670214884</v>
      </c>
      <c r="N102" s="350">
        <v>49062270.652597383</v>
      </c>
      <c r="O102" s="348">
        <v>149202567.01908869</v>
      </c>
      <c r="P102" s="369"/>
      <c r="Q102" s="350">
        <f t="shared" si="69"/>
        <v>1123984.5766249392</v>
      </c>
      <c r="R102" s="350">
        <f t="shared" si="70"/>
        <v>3313752.0123048909</v>
      </c>
      <c r="S102" s="350">
        <f t="shared" si="71"/>
        <v>5176375.7423327863</v>
      </c>
      <c r="T102" s="350">
        <f t="shared" si="72"/>
        <v>6704059.3409108594</v>
      </c>
      <c r="U102" s="350">
        <f t="shared" si="73"/>
        <v>7890657.5681001544</v>
      </c>
      <c r="V102" s="350">
        <f t="shared" si="74"/>
        <v>24208829.24027361</v>
      </c>
      <c r="W102" s="365"/>
      <c r="X102" s="377">
        <f t="shared" si="52"/>
        <v>0</v>
      </c>
      <c r="Y102" s="377">
        <f t="shared" si="53"/>
        <v>0</v>
      </c>
      <c r="Z102" s="377">
        <f t="shared" si="54"/>
        <v>0</v>
      </c>
      <c r="AA102" s="377">
        <f t="shared" si="55"/>
        <v>0</v>
      </c>
      <c r="AB102" s="377">
        <f t="shared" si="56"/>
        <v>0</v>
      </c>
      <c r="AC102" s="377">
        <f t="shared" si="57"/>
        <v>0</v>
      </c>
      <c r="AD102" s="376"/>
      <c r="AE102" s="332">
        <v>87</v>
      </c>
      <c r="AF102" s="350">
        <v>6098132.8780203769</v>
      </c>
      <c r="AG102" s="350">
        <v>12244155.445867889</v>
      </c>
      <c r="AH102" s="350">
        <v>18436691.441100799</v>
      </c>
      <c r="AI102" s="350">
        <v>24675946.190553378</v>
      </c>
      <c r="AJ102" s="350">
        <v>30962819.482501544</v>
      </c>
      <c r="AK102" s="348">
        <v>92417745.438043982</v>
      </c>
      <c r="AL102" s="369"/>
      <c r="AM102" s="350">
        <v>7131111.889583162</v>
      </c>
      <c r="AN102" s="350">
        <v>15292422.522654682</v>
      </c>
      <c r="AO102" s="350">
        <v>23226038.537951335</v>
      </c>
      <c r="AP102" s="350">
        <v>30927094.450511526</v>
      </c>
      <c r="AQ102" s="350">
        <v>38392948.190644458</v>
      </c>
      <c r="AR102" s="348">
        <v>114969615.59134516</v>
      </c>
      <c r="AS102" s="369"/>
      <c r="AT102" s="350">
        <f t="shared" si="75"/>
        <v>1032979.0115627851</v>
      </c>
      <c r="AU102" s="350">
        <f t="shared" si="58"/>
        <v>3048267.0767867938</v>
      </c>
      <c r="AV102" s="350">
        <f t="shared" si="59"/>
        <v>4789347.0968505368</v>
      </c>
      <c r="AW102" s="350">
        <f t="shared" si="60"/>
        <v>6251148.259958148</v>
      </c>
      <c r="AX102" s="350">
        <f t="shared" si="61"/>
        <v>7430128.7081429139</v>
      </c>
      <c r="AY102" s="350">
        <f t="shared" si="62"/>
        <v>22551870.153301179</v>
      </c>
      <c r="AZ102" s="365"/>
      <c r="BA102" s="377">
        <f t="shared" si="63"/>
        <v>0</v>
      </c>
      <c r="BB102" s="377">
        <f t="shared" si="64"/>
        <v>0</v>
      </c>
      <c r="BC102" s="377">
        <f t="shared" si="65"/>
        <v>0</v>
      </c>
      <c r="BD102" s="377">
        <f t="shared" si="66"/>
        <v>0</v>
      </c>
      <c r="BE102" s="377">
        <f t="shared" si="67"/>
        <v>0</v>
      </c>
      <c r="BF102" s="377">
        <f t="shared" si="68"/>
        <v>0</v>
      </c>
      <c r="BG102" s="328"/>
    </row>
    <row r="103" spans="2:59">
      <c r="B103" s="332">
        <v>88</v>
      </c>
      <c r="C103" s="350">
        <v>8017028.4397674529</v>
      </c>
      <c r="D103" s="350">
        <v>15204539.957211159</v>
      </c>
      <c r="E103" s="350">
        <v>22446192.484128188</v>
      </c>
      <c r="F103" s="350">
        <v>29742457.376647979</v>
      </c>
      <c r="G103" s="350">
        <v>37094487.508783042</v>
      </c>
      <c r="H103" s="348">
        <v>112504705.76653782</v>
      </c>
      <c r="I103" s="369"/>
      <c r="J103" s="350">
        <v>9518084.3517727125</v>
      </c>
      <c r="K103" s="350">
        <v>19638514.890987501</v>
      </c>
      <c r="L103" s="350">
        <v>29538197.868909676</v>
      </c>
      <c r="M103" s="350">
        <v>39210221.912894383</v>
      </c>
      <c r="N103" s="350">
        <v>48650469.284595639</v>
      </c>
      <c r="O103" s="348">
        <v>146555488.3091599</v>
      </c>
      <c r="P103" s="369"/>
      <c r="Q103" s="350">
        <f t="shared" si="69"/>
        <v>1501055.9120052597</v>
      </c>
      <c r="R103" s="350">
        <f t="shared" si="70"/>
        <v>4433974.9337763414</v>
      </c>
      <c r="S103" s="350">
        <f t="shared" si="71"/>
        <v>7092005.3847814873</v>
      </c>
      <c r="T103" s="350">
        <f t="shared" si="72"/>
        <v>9467764.5362464041</v>
      </c>
      <c r="U103" s="350">
        <f t="shared" si="73"/>
        <v>11555981.775812596</v>
      </c>
      <c r="V103" s="350">
        <f t="shared" si="74"/>
        <v>34050782.542622089</v>
      </c>
      <c r="W103" s="365"/>
      <c r="X103" s="377">
        <f t="shared" si="52"/>
        <v>0</v>
      </c>
      <c r="Y103" s="377">
        <f t="shared" si="53"/>
        <v>0</v>
      </c>
      <c r="Z103" s="377">
        <f t="shared" si="54"/>
        <v>0</v>
      </c>
      <c r="AA103" s="377">
        <f t="shared" si="55"/>
        <v>0</v>
      </c>
      <c r="AB103" s="377">
        <f t="shared" si="56"/>
        <v>0</v>
      </c>
      <c r="AC103" s="377">
        <f t="shared" si="57"/>
        <v>0</v>
      </c>
      <c r="AD103" s="376"/>
      <c r="AE103" s="332">
        <v>88</v>
      </c>
      <c r="AF103" s="350">
        <v>6586989.8228939604</v>
      </c>
      <c r="AG103" s="350">
        <v>13225708.413563685</v>
      </c>
      <c r="AH103" s="350">
        <v>19914669.181461107</v>
      </c>
      <c r="AI103" s="350">
        <v>26654093.913450297</v>
      </c>
      <c r="AJ103" s="350">
        <v>33444954.529352419</v>
      </c>
      <c r="AK103" s="348">
        <v>99826415.860721469</v>
      </c>
      <c r="AL103" s="369"/>
      <c r="AM103" s="350">
        <v>7748556.3546151919</v>
      </c>
      <c r="AN103" s="350">
        <v>16654106.17242723</v>
      </c>
      <c r="AO103" s="350">
        <v>25315079.316457532</v>
      </c>
      <c r="AP103" s="350">
        <v>33726207.312119752</v>
      </c>
      <c r="AQ103" s="350">
        <v>41884682.651281595</v>
      </c>
      <c r="AR103" s="348">
        <v>125328631.80690131</v>
      </c>
      <c r="AS103" s="369"/>
      <c r="AT103" s="350">
        <f t="shared" si="75"/>
        <v>1161566.5317212315</v>
      </c>
      <c r="AU103" s="350">
        <f t="shared" si="58"/>
        <v>3428397.7588635441</v>
      </c>
      <c r="AV103" s="350">
        <f t="shared" si="59"/>
        <v>5400410.1349964254</v>
      </c>
      <c r="AW103" s="350">
        <f t="shared" si="60"/>
        <v>7072113.3986694552</v>
      </c>
      <c r="AX103" s="350">
        <f t="shared" si="61"/>
        <v>8439728.1219291762</v>
      </c>
      <c r="AY103" s="350">
        <f t="shared" si="62"/>
        <v>25502215.946179837</v>
      </c>
      <c r="AZ103" s="365"/>
      <c r="BA103" s="377">
        <f t="shared" si="63"/>
        <v>0</v>
      </c>
      <c r="BB103" s="377">
        <f t="shared" si="64"/>
        <v>0</v>
      </c>
      <c r="BC103" s="377">
        <f t="shared" si="65"/>
        <v>0</v>
      </c>
      <c r="BD103" s="377">
        <f t="shared" si="66"/>
        <v>0</v>
      </c>
      <c r="BE103" s="377">
        <f t="shared" si="67"/>
        <v>0</v>
      </c>
      <c r="BF103" s="377">
        <f t="shared" si="68"/>
        <v>0</v>
      </c>
      <c r="BG103" s="328"/>
    </row>
    <row r="104" spans="2:59">
      <c r="B104" s="332">
        <v>89</v>
      </c>
      <c r="C104" s="350">
        <v>7755480.6854934786</v>
      </c>
      <c r="D104" s="350">
        <v>14571299.842325378</v>
      </c>
      <c r="E104" s="350">
        <v>21438416.202270769</v>
      </c>
      <c r="F104" s="350">
        <v>28357316.709557835</v>
      </c>
      <c r="G104" s="350">
        <v>35329112.006992541</v>
      </c>
      <c r="H104" s="348">
        <v>107451625.44664001</v>
      </c>
      <c r="I104" s="369"/>
      <c r="J104" s="350">
        <v>8863401.7068389654</v>
      </c>
      <c r="K104" s="350">
        <v>17840272.482779335</v>
      </c>
      <c r="L104" s="350">
        <v>26594714.773302652</v>
      </c>
      <c r="M104" s="350">
        <v>35120451.793557025</v>
      </c>
      <c r="N104" s="350">
        <v>43413430.229910105</v>
      </c>
      <c r="O104" s="348">
        <v>131832270.98638809</v>
      </c>
      <c r="P104" s="369"/>
      <c r="Q104" s="350">
        <f t="shared" si="69"/>
        <v>1107921.0213454869</v>
      </c>
      <c r="R104" s="350">
        <f t="shared" si="70"/>
        <v>3268972.640453957</v>
      </c>
      <c r="S104" s="350">
        <f t="shared" si="71"/>
        <v>5156298.5710318834</v>
      </c>
      <c r="T104" s="350">
        <f t="shared" si="72"/>
        <v>6763135.0839991905</v>
      </c>
      <c r="U104" s="350">
        <f t="shared" si="73"/>
        <v>8084318.2229175642</v>
      </c>
      <c r="V104" s="350">
        <f t="shared" si="74"/>
        <v>24380645.539748073</v>
      </c>
      <c r="W104" s="365"/>
      <c r="X104" s="377">
        <f t="shared" si="52"/>
        <v>0</v>
      </c>
      <c r="Y104" s="377">
        <f t="shared" si="53"/>
        <v>0</v>
      </c>
      <c r="Z104" s="377">
        <f t="shared" si="54"/>
        <v>0</v>
      </c>
      <c r="AA104" s="377">
        <f t="shared" si="55"/>
        <v>0</v>
      </c>
      <c r="AB104" s="377">
        <f t="shared" si="56"/>
        <v>0</v>
      </c>
      <c r="AC104" s="377">
        <f t="shared" si="57"/>
        <v>0</v>
      </c>
      <c r="AD104" s="376"/>
      <c r="AE104" s="332">
        <v>89</v>
      </c>
      <c r="AF104" s="350">
        <v>7388366.2287134249</v>
      </c>
      <c r="AG104" s="350">
        <v>14834754.572408579</v>
      </c>
      <c r="AH104" s="350">
        <v>22337497.58120371</v>
      </c>
      <c r="AI104" s="350">
        <v>29896844.024661325</v>
      </c>
      <c r="AJ104" s="350">
        <v>37513884.066843733</v>
      </c>
      <c r="AK104" s="348">
        <v>111971346.47383077</v>
      </c>
      <c r="AL104" s="369"/>
      <c r="AM104" s="350">
        <v>8490243.7613193803</v>
      </c>
      <c r="AN104" s="350">
        <v>18084128.846846707</v>
      </c>
      <c r="AO104" s="350">
        <v>27397661.755088624</v>
      </c>
      <c r="AP104" s="350">
        <v>36424989.898144655</v>
      </c>
      <c r="AQ104" s="350">
        <v>45162760.633364782</v>
      </c>
      <c r="AR104" s="348">
        <v>135559784.89476413</v>
      </c>
      <c r="AS104" s="369"/>
      <c r="AT104" s="350">
        <f t="shared" si="75"/>
        <v>1101877.5326059554</v>
      </c>
      <c r="AU104" s="350">
        <f t="shared" si="58"/>
        <v>3249374.2744381279</v>
      </c>
      <c r="AV104" s="350">
        <f t="shared" si="59"/>
        <v>5060164.1738849133</v>
      </c>
      <c r="AW104" s="350">
        <f t="shared" si="60"/>
        <v>6528145.87348333</v>
      </c>
      <c r="AX104" s="350">
        <f t="shared" si="61"/>
        <v>7648876.5665210485</v>
      </c>
      <c r="AY104" s="350">
        <f t="shared" si="62"/>
        <v>23588438.420933351</v>
      </c>
      <c r="AZ104" s="365"/>
      <c r="BA104" s="377">
        <f t="shared" si="63"/>
        <v>0</v>
      </c>
      <c r="BB104" s="377">
        <f t="shared" si="64"/>
        <v>0</v>
      </c>
      <c r="BC104" s="377">
        <f t="shared" si="65"/>
        <v>0</v>
      </c>
      <c r="BD104" s="377">
        <f t="shared" si="66"/>
        <v>0</v>
      </c>
      <c r="BE104" s="377">
        <f t="shared" si="67"/>
        <v>0</v>
      </c>
      <c r="BF104" s="377">
        <f t="shared" si="68"/>
        <v>0</v>
      </c>
      <c r="BG104" s="328"/>
    </row>
    <row r="105" spans="2:59">
      <c r="B105" s="332">
        <v>90</v>
      </c>
      <c r="C105" s="350">
        <v>8892243.0611208491</v>
      </c>
      <c r="D105" s="350">
        <v>16855662.82868097</v>
      </c>
      <c r="E105" s="350">
        <v>24879065.447007224</v>
      </c>
      <c r="F105" s="350">
        <v>32962975.704324715</v>
      </c>
      <c r="G105" s="350">
        <v>41108672.038708411</v>
      </c>
      <c r="H105" s="348">
        <v>124698619.07984218</v>
      </c>
      <c r="I105" s="369"/>
      <c r="J105" s="350">
        <v>9922716.864864856</v>
      </c>
      <c r="K105" s="350">
        <v>19892120.962130938</v>
      </c>
      <c r="L105" s="350">
        <v>29587598.179364227</v>
      </c>
      <c r="M105" s="350">
        <v>39002090.590356737</v>
      </c>
      <c r="N105" s="350">
        <v>48130830.589590654</v>
      </c>
      <c r="O105" s="348">
        <v>146535357.18630743</v>
      </c>
      <c r="P105" s="369"/>
      <c r="Q105" s="350">
        <f t="shared" si="69"/>
        <v>1030473.8037440069</v>
      </c>
      <c r="R105" s="350">
        <f t="shared" si="70"/>
        <v>3036458.133449968</v>
      </c>
      <c r="S105" s="350">
        <f t="shared" si="71"/>
        <v>4708532.7323570028</v>
      </c>
      <c r="T105" s="350">
        <f t="shared" si="72"/>
        <v>6039114.8860320225</v>
      </c>
      <c r="U105" s="350">
        <f t="shared" si="73"/>
        <v>7022158.5508822426</v>
      </c>
      <c r="V105" s="350">
        <f t="shared" si="74"/>
        <v>21836738.10646525</v>
      </c>
      <c r="W105" s="365"/>
      <c r="X105" s="377">
        <f t="shared" si="52"/>
        <v>0</v>
      </c>
      <c r="Y105" s="377">
        <f t="shared" si="53"/>
        <v>0</v>
      </c>
      <c r="Z105" s="377">
        <f t="shared" si="54"/>
        <v>0</v>
      </c>
      <c r="AA105" s="377">
        <f t="shared" si="55"/>
        <v>0</v>
      </c>
      <c r="AB105" s="377">
        <f t="shared" si="56"/>
        <v>0</v>
      </c>
      <c r="AC105" s="377">
        <f t="shared" si="57"/>
        <v>0</v>
      </c>
      <c r="AD105" s="376"/>
      <c r="AE105" s="332">
        <v>90</v>
      </c>
      <c r="AF105" s="350">
        <v>4789963.5055632852</v>
      </c>
      <c r="AG105" s="350">
        <v>9617543.421125032</v>
      </c>
      <c r="AH105" s="350">
        <v>14481658.719590252</v>
      </c>
      <c r="AI105" s="350">
        <v>19382470.681151185</v>
      </c>
      <c r="AJ105" s="350">
        <v>24320686.071811557</v>
      </c>
      <c r="AK105" s="348">
        <v>72592322.399241313</v>
      </c>
      <c r="AL105" s="369"/>
      <c r="AM105" s="350">
        <v>5697969.1952016624</v>
      </c>
      <c r="AN105" s="350">
        <v>12298446.7475393</v>
      </c>
      <c r="AO105" s="350">
        <v>18722968.482234888</v>
      </c>
      <c r="AP105" s="350">
        <v>24967685.328493726</v>
      </c>
      <c r="AQ105" s="350">
        <v>31030619.846911252</v>
      </c>
      <c r="AR105" s="348">
        <v>92717689.600380823</v>
      </c>
      <c r="AS105" s="369"/>
      <c r="AT105" s="350">
        <f t="shared" si="75"/>
        <v>908005.68963837717</v>
      </c>
      <c r="AU105" s="350">
        <f t="shared" si="58"/>
        <v>2680903.3264142685</v>
      </c>
      <c r="AV105" s="350">
        <f t="shared" si="59"/>
        <v>4241309.7626446355</v>
      </c>
      <c r="AW105" s="350">
        <f t="shared" si="60"/>
        <v>5585214.6473425403</v>
      </c>
      <c r="AX105" s="350">
        <f t="shared" si="61"/>
        <v>6709933.7750996947</v>
      </c>
      <c r="AY105" s="350">
        <f t="shared" si="62"/>
        <v>20125367.20113951</v>
      </c>
      <c r="AZ105" s="365"/>
      <c r="BA105" s="377">
        <f t="shared" si="63"/>
        <v>0</v>
      </c>
      <c r="BB105" s="377">
        <f t="shared" si="64"/>
        <v>0</v>
      </c>
      <c r="BC105" s="377">
        <f t="shared" si="65"/>
        <v>0</v>
      </c>
      <c r="BD105" s="377">
        <f t="shared" si="66"/>
        <v>0</v>
      </c>
      <c r="BE105" s="377">
        <f t="shared" si="67"/>
        <v>0</v>
      </c>
      <c r="BF105" s="377">
        <f t="shared" si="68"/>
        <v>0</v>
      </c>
      <c r="BG105" s="328"/>
    </row>
    <row r="106" spans="2:59">
      <c r="B106" s="332">
        <v>91</v>
      </c>
      <c r="C106" s="350">
        <v>6808370.8156875996</v>
      </c>
      <c r="D106" s="350">
        <v>12859103.692316979</v>
      </c>
      <c r="E106" s="350">
        <v>18955397.577252917</v>
      </c>
      <c r="F106" s="350">
        <v>25097664.766351901</v>
      </c>
      <c r="G106" s="350">
        <v>31286882.534246024</v>
      </c>
      <c r="H106" s="348">
        <v>95007419.385855421</v>
      </c>
      <c r="I106" s="369"/>
      <c r="J106" s="350">
        <v>7902510.7178812232</v>
      </c>
      <c r="K106" s="350">
        <v>16089079.730069689</v>
      </c>
      <c r="L106" s="350">
        <v>24079167.728975557</v>
      </c>
      <c r="M106" s="350">
        <v>31867234.671306908</v>
      </c>
      <c r="N106" s="350">
        <v>39449872.435531735</v>
      </c>
      <c r="O106" s="348">
        <v>119387865.28376511</v>
      </c>
      <c r="P106" s="369"/>
      <c r="Q106" s="350">
        <f t="shared" si="69"/>
        <v>1094139.9021936236</v>
      </c>
      <c r="R106" s="350">
        <f t="shared" si="70"/>
        <v>3229976.0377527103</v>
      </c>
      <c r="S106" s="350">
        <f t="shared" si="71"/>
        <v>5123770.1517226398</v>
      </c>
      <c r="T106" s="350">
        <f t="shared" si="72"/>
        <v>6769569.9049550071</v>
      </c>
      <c r="U106" s="350">
        <f t="shared" si="73"/>
        <v>8162989.9012857117</v>
      </c>
      <c r="V106" s="350">
        <f t="shared" si="74"/>
        <v>24380445.897909686</v>
      </c>
      <c r="W106" s="365"/>
      <c r="X106" s="377">
        <f t="shared" si="52"/>
        <v>0</v>
      </c>
      <c r="Y106" s="377">
        <f t="shared" si="53"/>
        <v>0</v>
      </c>
      <c r="Z106" s="377">
        <f t="shared" si="54"/>
        <v>0</v>
      </c>
      <c r="AA106" s="377">
        <f t="shared" si="55"/>
        <v>0</v>
      </c>
      <c r="AB106" s="377">
        <f t="shared" si="56"/>
        <v>0</v>
      </c>
      <c r="AC106" s="377">
        <f t="shared" si="57"/>
        <v>0</v>
      </c>
      <c r="AD106" s="376"/>
      <c r="AE106" s="332">
        <v>91</v>
      </c>
      <c r="AF106" s="350">
        <v>5083805.9581828229</v>
      </c>
      <c r="AG106" s="350">
        <v>10207535.921852019</v>
      </c>
      <c r="AH106" s="350">
        <v>15370042.547822177</v>
      </c>
      <c r="AI106" s="350">
        <v>20571497.010091029</v>
      </c>
      <c r="AJ106" s="350">
        <v>25812649.431538768</v>
      </c>
      <c r="AK106" s="348">
        <v>77045530.869486809</v>
      </c>
      <c r="AL106" s="369"/>
      <c r="AM106" s="350">
        <v>5969848.0399416238</v>
      </c>
      <c r="AN106" s="350">
        <v>12822567.030884244</v>
      </c>
      <c r="AO106" s="350">
        <v>19486210.005990744</v>
      </c>
      <c r="AP106" s="350">
        <v>25956713.738216821</v>
      </c>
      <c r="AQ106" s="350">
        <v>32231900.824185085</v>
      </c>
      <c r="AR106" s="348">
        <v>96467239.639218524</v>
      </c>
      <c r="AS106" s="369"/>
      <c r="AT106" s="350">
        <f t="shared" si="75"/>
        <v>886042.08175880089</v>
      </c>
      <c r="AU106" s="350">
        <f t="shared" si="58"/>
        <v>2615031.1090322249</v>
      </c>
      <c r="AV106" s="350">
        <f t="shared" si="59"/>
        <v>4116167.4581685662</v>
      </c>
      <c r="AW106" s="350">
        <f t="shared" si="60"/>
        <v>5385216.728125792</v>
      </c>
      <c r="AX106" s="350">
        <f t="shared" si="61"/>
        <v>6419251.3926463164</v>
      </c>
      <c r="AY106" s="350">
        <f t="shared" si="62"/>
        <v>19421708.769731715</v>
      </c>
      <c r="AZ106" s="365"/>
      <c r="BA106" s="377">
        <f t="shared" si="63"/>
        <v>0</v>
      </c>
      <c r="BB106" s="377">
        <f t="shared" si="64"/>
        <v>0</v>
      </c>
      <c r="BC106" s="377">
        <f t="shared" si="65"/>
        <v>0</v>
      </c>
      <c r="BD106" s="377">
        <f t="shared" si="66"/>
        <v>0</v>
      </c>
      <c r="BE106" s="377">
        <f t="shared" si="67"/>
        <v>0</v>
      </c>
      <c r="BF106" s="377">
        <f t="shared" si="68"/>
        <v>0</v>
      </c>
      <c r="BG106" s="328"/>
    </row>
    <row r="107" spans="2:59">
      <c r="B107" s="332">
        <v>92</v>
      </c>
      <c r="C107" s="350">
        <v>7091303.9620718919</v>
      </c>
      <c r="D107" s="350">
        <v>13244821.047920551</v>
      </c>
      <c r="E107" s="350">
        <v>19444625.021050438</v>
      </c>
      <c r="F107" s="350">
        <v>25691178.862329096</v>
      </c>
      <c r="G107" s="350">
        <v>31985495.453073651</v>
      </c>
      <c r="H107" s="348">
        <v>97457424.34644562</v>
      </c>
      <c r="I107" s="369"/>
      <c r="J107" s="350">
        <v>8237350.209232524</v>
      </c>
      <c r="K107" s="350">
        <v>16628523.76034642</v>
      </c>
      <c r="L107" s="350">
        <v>24835763.145942762</v>
      </c>
      <c r="M107" s="350">
        <v>32852911.085035663</v>
      </c>
      <c r="N107" s="350">
        <v>40675974.420931637</v>
      </c>
      <c r="O107" s="348">
        <v>123230522.621489</v>
      </c>
      <c r="P107" s="369"/>
      <c r="Q107" s="350">
        <f t="shared" si="69"/>
        <v>1146046.2471606322</v>
      </c>
      <c r="R107" s="350">
        <f t="shared" si="70"/>
        <v>3383702.712425869</v>
      </c>
      <c r="S107" s="350">
        <f t="shared" si="71"/>
        <v>5391138.1248923242</v>
      </c>
      <c r="T107" s="350">
        <f t="shared" si="72"/>
        <v>7161732.2227065675</v>
      </c>
      <c r="U107" s="350">
        <f t="shared" si="73"/>
        <v>8690478.9678579867</v>
      </c>
      <c r="V107" s="350">
        <f t="shared" si="74"/>
        <v>25773098.275043383</v>
      </c>
      <c r="W107" s="365"/>
      <c r="X107" s="377">
        <f t="shared" si="52"/>
        <v>0</v>
      </c>
      <c r="Y107" s="377">
        <f t="shared" si="53"/>
        <v>0</v>
      </c>
      <c r="Z107" s="377">
        <f t="shared" si="54"/>
        <v>0</v>
      </c>
      <c r="AA107" s="377">
        <f t="shared" si="55"/>
        <v>0</v>
      </c>
      <c r="AB107" s="377">
        <f t="shared" si="56"/>
        <v>0</v>
      </c>
      <c r="AC107" s="377">
        <f t="shared" si="57"/>
        <v>0</v>
      </c>
      <c r="AD107" s="376"/>
      <c r="AE107" s="332">
        <v>92</v>
      </c>
      <c r="AF107" s="350">
        <v>6239902.4158886177</v>
      </c>
      <c r="AG107" s="350">
        <v>12528807.862249985</v>
      </c>
      <c r="AH107" s="350">
        <v>18865308.081260458</v>
      </c>
      <c r="AI107" s="350">
        <v>25249613.173197418</v>
      </c>
      <c r="AJ107" s="350">
        <v>31682643.844635986</v>
      </c>
      <c r="AK107" s="348">
        <v>94566275.377232462</v>
      </c>
      <c r="AL107" s="369"/>
      <c r="AM107" s="350">
        <v>7282994.8749902323</v>
      </c>
      <c r="AN107" s="350">
        <v>15606714.030729193</v>
      </c>
      <c r="AO107" s="350">
        <v>23697028.771303847</v>
      </c>
      <c r="AP107" s="350">
        <v>31548964.430638403</v>
      </c>
      <c r="AQ107" s="350">
        <v>39159803.43741253</v>
      </c>
      <c r="AR107" s="348">
        <v>117295505.54507421</v>
      </c>
      <c r="AS107" s="369"/>
      <c r="AT107" s="350">
        <f t="shared" si="75"/>
        <v>1043092.4591016145</v>
      </c>
      <c r="AU107" s="350">
        <f t="shared" si="58"/>
        <v>3077906.1684792079</v>
      </c>
      <c r="AV107" s="350">
        <f t="shared" si="59"/>
        <v>4831720.6900433898</v>
      </c>
      <c r="AW107" s="350">
        <f t="shared" si="60"/>
        <v>6299351.2574409842</v>
      </c>
      <c r="AX107" s="350">
        <f t="shared" si="61"/>
        <v>7477159.5927765444</v>
      </c>
      <c r="AY107" s="350">
        <f t="shared" si="62"/>
        <v>22729230.167841747</v>
      </c>
      <c r="AZ107" s="365"/>
      <c r="BA107" s="377">
        <f t="shared" si="63"/>
        <v>0</v>
      </c>
      <c r="BB107" s="377">
        <f t="shared" si="64"/>
        <v>0</v>
      </c>
      <c r="BC107" s="377">
        <f t="shared" si="65"/>
        <v>0</v>
      </c>
      <c r="BD107" s="377">
        <f t="shared" si="66"/>
        <v>0</v>
      </c>
      <c r="BE107" s="377">
        <f t="shared" si="67"/>
        <v>0</v>
      </c>
      <c r="BF107" s="377">
        <f t="shared" si="68"/>
        <v>0</v>
      </c>
      <c r="BG107" s="328"/>
    </row>
    <row r="108" spans="2:59">
      <c r="B108" s="332">
        <v>93</v>
      </c>
      <c r="C108" s="350">
        <v>9520538.2531933784</v>
      </c>
      <c r="D108" s="350">
        <v>17837923.609963354</v>
      </c>
      <c r="E108" s="350">
        <v>26217891.024583668</v>
      </c>
      <c r="F108" s="350">
        <v>34661049.466131687</v>
      </c>
      <c r="G108" s="350">
        <v>43168760.675608642</v>
      </c>
      <c r="H108" s="348">
        <v>131406163.02948073</v>
      </c>
      <c r="I108" s="369"/>
      <c r="J108" s="350">
        <v>10651360.739753574</v>
      </c>
      <c r="K108" s="350">
        <v>21171131.013863161</v>
      </c>
      <c r="L108" s="350">
        <v>31410518.051523745</v>
      </c>
      <c r="M108" s="350">
        <v>41362046.271202683</v>
      </c>
      <c r="N108" s="350">
        <v>51020662.342289962</v>
      </c>
      <c r="O108" s="348">
        <v>155615718.41863313</v>
      </c>
      <c r="P108" s="369"/>
      <c r="Q108" s="350">
        <f t="shared" si="69"/>
        <v>1130822.4865601957</v>
      </c>
      <c r="R108" s="350">
        <f t="shared" si="70"/>
        <v>3333207.4038998075</v>
      </c>
      <c r="S108" s="350">
        <f t="shared" si="71"/>
        <v>5192627.0269400775</v>
      </c>
      <c r="T108" s="350">
        <f t="shared" si="72"/>
        <v>6700996.8050709963</v>
      </c>
      <c r="U108" s="350">
        <f t="shared" si="73"/>
        <v>7851901.6666813195</v>
      </c>
      <c r="V108" s="350">
        <f t="shared" si="74"/>
        <v>24209555.389152408</v>
      </c>
      <c r="W108" s="365"/>
      <c r="X108" s="377">
        <f t="shared" si="52"/>
        <v>0</v>
      </c>
      <c r="Y108" s="377">
        <f t="shared" si="53"/>
        <v>0</v>
      </c>
      <c r="Z108" s="377">
        <f t="shared" si="54"/>
        <v>0</v>
      </c>
      <c r="AA108" s="377">
        <f t="shared" si="55"/>
        <v>0</v>
      </c>
      <c r="AB108" s="377">
        <f t="shared" si="56"/>
        <v>0</v>
      </c>
      <c r="AC108" s="377">
        <f t="shared" si="57"/>
        <v>0</v>
      </c>
      <c r="AD108" s="376"/>
      <c r="AE108" s="332">
        <v>93</v>
      </c>
      <c r="AF108" s="350">
        <v>8123278.3472768012</v>
      </c>
      <c r="AG108" s="350">
        <v>16310350.201223936</v>
      </c>
      <c r="AH108" s="350">
        <v>24559382.252676655</v>
      </c>
      <c r="AI108" s="350">
        <v>32870648.016013917</v>
      </c>
      <c r="AJ108" s="350">
        <v>41245346.092638008</v>
      </c>
      <c r="AK108" s="348">
        <v>123109004.90982932</v>
      </c>
      <c r="AL108" s="369"/>
      <c r="AM108" s="350">
        <v>9353818.8375541866</v>
      </c>
      <c r="AN108" s="350">
        <v>19939463.745315503</v>
      </c>
      <c r="AO108" s="350">
        <v>30217441.041471966</v>
      </c>
      <c r="AP108" s="350">
        <v>40181310.597058304</v>
      </c>
      <c r="AQ108" s="350">
        <v>49827405.58980494</v>
      </c>
      <c r="AR108" s="348">
        <v>149519439.81120491</v>
      </c>
      <c r="AS108" s="369"/>
      <c r="AT108" s="350">
        <f t="shared" si="75"/>
        <v>1230540.4902773853</v>
      </c>
      <c r="AU108" s="350">
        <f t="shared" si="58"/>
        <v>3629113.5440915674</v>
      </c>
      <c r="AV108" s="350">
        <f t="shared" si="59"/>
        <v>5658058.788795311</v>
      </c>
      <c r="AW108" s="350">
        <f t="shared" si="60"/>
        <v>7310662.5810443871</v>
      </c>
      <c r="AX108" s="350">
        <f t="shared" si="61"/>
        <v>8582059.4971669316</v>
      </c>
      <c r="AY108" s="350">
        <f t="shared" si="62"/>
        <v>26410434.901375592</v>
      </c>
      <c r="AZ108" s="365"/>
      <c r="BA108" s="377">
        <f t="shared" si="63"/>
        <v>0</v>
      </c>
      <c r="BB108" s="377">
        <f t="shared" si="64"/>
        <v>0</v>
      </c>
      <c r="BC108" s="377">
        <f t="shared" si="65"/>
        <v>0</v>
      </c>
      <c r="BD108" s="377">
        <f t="shared" si="66"/>
        <v>0</v>
      </c>
      <c r="BE108" s="377">
        <f t="shared" si="67"/>
        <v>0</v>
      </c>
      <c r="BF108" s="377">
        <f t="shared" si="68"/>
        <v>0</v>
      </c>
      <c r="BG108" s="328"/>
    </row>
    <row r="109" spans="2:59">
      <c r="B109" s="332">
        <v>94</v>
      </c>
      <c r="C109" s="350">
        <v>7129939.1063885018</v>
      </c>
      <c r="D109" s="350">
        <v>13400023.073887829</v>
      </c>
      <c r="E109" s="350">
        <v>19717298.246380344</v>
      </c>
      <c r="F109" s="350">
        <v>26082211.385978851</v>
      </c>
      <c r="G109" s="350">
        <v>32495783.688451774</v>
      </c>
      <c r="H109" s="348">
        <v>98825255.501087308</v>
      </c>
      <c r="I109" s="369"/>
      <c r="J109" s="350">
        <v>8195313.9854723541</v>
      </c>
      <c r="K109" s="350">
        <v>16544174.543658737</v>
      </c>
      <c r="L109" s="350">
        <v>24687962.965763055</v>
      </c>
      <c r="M109" s="350">
        <v>32620976.020924676</v>
      </c>
      <c r="N109" s="350">
        <v>40339619.452524766</v>
      </c>
      <c r="O109" s="348">
        <v>122388046.96834359</v>
      </c>
      <c r="P109" s="369"/>
      <c r="Q109" s="350">
        <f t="shared" si="69"/>
        <v>1065374.8790838523</v>
      </c>
      <c r="R109" s="350">
        <f t="shared" si="70"/>
        <v>3144151.4697709084</v>
      </c>
      <c r="S109" s="350">
        <f t="shared" si="71"/>
        <v>4970664.7193827108</v>
      </c>
      <c r="T109" s="350">
        <f t="shared" si="72"/>
        <v>6538764.6349458247</v>
      </c>
      <c r="U109" s="350">
        <f t="shared" si="73"/>
        <v>7843835.7640729919</v>
      </c>
      <c r="V109" s="350">
        <f t="shared" si="74"/>
        <v>23562791.467256278</v>
      </c>
      <c r="W109" s="365"/>
      <c r="X109" s="377">
        <f t="shared" si="52"/>
        <v>0</v>
      </c>
      <c r="Y109" s="377">
        <f t="shared" si="53"/>
        <v>0</v>
      </c>
      <c r="Z109" s="377">
        <f t="shared" si="54"/>
        <v>0</v>
      </c>
      <c r="AA109" s="377">
        <f t="shared" si="55"/>
        <v>0</v>
      </c>
      <c r="AB109" s="377">
        <f t="shared" si="56"/>
        <v>0</v>
      </c>
      <c r="AC109" s="377">
        <f t="shared" si="57"/>
        <v>0</v>
      </c>
      <c r="AD109" s="376"/>
      <c r="AE109" s="332">
        <v>94</v>
      </c>
      <c r="AF109" s="350">
        <v>7228995.4201221596</v>
      </c>
      <c r="AG109" s="350">
        <v>14514761.38876405</v>
      </c>
      <c r="AH109" s="350">
        <v>21855666.423783973</v>
      </c>
      <c r="AI109" s="350">
        <v>29251953.928658739</v>
      </c>
      <c r="AJ109" s="350">
        <v>36704690.552058659</v>
      </c>
      <c r="AK109" s="348">
        <v>109556067.71338758</v>
      </c>
      <c r="AL109" s="369"/>
      <c r="AM109" s="350">
        <v>8278412.9024263443</v>
      </c>
      <c r="AN109" s="350">
        <v>17608952.986177653</v>
      </c>
      <c r="AO109" s="350">
        <v>26664328.897131454</v>
      </c>
      <c r="AP109" s="350">
        <v>35438822.405837886</v>
      </c>
      <c r="AQ109" s="350">
        <v>43929124.12958774</v>
      </c>
      <c r="AR109" s="348">
        <v>131919641.32116108</v>
      </c>
      <c r="AS109" s="369"/>
      <c r="AT109" s="350">
        <f t="shared" si="75"/>
        <v>1049417.4823041847</v>
      </c>
      <c r="AU109" s="350">
        <f t="shared" si="58"/>
        <v>3094191.5974136032</v>
      </c>
      <c r="AV109" s="350">
        <f t="shared" si="59"/>
        <v>4808662.4733474813</v>
      </c>
      <c r="AW109" s="350">
        <f t="shared" si="60"/>
        <v>6186868.4771791473</v>
      </c>
      <c r="AX109" s="350">
        <f t="shared" si="61"/>
        <v>7224433.5775290802</v>
      </c>
      <c r="AY109" s="350">
        <f t="shared" si="62"/>
        <v>22363573.607773498</v>
      </c>
      <c r="AZ109" s="365"/>
      <c r="BA109" s="377">
        <f t="shared" si="63"/>
        <v>0</v>
      </c>
      <c r="BB109" s="377">
        <f t="shared" si="64"/>
        <v>0</v>
      </c>
      <c r="BC109" s="377">
        <f t="shared" si="65"/>
        <v>0</v>
      </c>
      <c r="BD109" s="377">
        <f t="shared" si="66"/>
        <v>0</v>
      </c>
      <c r="BE109" s="377">
        <f t="shared" si="67"/>
        <v>0</v>
      </c>
      <c r="BF109" s="377">
        <f t="shared" si="68"/>
        <v>0</v>
      </c>
      <c r="BG109" s="328"/>
    </row>
    <row r="110" spans="2:59">
      <c r="B110" s="332">
        <v>95</v>
      </c>
      <c r="C110" s="350">
        <v>7197767.7913360642</v>
      </c>
      <c r="D110" s="350">
        <v>13516412.187536422</v>
      </c>
      <c r="E110" s="350">
        <v>19882609.651028194</v>
      </c>
      <c r="F110" s="350">
        <v>26296813.696535442</v>
      </c>
      <c r="G110" s="350">
        <v>32760054.861340638</v>
      </c>
      <c r="H110" s="348">
        <v>99653658.187776759</v>
      </c>
      <c r="I110" s="369"/>
      <c r="J110" s="350">
        <v>8485705.8580458853</v>
      </c>
      <c r="K110" s="350">
        <v>17320504.493703458</v>
      </c>
      <c r="L110" s="350">
        <v>25961731.170331448</v>
      </c>
      <c r="M110" s="350">
        <v>34403318.294632897</v>
      </c>
      <c r="N110" s="350">
        <v>42641589.094823249</v>
      </c>
      <c r="O110" s="348">
        <v>128812848.91153693</v>
      </c>
      <c r="P110" s="369"/>
      <c r="Q110" s="350">
        <f t="shared" si="69"/>
        <v>1287938.0667098211</v>
      </c>
      <c r="R110" s="350">
        <f t="shared" si="70"/>
        <v>3804092.3061670363</v>
      </c>
      <c r="S110" s="350">
        <f t="shared" si="71"/>
        <v>6079121.5193032548</v>
      </c>
      <c r="T110" s="350">
        <f t="shared" si="72"/>
        <v>8106504.5980974548</v>
      </c>
      <c r="U110" s="350">
        <f t="shared" si="73"/>
        <v>9881534.2334826104</v>
      </c>
      <c r="V110" s="350">
        <f t="shared" si="74"/>
        <v>29159190.723760173</v>
      </c>
      <c r="W110" s="365"/>
      <c r="X110" s="377">
        <f t="shared" si="52"/>
        <v>0</v>
      </c>
      <c r="Y110" s="377">
        <f t="shared" si="53"/>
        <v>0</v>
      </c>
      <c r="Z110" s="377">
        <f t="shared" si="54"/>
        <v>0</v>
      </c>
      <c r="AA110" s="377">
        <f t="shared" si="55"/>
        <v>0</v>
      </c>
      <c r="AB110" s="377">
        <f t="shared" si="56"/>
        <v>0</v>
      </c>
      <c r="AC110" s="377">
        <f t="shared" si="57"/>
        <v>0</v>
      </c>
      <c r="AD110" s="376"/>
      <c r="AE110" s="332">
        <v>95</v>
      </c>
      <c r="AF110" s="350">
        <v>4898402.5572958887</v>
      </c>
      <c r="AG110" s="350">
        <v>9835273.1151764896</v>
      </c>
      <c r="AH110" s="350">
        <v>14809506.173384765</v>
      </c>
      <c r="AI110" s="350">
        <v>19821266.663303845</v>
      </c>
      <c r="AJ110" s="350">
        <v>24871277.351275481</v>
      </c>
      <c r="AK110" s="348">
        <v>74235725.860436469</v>
      </c>
      <c r="AL110" s="369"/>
      <c r="AM110" s="350">
        <v>5804080.5669750907</v>
      </c>
      <c r="AN110" s="350">
        <v>12509002.128737058</v>
      </c>
      <c r="AO110" s="350">
        <v>19033299.064992707</v>
      </c>
      <c r="AP110" s="350">
        <v>25373041.638982549</v>
      </c>
      <c r="AQ110" s="350">
        <v>31526184.468466811</v>
      </c>
      <c r="AR110" s="348">
        <v>94245607.868154228</v>
      </c>
      <c r="AS110" s="369"/>
      <c r="AT110" s="350">
        <f t="shared" si="75"/>
        <v>905678.00967920199</v>
      </c>
      <c r="AU110" s="350">
        <f t="shared" si="58"/>
        <v>2673729.0135605689</v>
      </c>
      <c r="AV110" s="350">
        <f t="shared" si="59"/>
        <v>4223792.8916079421</v>
      </c>
      <c r="AW110" s="350">
        <f t="shared" si="60"/>
        <v>5551774.9756787047</v>
      </c>
      <c r="AX110" s="350">
        <f t="shared" si="61"/>
        <v>6654907.1171913296</v>
      </c>
      <c r="AY110" s="350">
        <f t="shared" si="62"/>
        <v>20009882.007717758</v>
      </c>
      <c r="AZ110" s="365"/>
      <c r="BA110" s="377">
        <f t="shared" si="63"/>
        <v>0</v>
      </c>
      <c r="BB110" s="377">
        <f t="shared" si="64"/>
        <v>0</v>
      </c>
      <c r="BC110" s="377">
        <f t="shared" si="65"/>
        <v>0</v>
      </c>
      <c r="BD110" s="377">
        <f t="shared" si="66"/>
        <v>0</v>
      </c>
      <c r="BE110" s="377">
        <f t="shared" si="67"/>
        <v>0</v>
      </c>
      <c r="BF110" s="377">
        <f t="shared" si="68"/>
        <v>0</v>
      </c>
      <c r="BG110" s="328"/>
    </row>
    <row r="111" spans="2:59">
      <c r="B111" s="332">
        <v>96</v>
      </c>
      <c r="C111" s="350">
        <v>7050092.8253877899</v>
      </c>
      <c r="D111" s="350">
        <v>13287893.553455159</v>
      </c>
      <c r="E111" s="350">
        <v>19572654.905148409</v>
      </c>
      <c r="F111" s="350">
        <v>25904810.078298584</v>
      </c>
      <c r="G111" s="350">
        <v>32285370.109822124</v>
      </c>
      <c r="H111" s="348">
        <v>98100821.47211206</v>
      </c>
      <c r="I111" s="369"/>
      <c r="J111" s="350">
        <v>7892198.7481820025</v>
      </c>
      <c r="K111" s="350">
        <v>15769954.663750289</v>
      </c>
      <c r="L111" s="350">
        <v>23433231.727760568</v>
      </c>
      <c r="M111" s="350">
        <v>30876546.00996441</v>
      </c>
      <c r="N111" s="350">
        <v>38096241.720446512</v>
      </c>
      <c r="O111" s="348">
        <v>116068172.87010378</v>
      </c>
      <c r="P111" s="369"/>
      <c r="Q111" s="350">
        <f t="shared" si="69"/>
        <v>842105.92279421259</v>
      </c>
      <c r="R111" s="350">
        <f t="shared" si="70"/>
        <v>2482061.1102951299</v>
      </c>
      <c r="S111" s="350">
        <f t="shared" si="71"/>
        <v>3860576.822612159</v>
      </c>
      <c r="T111" s="350">
        <f t="shared" si="72"/>
        <v>4971735.9316658266</v>
      </c>
      <c r="U111" s="350">
        <f t="shared" si="73"/>
        <v>5810871.6106243879</v>
      </c>
      <c r="V111" s="350">
        <f t="shared" si="74"/>
        <v>17967351.397991717</v>
      </c>
      <c r="W111" s="365"/>
      <c r="X111" s="377">
        <f t="shared" si="52"/>
        <v>0</v>
      </c>
      <c r="Y111" s="377">
        <f t="shared" si="53"/>
        <v>0</v>
      </c>
      <c r="Z111" s="377">
        <f t="shared" si="54"/>
        <v>0</v>
      </c>
      <c r="AA111" s="377">
        <f t="shared" si="55"/>
        <v>0</v>
      </c>
      <c r="AB111" s="377">
        <f t="shared" si="56"/>
        <v>0</v>
      </c>
      <c r="AC111" s="377">
        <f t="shared" si="57"/>
        <v>0</v>
      </c>
      <c r="AD111" s="376"/>
      <c r="AE111" s="332">
        <v>96</v>
      </c>
      <c r="AF111" s="350">
        <v>9761544.8220517803</v>
      </c>
      <c r="AG111" s="350">
        <v>19599748.740110911</v>
      </c>
      <c r="AH111" s="350">
        <v>29512408.711413212</v>
      </c>
      <c r="AI111" s="350">
        <v>39499853.411495283</v>
      </c>
      <c r="AJ111" s="350">
        <v>49563523.170333758</v>
      </c>
      <c r="AK111" s="348">
        <v>147937078.85540494</v>
      </c>
      <c r="AL111" s="369"/>
      <c r="AM111" s="350">
        <v>11103519.706826288</v>
      </c>
      <c r="AN111" s="350">
        <v>23555248.308841806</v>
      </c>
      <c r="AO111" s="350">
        <v>35633164.998565353</v>
      </c>
      <c r="AP111" s="350">
        <v>47329569.504477322</v>
      </c>
      <c r="AQ111" s="350">
        <v>58639917.01496084</v>
      </c>
      <c r="AR111" s="348">
        <v>176261419.53367162</v>
      </c>
      <c r="AS111" s="369"/>
      <c r="AT111" s="350">
        <f t="shared" si="75"/>
        <v>1341974.884774508</v>
      </c>
      <c r="AU111" s="350">
        <f t="shared" si="58"/>
        <v>3955499.5687308945</v>
      </c>
      <c r="AV111" s="350">
        <f t="shared" si="59"/>
        <v>6120756.2871521413</v>
      </c>
      <c r="AW111" s="350">
        <f t="shared" si="60"/>
        <v>7829716.0929820389</v>
      </c>
      <c r="AX111" s="350">
        <f t="shared" si="61"/>
        <v>9076393.8446270823</v>
      </c>
      <c r="AY111" s="350">
        <f t="shared" si="62"/>
        <v>28324340.678266674</v>
      </c>
      <c r="AZ111" s="365"/>
      <c r="BA111" s="377">
        <f t="shared" si="63"/>
        <v>0</v>
      </c>
      <c r="BB111" s="377">
        <f t="shared" si="64"/>
        <v>0</v>
      </c>
      <c r="BC111" s="377">
        <f t="shared" si="65"/>
        <v>0</v>
      </c>
      <c r="BD111" s="377">
        <f t="shared" si="66"/>
        <v>0</v>
      </c>
      <c r="BE111" s="377">
        <f t="shared" si="67"/>
        <v>0</v>
      </c>
      <c r="BF111" s="377">
        <f t="shared" si="68"/>
        <v>0</v>
      </c>
      <c r="BG111" s="328"/>
    </row>
    <row r="112" spans="2:59">
      <c r="B112" s="332">
        <v>97</v>
      </c>
      <c r="C112" s="350">
        <v>6616872.3530316856</v>
      </c>
      <c r="D112" s="350">
        <v>12392616.772737987</v>
      </c>
      <c r="E112" s="350">
        <v>18211817.697596774</v>
      </c>
      <c r="F112" s="350">
        <v>24074899.478736412</v>
      </c>
      <c r="G112" s="350">
        <v>29982808.374406349</v>
      </c>
      <c r="H112" s="348">
        <v>91279014.676509216</v>
      </c>
      <c r="I112" s="369"/>
      <c r="J112" s="350">
        <v>7571145.6851465199</v>
      </c>
      <c r="K112" s="350">
        <v>15208496.549075212</v>
      </c>
      <c r="L112" s="350">
        <v>22662170.518398024</v>
      </c>
      <c r="M112" s="350">
        <v>29926698.662048355</v>
      </c>
      <c r="N112" s="350">
        <v>36998503.103529088</v>
      </c>
      <c r="O112" s="348">
        <v>112367014.51819721</v>
      </c>
      <c r="P112" s="369"/>
      <c r="Q112" s="350">
        <f t="shared" si="69"/>
        <v>954273.33211483434</v>
      </c>
      <c r="R112" s="350">
        <f t="shared" si="70"/>
        <v>2815879.776337225</v>
      </c>
      <c r="S112" s="350">
        <f t="shared" si="71"/>
        <v>4450352.8208012506</v>
      </c>
      <c r="T112" s="350">
        <f t="shared" si="72"/>
        <v>5851799.183311943</v>
      </c>
      <c r="U112" s="350">
        <f t="shared" si="73"/>
        <v>7015694.7291227393</v>
      </c>
      <c r="V112" s="350">
        <f t="shared" si="74"/>
        <v>21087999.841687992</v>
      </c>
      <c r="W112" s="365"/>
      <c r="X112" s="377">
        <f t="shared" si="52"/>
        <v>0</v>
      </c>
      <c r="Y112" s="377">
        <f t="shared" si="53"/>
        <v>0</v>
      </c>
      <c r="Z112" s="377">
        <f t="shared" si="54"/>
        <v>0</v>
      </c>
      <c r="AA112" s="377">
        <f t="shared" si="55"/>
        <v>0</v>
      </c>
      <c r="AB112" s="377">
        <f t="shared" si="56"/>
        <v>0</v>
      </c>
      <c r="AC112" s="377">
        <f t="shared" si="57"/>
        <v>0</v>
      </c>
      <c r="AD112" s="376"/>
      <c r="AE112" s="332">
        <v>97</v>
      </c>
      <c r="AF112" s="350">
        <v>4723000.6735354364</v>
      </c>
      <c r="AG112" s="350">
        <v>9483091.8863938507</v>
      </c>
      <c r="AH112" s="350">
        <v>14279207.724045452</v>
      </c>
      <c r="AI112" s="350">
        <v>19111507.212014273</v>
      </c>
      <c r="AJ112" s="350">
        <v>23980687.235841878</v>
      </c>
      <c r="AK112" s="348">
        <v>71577494.731830895</v>
      </c>
      <c r="AL112" s="369"/>
      <c r="AM112" s="350">
        <v>5700179.347143922</v>
      </c>
      <c r="AN112" s="350">
        <v>12369309.377360178</v>
      </c>
      <c r="AO112" s="350">
        <v>18867395.355465401</v>
      </c>
      <c r="AP112" s="350">
        <v>25190618.865034241</v>
      </c>
      <c r="AQ112" s="350">
        <v>31337113.022727154</v>
      </c>
      <c r="AR112" s="348">
        <v>93464615.96773088</v>
      </c>
      <c r="AS112" s="369"/>
      <c r="AT112" s="350">
        <f t="shared" si="75"/>
        <v>977178.67360848561</v>
      </c>
      <c r="AU112" s="350">
        <f t="shared" si="58"/>
        <v>2886217.4909663275</v>
      </c>
      <c r="AV112" s="350">
        <f t="shared" si="59"/>
        <v>4588187.6314199492</v>
      </c>
      <c r="AW112" s="350">
        <f t="shared" si="60"/>
        <v>6079111.6530199684</v>
      </c>
      <c r="AX112" s="350">
        <f t="shared" si="61"/>
        <v>7356425.7868852764</v>
      </c>
      <c r="AY112" s="350">
        <f t="shared" si="62"/>
        <v>21887121.235899985</v>
      </c>
      <c r="AZ112" s="365"/>
      <c r="BA112" s="377">
        <f t="shared" si="63"/>
        <v>0</v>
      </c>
      <c r="BB112" s="377">
        <f t="shared" si="64"/>
        <v>0</v>
      </c>
      <c r="BC112" s="377">
        <f t="shared" si="65"/>
        <v>0</v>
      </c>
      <c r="BD112" s="377">
        <f t="shared" si="66"/>
        <v>0</v>
      </c>
      <c r="BE112" s="377">
        <f t="shared" si="67"/>
        <v>0</v>
      </c>
      <c r="BF112" s="377">
        <f t="shared" si="68"/>
        <v>0</v>
      </c>
      <c r="BG112" s="328"/>
    </row>
    <row r="113" spans="2:59">
      <c r="B113" s="332">
        <v>98</v>
      </c>
      <c r="C113" s="350">
        <v>7049916.9146886859</v>
      </c>
      <c r="D113" s="350">
        <v>13369428.649369165</v>
      </c>
      <c r="E113" s="350">
        <v>19736542.748860456</v>
      </c>
      <c r="F113" s="350">
        <v>26151673.924038418</v>
      </c>
      <c r="G113" s="350">
        <v>32615835.943078905</v>
      </c>
      <c r="H113" s="348">
        <v>98923398.180035621</v>
      </c>
      <c r="I113" s="369"/>
      <c r="J113" s="350">
        <v>7900022.7799709514</v>
      </c>
      <c r="K113" s="350">
        <v>15875007.523236619</v>
      </c>
      <c r="L113" s="350">
        <v>23633454.600140594</v>
      </c>
      <c r="M113" s="350">
        <v>31169746.43340937</v>
      </c>
      <c r="N113" s="350">
        <v>38480125.891106255</v>
      </c>
      <c r="O113" s="348">
        <v>117058357.22786379</v>
      </c>
      <c r="P113" s="369"/>
      <c r="Q113" s="350">
        <f t="shared" si="69"/>
        <v>850105.86528226547</v>
      </c>
      <c r="R113" s="350">
        <f t="shared" si="70"/>
        <v>2505578.873867454</v>
      </c>
      <c r="S113" s="350">
        <f t="shared" si="71"/>
        <v>3896911.8512801379</v>
      </c>
      <c r="T113" s="350">
        <f t="shared" si="72"/>
        <v>5018072.5093709528</v>
      </c>
      <c r="U113" s="350">
        <f t="shared" si="73"/>
        <v>5864289.94802735</v>
      </c>
      <c r="V113" s="350">
        <f t="shared" si="74"/>
        <v>18134959.047828168</v>
      </c>
      <c r="W113" s="365"/>
      <c r="X113" s="377">
        <f t="shared" si="52"/>
        <v>0</v>
      </c>
      <c r="Y113" s="377">
        <f t="shared" si="53"/>
        <v>0</v>
      </c>
      <c r="Z113" s="377">
        <f t="shared" si="54"/>
        <v>0</v>
      </c>
      <c r="AA113" s="377">
        <f t="shared" si="55"/>
        <v>0</v>
      </c>
      <c r="AB113" s="377">
        <f t="shared" si="56"/>
        <v>0</v>
      </c>
      <c r="AC113" s="377">
        <f t="shared" si="57"/>
        <v>0</v>
      </c>
      <c r="AD113" s="376"/>
      <c r="AE113" s="332">
        <v>98</v>
      </c>
      <c r="AF113" s="350">
        <v>7944542.4431553902</v>
      </c>
      <c r="AG113" s="350">
        <v>15951474.749082142</v>
      </c>
      <c r="AH113" s="350">
        <v>24019003.946784053</v>
      </c>
      <c r="AI113" s="350">
        <v>32147397.532523043</v>
      </c>
      <c r="AJ113" s="350">
        <v>40337827.734961703</v>
      </c>
      <c r="AK113" s="348">
        <v>120400246.40650634</v>
      </c>
      <c r="AL113" s="369"/>
      <c r="AM113" s="350">
        <v>9499673.4784324393</v>
      </c>
      <c r="AN113" s="350">
        <v>20543675.371809971</v>
      </c>
      <c r="AO113" s="350">
        <v>31297311.750473872</v>
      </c>
      <c r="AP113" s="350">
        <v>41754184.722949088</v>
      </c>
      <c r="AQ113" s="350">
        <v>51911064.303044848</v>
      </c>
      <c r="AR113" s="348">
        <v>155005909.62671021</v>
      </c>
      <c r="AS113" s="369"/>
      <c r="AT113" s="350">
        <f t="shared" si="75"/>
        <v>1555131.0352770491</v>
      </c>
      <c r="AU113" s="350">
        <f t="shared" si="58"/>
        <v>4592200.6227278281</v>
      </c>
      <c r="AV113" s="350">
        <f t="shared" si="59"/>
        <v>7278307.8036898188</v>
      </c>
      <c r="AW113" s="350">
        <f t="shared" si="60"/>
        <v>9606787.1904260442</v>
      </c>
      <c r="AX113" s="350">
        <f t="shared" si="61"/>
        <v>11573236.568083145</v>
      </c>
      <c r="AY113" s="350">
        <f t="shared" si="62"/>
        <v>34605663.220203862</v>
      </c>
      <c r="AZ113" s="365"/>
      <c r="BA113" s="377">
        <f t="shared" si="63"/>
        <v>0</v>
      </c>
      <c r="BB113" s="377">
        <f t="shared" si="64"/>
        <v>0</v>
      </c>
      <c r="BC113" s="377">
        <f t="shared" si="65"/>
        <v>0</v>
      </c>
      <c r="BD113" s="377">
        <f t="shared" si="66"/>
        <v>0</v>
      </c>
      <c r="BE113" s="377">
        <f t="shared" si="67"/>
        <v>0</v>
      </c>
      <c r="BF113" s="377">
        <f t="shared" si="68"/>
        <v>0</v>
      </c>
      <c r="BG113" s="328"/>
    </row>
    <row r="114" spans="2:59">
      <c r="B114" s="332">
        <v>99</v>
      </c>
      <c r="C114" s="350">
        <v>9040999.171002036</v>
      </c>
      <c r="D114" s="350">
        <v>16945562.382738974</v>
      </c>
      <c r="E114" s="350">
        <v>24909603.488265648</v>
      </c>
      <c r="F114" s="350">
        <v>32933699.403384838</v>
      </c>
      <c r="G114" s="350">
        <v>41019143.485605009</v>
      </c>
      <c r="H114" s="348">
        <v>124849007.93099651</v>
      </c>
      <c r="I114" s="369"/>
      <c r="J114" s="350">
        <v>9956524.3624541387</v>
      </c>
      <c r="K114" s="350">
        <v>19641260.985464588</v>
      </c>
      <c r="L114" s="350">
        <v>29045573.99609755</v>
      </c>
      <c r="M114" s="350">
        <v>38162753.224869087</v>
      </c>
      <c r="N114" s="350">
        <v>46988199.327709675</v>
      </c>
      <c r="O114" s="348">
        <v>143794311.89659503</v>
      </c>
      <c r="P114" s="369"/>
      <c r="Q114" s="350">
        <f t="shared" si="69"/>
        <v>915525.19145210274</v>
      </c>
      <c r="R114" s="350">
        <f t="shared" si="70"/>
        <v>2695698.6027256139</v>
      </c>
      <c r="S114" s="350">
        <f t="shared" si="71"/>
        <v>4135970.5078319013</v>
      </c>
      <c r="T114" s="350">
        <f t="shared" si="72"/>
        <v>5229053.8214842491</v>
      </c>
      <c r="U114" s="350">
        <f t="shared" si="73"/>
        <v>5969055.8421046659</v>
      </c>
      <c r="V114" s="350">
        <f t="shared" si="74"/>
        <v>18945303.965598524</v>
      </c>
      <c r="W114" s="365"/>
      <c r="X114" s="377">
        <f t="shared" si="52"/>
        <v>0</v>
      </c>
      <c r="Y114" s="377">
        <f t="shared" si="53"/>
        <v>0</v>
      </c>
      <c r="Z114" s="377">
        <f t="shared" si="54"/>
        <v>0</v>
      </c>
      <c r="AA114" s="377">
        <f t="shared" si="55"/>
        <v>0</v>
      </c>
      <c r="AB114" s="377">
        <f t="shared" si="56"/>
        <v>0</v>
      </c>
      <c r="AC114" s="377">
        <f t="shared" si="57"/>
        <v>0</v>
      </c>
      <c r="AD114" s="376"/>
      <c r="AE114" s="332">
        <v>99</v>
      </c>
      <c r="AF114" s="350">
        <v>6222950.3391435128</v>
      </c>
      <c r="AG114" s="350">
        <v>12494770.581175724</v>
      </c>
      <c r="AH114" s="350">
        <v>18814056.294117235</v>
      </c>
      <c r="AI114" s="350">
        <v>25181017.007461496</v>
      </c>
      <c r="AJ114" s="350">
        <v>31596570.926480316</v>
      </c>
      <c r="AK114" s="348">
        <v>94309365.148378283</v>
      </c>
      <c r="AL114" s="369"/>
      <c r="AM114" s="350">
        <v>7255064.1239529904</v>
      </c>
      <c r="AN114" s="350">
        <v>15540159.605837449</v>
      </c>
      <c r="AO114" s="350">
        <v>23592240.825535323</v>
      </c>
      <c r="AP114" s="350">
        <v>31406348.935427804</v>
      </c>
      <c r="AQ114" s="350">
        <v>38979765.498222172</v>
      </c>
      <c r="AR114" s="348">
        <v>116773578.98897573</v>
      </c>
      <c r="AS114" s="369"/>
      <c r="AT114" s="350">
        <f t="shared" si="75"/>
        <v>1032113.7848094776</v>
      </c>
      <c r="AU114" s="350">
        <f t="shared" si="58"/>
        <v>3045389.0246617254</v>
      </c>
      <c r="AV114" s="350">
        <f t="shared" si="59"/>
        <v>4778184.5314180888</v>
      </c>
      <c r="AW114" s="350">
        <f t="shared" si="60"/>
        <v>6225331.9279663078</v>
      </c>
      <c r="AX114" s="350">
        <f t="shared" si="61"/>
        <v>7383194.5717418566</v>
      </c>
      <c r="AY114" s="350">
        <f t="shared" si="62"/>
        <v>22464213.840597451</v>
      </c>
      <c r="AZ114" s="365"/>
      <c r="BA114" s="377">
        <f t="shared" si="63"/>
        <v>0</v>
      </c>
      <c r="BB114" s="377">
        <f t="shared" si="64"/>
        <v>0</v>
      </c>
      <c r="BC114" s="377">
        <f t="shared" si="65"/>
        <v>0</v>
      </c>
      <c r="BD114" s="377">
        <f t="shared" si="66"/>
        <v>0</v>
      </c>
      <c r="BE114" s="377">
        <f t="shared" si="67"/>
        <v>0</v>
      </c>
      <c r="BF114" s="377">
        <f t="shared" si="68"/>
        <v>0</v>
      </c>
      <c r="BG114" s="328"/>
    </row>
    <row r="115" spans="2:59">
      <c r="B115" s="332">
        <v>100</v>
      </c>
      <c r="C115" s="350">
        <v>9342013.62839338</v>
      </c>
      <c r="D115" s="350">
        <v>17694886.571280293</v>
      </c>
      <c r="E115" s="350">
        <v>26110671.562668771</v>
      </c>
      <c r="F115" s="350">
        <v>34589922.944692232</v>
      </c>
      <c r="G115" s="350">
        <v>43133983.369878128</v>
      </c>
      <c r="H115" s="348">
        <v>130871478.07691281</v>
      </c>
      <c r="I115" s="369"/>
      <c r="J115" s="350">
        <v>10738340.234891076</v>
      </c>
      <c r="K115" s="350">
        <v>21815409.545967728</v>
      </c>
      <c r="L115" s="350">
        <v>32635225.888565354</v>
      </c>
      <c r="M115" s="350">
        <v>43189490.2860246</v>
      </c>
      <c r="N115" s="350">
        <v>53472680.830311894</v>
      </c>
      <c r="O115" s="348">
        <v>161851146.78576064</v>
      </c>
      <c r="P115" s="369"/>
      <c r="Q115" s="350">
        <f t="shared" si="69"/>
        <v>1396326.6064976957</v>
      </c>
      <c r="R115" s="350">
        <f t="shared" si="70"/>
        <v>4120522.9746874347</v>
      </c>
      <c r="S115" s="350">
        <f t="shared" si="71"/>
        <v>6524554.3258965835</v>
      </c>
      <c r="T115" s="350">
        <f t="shared" si="72"/>
        <v>8599567.3413323686</v>
      </c>
      <c r="U115" s="350">
        <f t="shared" si="73"/>
        <v>10338697.460433766</v>
      </c>
      <c r="V115" s="350">
        <f t="shared" si="74"/>
        <v>30979668.708847836</v>
      </c>
      <c r="W115" s="365"/>
      <c r="X115" s="377">
        <f t="shared" si="52"/>
        <v>0</v>
      </c>
      <c r="Y115" s="377">
        <f t="shared" si="53"/>
        <v>0</v>
      </c>
      <c r="Z115" s="377">
        <f t="shared" si="54"/>
        <v>0</v>
      </c>
      <c r="AA115" s="377">
        <f t="shared" si="55"/>
        <v>0</v>
      </c>
      <c r="AB115" s="377">
        <f t="shared" si="56"/>
        <v>0</v>
      </c>
      <c r="AC115" s="377">
        <f t="shared" si="57"/>
        <v>0</v>
      </c>
      <c r="AD115" s="376"/>
      <c r="AE115" s="332">
        <v>100</v>
      </c>
      <c r="AF115" s="350">
        <v>5964899.3930853</v>
      </c>
      <c r="AG115" s="350">
        <v>11976642.170448847</v>
      </c>
      <c r="AH115" s="350">
        <v>18033882.138564255</v>
      </c>
      <c r="AI115" s="350">
        <v>24136820.13823536</v>
      </c>
      <c r="AJ115" s="350">
        <v>30286336.298945773</v>
      </c>
      <c r="AK115" s="348">
        <v>90398580.139279529</v>
      </c>
      <c r="AL115" s="369"/>
      <c r="AM115" s="350">
        <v>7292996.2709665708</v>
      </c>
      <c r="AN115" s="350">
        <v>15900475.259651074</v>
      </c>
      <c r="AO115" s="350">
        <v>24294749.172875799</v>
      </c>
      <c r="AP115" s="350">
        <v>32470968.974407136</v>
      </c>
      <c r="AQ115" s="350">
        <v>40426872.061225332</v>
      </c>
      <c r="AR115" s="348">
        <v>120386061.73912591</v>
      </c>
      <c r="AS115" s="369"/>
      <c r="AT115" s="350">
        <f t="shared" si="75"/>
        <v>1328096.8778812708</v>
      </c>
      <c r="AU115" s="350">
        <f t="shared" si="58"/>
        <v>3923833.0892022271</v>
      </c>
      <c r="AV115" s="350">
        <f t="shared" si="59"/>
        <v>6260867.0343115442</v>
      </c>
      <c r="AW115" s="350">
        <f t="shared" si="60"/>
        <v>8334148.8361717761</v>
      </c>
      <c r="AX115" s="350">
        <f t="shared" si="61"/>
        <v>10140535.762279559</v>
      </c>
      <c r="AY115" s="350">
        <f t="shared" si="62"/>
        <v>29987481.599846378</v>
      </c>
      <c r="AZ115" s="365"/>
      <c r="BA115" s="377">
        <f t="shared" si="63"/>
        <v>0</v>
      </c>
      <c r="BB115" s="377">
        <f t="shared" si="64"/>
        <v>0</v>
      </c>
      <c r="BC115" s="377">
        <f t="shared" si="65"/>
        <v>0</v>
      </c>
      <c r="BD115" s="377">
        <f t="shared" si="66"/>
        <v>0</v>
      </c>
      <c r="BE115" s="377">
        <f t="shared" si="67"/>
        <v>0</v>
      </c>
      <c r="BF115" s="377">
        <f t="shared" si="68"/>
        <v>0</v>
      </c>
      <c r="BG115" s="328"/>
    </row>
    <row r="116" spans="2:59">
      <c r="B116" s="332">
        <v>101</v>
      </c>
      <c r="C116" s="350">
        <v>9183874.1642038263</v>
      </c>
      <c r="D116" s="350">
        <v>17258349.564210199</v>
      </c>
      <c r="E116" s="350">
        <v>25393596.151442241</v>
      </c>
      <c r="F116" s="350">
        <v>33590189.803678557</v>
      </c>
      <c r="G116" s="350">
        <v>41849445.832413696</v>
      </c>
      <c r="H116" s="348">
        <v>127275455.51594853</v>
      </c>
      <c r="I116" s="369"/>
      <c r="J116" s="350">
        <v>10682098.307741631</v>
      </c>
      <c r="K116" s="350">
        <v>21681738.852895927</v>
      </c>
      <c r="L116" s="350">
        <v>32422793.179416575</v>
      </c>
      <c r="M116" s="350">
        <v>42897792.027627677</v>
      </c>
      <c r="N116" s="350">
        <v>53102142.27782654</v>
      </c>
      <c r="O116" s="348">
        <v>160786564.64550835</v>
      </c>
      <c r="P116" s="369"/>
      <c r="Q116" s="350">
        <f t="shared" si="69"/>
        <v>1498224.1435378045</v>
      </c>
      <c r="R116" s="350">
        <f t="shared" si="70"/>
        <v>4423389.2886857279</v>
      </c>
      <c r="S116" s="350">
        <f t="shared" si="71"/>
        <v>7029197.0279743336</v>
      </c>
      <c r="T116" s="350">
        <f t="shared" si="72"/>
        <v>9307602.2239491194</v>
      </c>
      <c r="U116" s="350">
        <f t="shared" si="73"/>
        <v>11252696.445412844</v>
      </c>
      <c r="V116" s="350">
        <f t="shared" si="74"/>
        <v>33511109.129559815</v>
      </c>
      <c r="W116" s="365"/>
      <c r="X116" s="377">
        <f t="shared" si="52"/>
        <v>0</v>
      </c>
      <c r="Y116" s="377">
        <f t="shared" si="53"/>
        <v>0</v>
      </c>
      <c r="Z116" s="377">
        <f t="shared" si="54"/>
        <v>0</v>
      </c>
      <c r="AA116" s="377">
        <f t="shared" si="55"/>
        <v>0</v>
      </c>
      <c r="AB116" s="377">
        <f t="shared" si="56"/>
        <v>0</v>
      </c>
      <c r="AC116" s="377">
        <f t="shared" si="57"/>
        <v>0</v>
      </c>
      <c r="AD116" s="376"/>
      <c r="AE116" s="332">
        <v>101</v>
      </c>
      <c r="AF116" s="350">
        <v>7826050.0822433773</v>
      </c>
      <c r="AG116" s="350">
        <v>15713559.48630001</v>
      </c>
      <c r="AH116" s="350">
        <v>23660761.983225603</v>
      </c>
      <c r="AI116" s="350">
        <v>31667921.079591818</v>
      </c>
      <c r="AJ116" s="350">
        <v>39736191.520342983</v>
      </c>
      <c r="AK116" s="348">
        <v>118604484.15170377</v>
      </c>
      <c r="AL116" s="369"/>
      <c r="AM116" s="350">
        <v>8948463.362191122</v>
      </c>
      <c r="AN116" s="350">
        <v>19022742.547297928</v>
      </c>
      <c r="AO116" s="350">
        <v>28798721.656287357</v>
      </c>
      <c r="AP116" s="350">
        <v>38270214.050156802</v>
      </c>
      <c r="AQ116" s="350">
        <v>47433623.166894555</v>
      </c>
      <c r="AR116" s="348">
        <v>142473764.78282776</v>
      </c>
      <c r="AS116" s="369"/>
      <c r="AT116" s="350">
        <f t="shared" si="75"/>
        <v>1122413.2799477447</v>
      </c>
      <c r="AU116" s="350">
        <f t="shared" si="58"/>
        <v>3309183.0609979182</v>
      </c>
      <c r="AV116" s="350">
        <f t="shared" si="59"/>
        <v>5137959.6730617546</v>
      </c>
      <c r="AW116" s="350">
        <f t="shared" si="60"/>
        <v>6602292.9705649838</v>
      </c>
      <c r="AX116" s="350">
        <f t="shared" si="61"/>
        <v>7697431.6465515718</v>
      </c>
      <c r="AY116" s="350">
        <f t="shared" si="62"/>
        <v>23869280.63112399</v>
      </c>
      <c r="AZ116" s="365"/>
      <c r="BA116" s="377">
        <f t="shared" si="63"/>
        <v>0</v>
      </c>
      <c r="BB116" s="377">
        <f t="shared" si="64"/>
        <v>0</v>
      </c>
      <c r="BC116" s="377">
        <f t="shared" si="65"/>
        <v>0</v>
      </c>
      <c r="BD116" s="377">
        <f t="shared" si="66"/>
        <v>0</v>
      </c>
      <c r="BE116" s="377">
        <f t="shared" si="67"/>
        <v>0</v>
      </c>
      <c r="BF116" s="377">
        <f t="shared" si="68"/>
        <v>0</v>
      </c>
      <c r="BG116" s="328"/>
    </row>
    <row r="117" spans="2:59">
      <c r="B117" s="332">
        <v>102</v>
      </c>
      <c r="C117" s="350">
        <v>11697162.683211967</v>
      </c>
      <c r="D117" s="350">
        <v>22136365.459536582</v>
      </c>
      <c r="E117" s="350">
        <v>32654187.821201328</v>
      </c>
      <c r="F117" s="350">
        <v>43251328.252100468</v>
      </c>
      <c r="G117" s="350">
        <v>53929467.236381203</v>
      </c>
      <c r="H117" s="348">
        <v>163668511.45243156</v>
      </c>
      <c r="I117" s="369"/>
      <c r="J117" s="350">
        <v>13378172.53141126</v>
      </c>
      <c r="K117" s="350">
        <v>27095984.293917231</v>
      </c>
      <c r="L117" s="350">
        <v>40463531.654558338</v>
      </c>
      <c r="M117" s="350">
        <v>53471488.36865975</v>
      </c>
      <c r="N117" s="350">
        <v>66113953.441663064</v>
      </c>
      <c r="O117" s="348">
        <v>200523130.29020962</v>
      </c>
      <c r="P117" s="369"/>
      <c r="Q117" s="350">
        <f t="shared" si="69"/>
        <v>1681009.848199293</v>
      </c>
      <c r="R117" s="350">
        <f t="shared" si="70"/>
        <v>4959618.834380649</v>
      </c>
      <c r="S117" s="350">
        <f t="shared" si="71"/>
        <v>7809343.83335701</v>
      </c>
      <c r="T117" s="350">
        <f t="shared" si="72"/>
        <v>10220160.116559282</v>
      </c>
      <c r="U117" s="350">
        <f t="shared" si="73"/>
        <v>12184486.205281861</v>
      </c>
      <c r="V117" s="350">
        <f t="shared" si="74"/>
        <v>36854618.837778062</v>
      </c>
      <c r="W117" s="365"/>
      <c r="X117" s="377">
        <f t="shared" si="52"/>
        <v>0</v>
      </c>
      <c r="Y117" s="377">
        <f t="shared" si="53"/>
        <v>0</v>
      </c>
      <c r="Z117" s="377">
        <f t="shared" si="54"/>
        <v>0</v>
      </c>
      <c r="AA117" s="377">
        <f t="shared" si="55"/>
        <v>0</v>
      </c>
      <c r="AB117" s="377">
        <f t="shared" si="56"/>
        <v>0</v>
      </c>
      <c r="AC117" s="377">
        <f t="shared" si="57"/>
        <v>0</v>
      </c>
      <c r="AD117" s="376"/>
      <c r="AE117" s="332">
        <v>102</v>
      </c>
      <c r="AF117" s="350">
        <v>6509968.5394812413</v>
      </c>
      <c r="AG117" s="350">
        <v>13071060.985308282</v>
      </c>
      <c r="AH117" s="350">
        <v>19681808.129548635</v>
      </c>
      <c r="AI117" s="350">
        <v>26342429.165725652</v>
      </c>
      <c r="AJ117" s="350">
        <v>33053884.649059363</v>
      </c>
      <c r="AK117" s="348">
        <v>98659151.469123185</v>
      </c>
      <c r="AL117" s="369"/>
      <c r="AM117" s="350">
        <v>7633427.1176064089</v>
      </c>
      <c r="AN117" s="350">
        <v>16386634.297600444</v>
      </c>
      <c r="AO117" s="350">
        <v>24897390.06824699</v>
      </c>
      <c r="AP117" s="350">
        <v>33160494.495735198</v>
      </c>
      <c r="AQ117" s="350">
        <v>41173148.061049029</v>
      </c>
      <c r="AR117" s="348">
        <v>123251094.04023807</v>
      </c>
      <c r="AS117" s="369"/>
      <c r="AT117" s="350">
        <f t="shared" si="75"/>
        <v>1123458.5781251676</v>
      </c>
      <c r="AU117" s="350">
        <f t="shared" si="58"/>
        <v>3315573.3122921623</v>
      </c>
      <c r="AV117" s="350">
        <f t="shared" si="59"/>
        <v>5215581.9386983551</v>
      </c>
      <c r="AW117" s="350">
        <f t="shared" si="60"/>
        <v>6818065.3300095461</v>
      </c>
      <c r="AX117" s="350">
        <f t="shared" si="61"/>
        <v>8119263.4119896665</v>
      </c>
      <c r="AY117" s="350">
        <f t="shared" si="62"/>
        <v>24591942.571114883</v>
      </c>
      <c r="AZ117" s="365"/>
      <c r="BA117" s="377">
        <f t="shared" si="63"/>
        <v>0</v>
      </c>
      <c r="BB117" s="377">
        <f t="shared" si="64"/>
        <v>0</v>
      </c>
      <c r="BC117" s="377">
        <f t="shared" si="65"/>
        <v>0</v>
      </c>
      <c r="BD117" s="377">
        <f t="shared" si="66"/>
        <v>0</v>
      </c>
      <c r="BE117" s="377">
        <f t="shared" si="67"/>
        <v>0</v>
      </c>
      <c r="BF117" s="377">
        <f t="shared" si="68"/>
        <v>0</v>
      </c>
      <c r="BG117" s="328"/>
    </row>
    <row r="118" spans="2:59">
      <c r="B118" s="332">
        <v>103</v>
      </c>
      <c r="C118" s="350">
        <v>9280149.722955972</v>
      </c>
      <c r="D118" s="350">
        <v>17579420.102373287</v>
      </c>
      <c r="E118" s="350">
        <v>25941199.35721124</v>
      </c>
      <c r="F118" s="350">
        <v>34366037.772505492</v>
      </c>
      <c r="G118" s="350">
        <v>42855269.167196363</v>
      </c>
      <c r="H118" s="348">
        <v>130022076.12224236</v>
      </c>
      <c r="I118" s="369"/>
      <c r="J118" s="350">
        <v>10397124.307246063</v>
      </c>
      <c r="K118" s="350">
        <v>20871575.11983835</v>
      </c>
      <c r="L118" s="350">
        <v>31065572.179589793</v>
      </c>
      <c r="M118" s="350">
        <v>40971591.850136682</v>
      </c>
      <c r="N118" s="350">
        <v>50584545.303935692</v>
      </c>
      <c r="O118" s="348">
        <v>153890408.7607466</v>
      </c>
      <c r="P118" s="369"/>
      <c r="Q118" s="350">
        <f t="shared" si="69"/>
        <v>1116974.5842900909</v>
      </c>
      <c r="R118" s="350">
        <f t="shared" si="70"/>
        <v>3292155.0174650624</v>
      </c>
      <c r="S118" s="350">
        <f t="shared" si="71"/>
        <v>5124372.8223785535</v>
      </c>
      <c r="T118" s="350">
        <f t="shared" si="72"/>
        <v>6605554.0776311904</v>
      </c>
      <c r="U118" s="350">
        <f t="shared" si="73"/>
        <v>7729276.1367393285</v>
      </c>
      <c r="V118" s="350">
        <f t="shared" si="74"/>
        <v>23868332.638504237</v>
      </c>
      <c r="W118" s="365"/>
      <c r="X118" s="377">
        <f t="shared" si="52"/>
        <v>0</v>
      </c>
      <c r="Y118" s="377">
        <f t="shared" si="53"/>
        <v>0</v>
      </c>
      <c r="Z118" s="377">
        <f t="shared" si="54"/>
        <v>0</v>
      </c>
      <c r="AA118" s="377">
        <f t="shared" si="55"/>
        <v>0</v>
      </c>
      <c r="AB118" s="377">
        <f t="shared" si="56"/>
        <v>0</v>
      </c>
      <c r="AC118" s="377">
        <f t="shared" si="57"/>
        <v>0</v>
      </c>
      <c r="AD118" s="376"/>
      <c r="AE118" s="332">
        <v>103</v>
      </c>
      <c r="AF118" s="350">
        <v>7204846.714420977</v>
      </c>
      <c r="AG118" s="350">
        <v>14466274.333408546</v>
      </c>
      <c r="AH118" s="350">
        <v>21782656.824842736</v>
      </c>
      <c r="AI118" s="350">
        <v>29154236.779102743</v>
      </c>
      <c r="AJ118" s="350">
        <v>36582077.281682618</v>
      </c>
      <c r="AK118" s="348">
        <v>109190091.93345761</v>
      </c>
      <c r="AL118" s="369"/>
      <c r="AM118" s="350">
        <v>8139316.6957993051</v>
      </c>
      <c r="AN118" s="350">
        <v>17219625.769733317</v>
      </c>
      <c r="AO118" s="350">
        <v>26022352.146536946</v>
      </c>
      <c r="AP118" s="350">
        <v>34541828.21859996</v>
      </c>
      <c r="AQ118" s="350">
        <v>42774642.793814048</v>
      </c>
      <c r="AR118" s="348">
        <v>128697765.62448357</v>
      </c>
      <c r="AS118" s="369"/>
      <c r="AT118" s="350">
        <f t="shared" si="75"/>
        <v>934469.98137832806</v>
      </c>
      <c r="AU118" s="350">
        <f t="shared" si="58"/>
        <v>2753351.4363247715</v>
      </c>
      <c r="AV118" s="350">
        <f t="shared" si="59"/>
        <v>4239695.3216942102</v>
      </c>
      <c r="AW118" s="350">
        <f t="shared" si="60"/>
        <v>5387591.4394972175</v>
      </c>
      <c r="AX118" s="350">
        <f t="shared" si="61"/>
        <v>6192565.5121314302</v>
      </c>
      <c r="AY118" s="350">
        <f t="shared" si="62"/>
        <v>19507673.691025957</v>
      </c>
      <c r="AZ118" s="365"/>
      <c r="BA118" s="377">
        <f t="shared" si="63"/>
        <v>0</v>
      </c>
      <c r="BB118" s="377">
        <f t="shared" si="64"/>
        <v>0</v>
      </c>
      <c r="BC118" s="377">
        <f t="shared" si="65"/>
        <v>0</v>
      </c>
      <c r="BD118" s="377">
        <f t="shared" si="66"/>
        <v>0</v>
      </c>
      <c r="BE118" s="377">
        <f t="shared" si="67"/>
        <v>0</v>
      </c>
      <c r="BF118" s="377">
        <f t="shared" si="68"/>
        <v>0</v>
      </c>
      <c r="BG118" s="328"/>
    </row>
    <row r="119" spans="2:59">
      <c r="B119" s="332">
        <v>104</v>
      </c>
      <c r="C119" s="350">
        <v>6186884.107636339</v>
      </c>
      <c r="D119" s="350">
        <v>11721943.959546793</v>
      </c>
      <c r="E119" s="350">
        <v>17298693.739809532</v>
      </c>
      <c r="F119" s="350">
        <v>22917499.836402867</v>
      </c>
      <c r="G119" s="350">
        <v>28579251.549828321</v>
      </c>
      <c r="H119" s="348">
        <v>86704273.193223849</v>
      </c>
      <c r="I119" s="369"/>
      <c r="J119" s="350">
        <v>7095267.8047092259</v>
      </c>
      <c r="K119" s="350">
        <v>14402294.003267515</v>
      </c>
      <c r="L119" s="350">
        <v>21529895.454540312</v>
      </c>
      <c r="M119" s="350">
        <v>28472897.754211735</v>
      </c>
      <c r="N119" s="350">
        <v>35227958.20711951</v>
      </c>
      <c r="O119" s="348">
        <v>106728313.2238483</v>
      </c>
      <c r="P119" s="369"/>
      <c r="Q119" s="350">
        <f t="shared" si="69"/>
        <v>908383.69707288686</v>
      </c>
      <c r="R119" s="350">
        <f t="shared" si="70"/>
        <v>2680350.0437207222</v>
      </c>
      <c r="S119" s="350">
        <f t="shared" si="71"/>
        <v>4231201.7147307806</v>
      </c>
      <c r="T119" s="350">
        <f t="shared" si="72"/>
        <v>5555397.917808868</v>
      </c>
      <c r="U119" s="350">
        <f t="shared" si="73"/>
        <v>6648706.6572911888</v>
      </c>
      <c r="V119" s="350">
        <f t="shared" si="74"/>
        <v>20024040.030624449</v>
      </c>
      <c r="W119" s="365"/>
      <c r="X119" s="377">
        <f t="shared" si="52"/>
        <v>0</v>
      </c>
      <c r="Y119" s="377">
        <f t="shared" si="53"/>
        <v>0</v>
      </c>
      <c r="Z119" s="377">
        <f t="shared" si="54"/>
        <v>0</v>
      </c>
      <c r="AA119" s="377">
        <f t="shared" si="55"/>
        <v>0</v>
      </c>
      <c r="AB119" s="377">
        <f t="shared" si="56"/>
        <v>0</v>
      </c>
      <c r="AC119" s="377">
        <f t="shared" si="57"/>
        <v>0</v>
      </c>
      <c r="AD119" s="376"/>
      <c r="AE119" s="332">
        <v>104</v>
      </c>
      <c r="AF119" s="350">
        <v>6750065.3968322519</v>
      </c>
      <c r="AG119" s="350">
        <v>13553140.222063858</v>
      </c>
      <c r="AH119" s="350">
        <v>20407701.081293494</v>
      </c>
      <c r="AI119" s="350">
        <v>27313975.25221201</v>
      </c>
      <c r="AJ119" s="350">
        <v>34272958.716676034</v>
      </c>
      <c r="AK119" s="348">
        <v>102297840.66907763</v>
      </c>
      <c r="AL119" s="369"/>
      <c r="AM119" s="350">
        <v>8052867.5908371918</v>
      </c>
      <c r="AN119" s="350">
        <v>17399993.791786529</v>
      </c>
      <c r="AO119" s="350">
        <v>26499857.046354465</v>
      </c>
      <c r="AP119" s="350">
        <v>35347026.634063721</v>
      </c>
      <c r="AQ119" s="350">
        <v>43938739.455030784</v>
      </c>
      <c r="AR119" s="348">
        <v>131238484.51807269</v>
      </c>
      <c r="AS119" s="369"/>
      <c r="AT119" s="350">
        <f t="shared" si="75"/>
        <v>1302802.1940049399</v>
      </c>
      <c r="AU119" s="350">
        <f t="shared" si="58"/>
        <v>3846853.5697226711</v>
      </c>
      <c r="AV119" s="350">
        <f t="shared" si="59"/>
        <v>6092155.9650609717</v>
      </c>
      <c r="AW119" s="350">
        <f t="shared" si="60"/>
        <v>8033051.3818517104</v>
      </c>
      <c r="AX119" s="350">
        <f t="shared" si="61"/>
        <v>9665780.73835475</v>
      </c>
      <c r="AY119" s="350">
        <f t="shared" si="62"/>
        <v>28940643.84899506</v>
      </c>
      <c r="AZ119" s="365"/>
      <c r="BA119" s="377">
        <f t="shared" si="63"/>
        <v>0</v>
      </c>
      <c r="BB119" s="377">
        <f t="shared" si="64"/>
        <v>0</v>
      </c>
      <c r="BC119" s="377">
        <f t="shared" si="65"/>
        <v>0</v>
      </c>
      <c r="BD119" s="377">
        <f t="shared" si="66"/>
        <v>0</v>
      </c>
      <c r="BE119" s="377">
        <f t="shared" si="67"/>
        <v>0</v>
      </c>
      <c r="BF119" s="377">
        <f t="shared" si="68"/>
        <v>0</v>
      </c>
      <c r="BG119" s="328"/>
    </row>
    <row r="120" spans="2:59">
      <c r="B120" s="332">
        <v>105</v>
      </c>
      <c r="C120" s="350">
        <v>6029927.1377213504</v>
      </c>
      <c r="D120" s="350">
        <v>11348589.60486407</v>
      </c>
      <c r="E120" s="350">
        <v>16707287.697224602</v>
      </c>
      <c r="F120" s="350">
        <v>22106395.65464979</v>
      </c>
      <c r="G120" s="350">
        <v>27546777.658531971</v>
      </c>
      <c r="H120" s="348">
        <v>83738977.752991796</v>
      </c>
      <c r="I120" s="369"/>
      <c r="J120" s="350">
        <v>6626575.8299243292</v>
      </c>
      <c r="K120" s="350">
        <v>13104956.610628583</v>
      </c>
      <c r="L120" s="350">
        <v>19402734.013253059</v>
      </c>
      <c r="M120" s="350">
        <v>25515030.477373205</v>
      </c>
      <c r="N120" s="350">
        <v>31438357.950889803</v>
      </c>
      <c r="O120" s="348">
        <v>96087654.882068977</v>
      </c>
      <c r="P120" s="369"/>
      <c r="Q120" s="350">
        <f t="shared" si="69"/>
        <v>596648.69220297877</v>
      </c>
      <c r="R120" s="350">
        <f t="shared" si="70"/>
        <v>1756367.0057645123</v>
      </c>
      <c r="S120" s="350">
        <f t="shared" si="71"/>
        <v>2695446.3160284571</v>
      </c>
      <c r="T120" s="350">
        <f t="shared" si="72"/>
        <v>3408634.8227234147</v>
      </c>
      <c r="U120" s="350">
        <f t="shared" si="73"/>
        <v>3891580.2923578322</v>
      </c>
      <c r="V120" s="350">
        <f t="shared" si="74"/>
        <v>12348677.129077181</v>
      </c>
      <c r="W120" s="365"/>
      <c r="X120" s="377">
        <f t="shared" si="52"/>
        <v>0</v>
      </c>
      <c r="Y120" s="377">
        <f t="shared" si="53"/>
        <v>0</v>
      </c>
      <c r="Z120" s="377">
        <f t="shared" si="54"/>
        <v>0</v>
      </c>
      <c r="AA120" s="377">
        <f t="shared" si="55"/>
        <v>0</v>
      </c>
      <c r="AB120" s="377">
        <f t="shared" si="56"/>
        <v>0</v>
      </c>
      <c r="AC120" s="377">
        <f t="shared" si="57"/>
        <v>0</v>
      </c>
      <c r="AD120" s="376"/>
      <c r="AE120" s="332">
        <v>105</v>
      </c>
      <c r="AF120" s="350">
        <v>7837525.7365178745</v>
      </c>
      <c r="AG120" s="350">
        <v>15736600.915142342</v>
      </c>
      <c r="AH120" s="350">
        <v>23695456.717036054</v>
      </c>
      <c r="AI120" s="350">
        <v>31714357.03516103</v>
      </c>
      <c r="AJ120" s="350">
        <v>39794458.307710893</v>
      </c>
      <c r="AK120" s="348">
        <v>118778398.71156821</v>
      </c>
      <c r="AL120" s="369"/>
      <c r="AM120" s="350">
        <v>9020127.0036685746</v>
      </c>
      <c r="AN120" s="350">
        <v>19224255.182553213</v>
      </c>
      <c r="AO120" s="350">
        <v>29131399.231605116</v>
      </c>
      <c r="AP120" s="350">
        <v>38735346.882211536</v>
      </c>
      <c r="AQ120" s="350">
        <v>48032555.58804702</v>
      </c>
      <c r="AR120" s="348">
        <v>144143683.88808545</v>
      </c>
      <c r="AS120" s="369"/>
      <c r="AT120" s="350">
        <f t="shared" si="75"/>
        <v>1182601.2671507001</v>
      </c>
      <c r="AU120" s="350">
        <f t="shared" si="58"/>
        <v>3487654.2674108706</v>
      </c>
      <c r="AV120" s="350">
        <f t="shared" si="59"/>
        <v>5435942.5145690627</v>
      </c>
      <c r="AW120" s="350">
        <f t="shared" si="60"/>
        <v>7020989.8470505066</v>
      </c>
      <c r="AX120" s="350">
        <f t="shared" si="61"/>
        <v>8238097.2803361267</v>
      </c>
      <c r="AY120" s="350">
        <f t="shared" si="62"/>
        <v>25365285.176517248</v>
      </c>
      <c r="AZ120" s="365"/>
      <c r="BA120" s="377">
        <f t="shared" si="63"/>
        <v>0</v>
      </c>
      <c r="BB120" s="377">
        <f t="shared" si="64"/>
        <v>0</v>
      </c>
      <c r="BC120" s="377">
        <f t="shared" si="65"/>
        <v>0</v>
      </c>
      <c r="BD120" s="377">
        <f t="shared" si="66"/>
        <v>0</v>
      </c>
      <c r="BE120" s="377">
        <f t="shared" si="67"/>
        <v>0</v>
      </c>
      <c r="BF120" s="377">
        <f t="shared" si="68"/>
        <v>0</v>
      </c>
      <c r="BG120" s="328"/>
    </row>
    <row r="121" spans="2:59">
      <c r="B121" s="332">
        <v>106</v>
      </c>
      <c r="C121" s="350">
        <v>6074075.514443621</v>
      </c>
      <c r="D121" s="350">
        <v>11257094.287910281</v>
      </c>
      <c r="E121" s="350">
        <v>16479070.766862972</v>
      </c>
      <c r="F121" s="350">
        <v>21740421.332420666</v>
      </c>
      <c r="G121" s="350">
        <v>27042010.614779841</v>
      </c>
      <c r="H121" s="348">
        <v>82592672.516417384</v>
      </c>
      <c r="I121" s="369"/>
      <c r="J121" s="350">
        <v>6925433.9166748207</v>
      </c>
      <c r="K121" s="350">
        <v>13769208.11764995</v>
      </c>
      <c r="L121" s="350">
        <v>20443434.120795842</v>
      </c>
      <c r="M121" s="350">
        <v>26943414.0796443</v>
      </c>
      <c r="N121" s="350">
        <v>33266127.472131979</v>
      </c>
      <c r="O121" s="348">
        <v>101347617.70689689</v>
      </c>
      <c r="P121" s="369"/>
      <c r="Q121" s="350">
        <f t="shared" si="69"/>
        <v>851358.40223119967</v>
      </c>
      <c r="R121" s="350">
        <f t="shared" si="70"/>
        <v>2512113.8297396693</v>
      </c>
      <c r="S121" s="350">
        <f t="shared" si="71"/>
        <v>3964363.3539328706</v>
      </c>
      <c r="T121" s="350">
        <f t="shared" si="72"/>
        <v>5202992.7472236343</v>
      </c>
      <c r="U121" s="350">
        <f t="shared" si="73"/>
        <v>6224116.8573521376</v>
      </c>
      <c r="V121" s="350">
        <f t="shared" si="74"/>
        <v>18754945.190479502</v>
      </c>
      <c r="W121" s="365"/>
      <c r="X121" s="377">
        <f t="shared" si="52"/>
        <v>0</v>
      </c>
      <c r="Y121" s="377">
        <f t="shared" si="53"/>
        <v>0</v>
      </c>
      <c r="Z121" s="377">
        <f t="shared" si="54"/>
        <v>0</v>
      </c>
      <c r="AA121" s="377">
        <f t="shared" si="55"/>
        <v>0</v>
      </c>
      <c r="AB121" s="377">
        <f t="shared" si="56"/>
        <v>0</v>
      </c>
      <c r="AC121" s="377">
        <f t="shared" si="57"/>
        <v>0</v>
      </c>
      <c r="AD121" s="376"/>
      <c r="AE121" s="332">
        <v>106</v>
      </c>
      <c r="AF121" s="350">
        <v>6026778.9083749279</v>
      </c>
      <c r="AG121" s="350">
        <v>12100887.15154003</v>
      </c>
      <c r="AH121" s="350">
        <v>18220964.570636496</v>
      </c>
      <c r="AI121" s="350">
        <v>24387214.089978844</v>
      </c>
      <c r="AJ121" s="350">
        <v>30600524.969462153</v>
      </c>
      <c r="AK121" s="348">
        <v>91336369.689992458</v>
      </c>
      <c r="AL121" s="369"/>
      <c r="AM121" s="350">
        <v>7405778.9198392695</v>
      </c>
      <c r="AN121" s="350">
        <v>16175529.288208544</v>
      </c>
      <c r="AO121" s="350">
        <v>24730974.725685772</v>
      </c>
      <c r="AP121" s="350">
        <v>33067205.391942456</v>
      </c>
      <c r="AQ121" s="350">
        <v>41181972.811311491</v>
      </c>
      <c r="AR121" s="348">
        <v>122561461.13698754</v>
      </c>
      <c r="AS121" s="369"/>
      <c r="AT121" s="350">
        <f t="shared" si="75"/>
        <v>1379000.0114643415</v>
      </c>
      <c r="AU121" s="350">
        <f t="shared" si="58"/>
        <v>4074642.1366685145</v>
      </c>
      <c r="AV121" s="350">
        <f t="shared" si="59"/>
        <v>6510010.1550492756</v>
      </c>
      <c r="AW121" s="350">
        <f t="shared" si="60"/>
        <v>8679991.3019636124</v>
      </c>
      <c r="AX121" s="350">
        <f t="shared" si="61"/>
        <v>10581447.841849338</v>
      </c>
      <c r="AY121" s="350">
        <f t="shared" si="62"/>
        <v>31225091.44699508</v>
      </c>
      <c r="AZ121" s="365"/>
      <c r="BA121" s="377">
        <f t="shared" si="63"/>
        <v>0</v>
      </c>
      <c r="BB121" s="377">
        <f t="shared" si="64"/>
        <v>0</v>
      </c>
      <c r="BC121" s="377">
        <f t="shared" si="65"/>
        <v>0</v>
      </c>
      <c r="BD121" s="377">
        <f t="shared" si="66"/>
        <v>0</v>
      </c>
      <c r="BE121" s="377">
        <f t="shared" si="67"/>
        <v>0</v>
      </c>
      <c r="BF121" s="377">
        <f t="shared" si="68"/>
        <v>0</v>
      </c>
      <c r="BG121" s="328"/>
    </row>
    <row r="122" spans="2:59">
      <c r="B122" s="332">
        <v>107</v>
      </c>
      <c r="C122" s="350">
        <v>10825711.610707594</v>
      </c>
      <c r="D122" s="350">
        <v>20380219.068638876</v>
      </c>
      <c r="E122" s="350">
        <v>30006648.865510643</v>
      </c>
      <c r="F122" s="350">
        <v>39705671.587596476</v>
      </c>
      <c r="G122" s="350">
        <v>49478838.919673868</v>
      </c>
      <c r="H122" s="348">
        <v>150397090.05212745</v>
      </c>
      <c r="I122" s="369"/>
      <c r="J122" s="350">
        <v>12594103.139447903</v>
      </c>
      <c r="K122" s="350">
        <v>25601217.688800693</v>
      </c>
      <c r="L122" s="350">
        <v>38309562.0718951</v>
      </c>
      <c r="M122" s="350">
        <v>50710014.276398912</v>
      </c>
      <c r="N122" s="350">
        <v>62796844.918717146</v>
      </c>
      <c r="O122" s="348">
        <v>190011742.09525976</v>
      </c>
      <c r="P122" s="369"/>
      <c r="Q122" s="350">
        <f t="shared" si="69"/>
        <v>1768391.5287403092</v>
      </c>
      <c r="R122" s="350">
        <f t="shared" si="70"/>
        <v>5220998.6201618165</v>
      </c>
      <c r="S122" s="350">
        <f t="shared" si="71"/>
        <v>8302913.2063844576</v>
      </c>
      <c r="T122" s="350">
        <f t="shared" si="72"/>
        <v>11004342.688802436</v>
      </c>
      <c r="U122" s="350">
        <f t="shared" si="73"/>
        <v>13318005.999043278</v>
      </c>
      <c r="V122" s="350">
        <f t="shared" si="74"/>
        <v>39614652.043132305</v>
      </c>
      <c r="W122" s="365"/>
      <c r="X122" s="377">
        <f t="shared" si="52"/>
        <v>0</v>
      </c>
      <c r="Y122" s="377">
        <f t="shared" si="53"/>
        <v>0</v>
      </c>
      <c r="Z122" s="377">
        <f t="shared" si="54"/>
        <v>0</v>
      </c>
      <c r="AA122" s="377">
        <f t="shared" si="55"/>
        <v>0</v>
      </c>
      <c r="AB122" s="377">
        <f t="shared" si="56"/>
        <v>0</v>
      </c>
      <c r="AC122" s="377">
        <f t="shared" si="57"/>
        <v>0</v>
      </c>
      <c r="AD122" s="376"/>
      <c r="AE122" s="332">
        <v>107</v>
      </c>
      <c r="AF122" s="350">
        <v>5954410.6608928675</v>
      </c>
      <c r="AG122" s="350">
        <v>11955582.336240064</v>
      </c>
      <c r="AH122" s="350">
        <v>18002171.199673891</v>
      </c>
      <c r="AI122" s="350">
        <v>24094377.73883792</v>
      </c>
      <c r="AJ122" s="350">
        <v>30233080.535588246</v>
      </c>
      <c r="AK122" s="348">
        <v>90239622.47123298</v>
      </c>
      <c r="AL122" s="369"/>
      <c r="AM122" s="350">
        <v>7320156.0490842424</v>
      </c>
      <c r="AN122" s="350">
        <v>15991096.073184291</v>
      </c>
      <c r="AO122" s="350">
        <v>24450403.452375904</v>
      </c>
      <c r="AP122" s="350">
        <v>32693226.368098676</v>
      </c>
      <c r="AQ122" s="350">
        <v>40717346.690178312</v>
      </c>
      <c r="AR122" s="348">
        <v>121172228.63292143</v>
      </c>
      <c r="AS122" s="369"/>
      <c r="AT122" s="350">
        <f t="shared" si="75"/>
        <v>1365745.388191375</v>
      </c>
      <c r="AU122" s="350">
        <f t="shared" si="58"/>
        <v>4035513.7369442265</v>
      </c>
      <c r="AV122" s="350">
        <f t="shared" si="59"/>
        <v>6448232.2527020127</v>
      </c>
      <c r="AW122" s="350">
        <f t="shared" si="60"/>
        <v>8598848.6292607561</v>
      </c>
      <c r="AX122" s="350">
        <f t="shared" si="61"/>
        <v>10484266.154590067</v>
      </c>
      <c r="AY122" s="350">
        <f t="shared" si="62"/>
        <v>30932606.161688447</v>
      </c>
      <c r="AZ122" s="365"/>
      <c r="BA122" s="377">
        <f t="shared" si="63"/>
        <v>0</v>
      </c>
      <c r="BB122" s="377">
        <f t="shared" si="64"/>
        <v>0</v>
      </c>
      <c r="BC122" s="377">
        <f t="shared" si="65"/>
        <v>0</v>
      </c>
      <c r="BD122" s="377">
        <f t="shared" si="66"/>
        <v>0</v>
      </c>
      <c r="BE122" s="377">
        <f t="shared" si="67"/>
        <v>0</v>
      </c>
      <c r="BF122" s="377">
        <f t="shared" si="68"/>
        <v>0</v>
      </c>
      <c r="BG122" s="328"/>
    </row>
    <row r="123" spans="2:59">
      <c r="B123" s="332">
        <v>108</v>
      </c>
      <c r="C123" s="350">
        <v>7251900.8173946701</v>
      </c>
      <c r="D123" s="350">
        <v>13682794.364423033</v>
      </c>
      <c r="E123" s="350">
        <v>20162106.935126241</v>
      </c>
      <c r="F123" s="350">
        <v>26690280.846865635</v>
      </c>
      <c r="G123" s="350">
        <v>33268356.566811353</v>
      </c>
      <c r="H123" s="348">
        <v>101055439.53062093</v>
      </c>
      <c r="I123" s="369"/>
      <c r="J123" s="350">
        <v>8276210.1103104278</v>
      </c>
      <c r="K123" s="350">
        <v>16704757.626846606</v>
      </c>
      <c r="L123" s="350">
        <v>24927031.887371197</v>
      </c>
      <c r="M123" s="350">
        <v>32936940.500936367</v>
      </c>
      <c r="N123" s="350">
        <v>40730465.020241879</v>
      </c>
      <c r="O123" s="348">
        <v>123575405.14570647</v>
      </c>
      <c r="P123" s="369"/>
      <c r="Q123" s="350">
        <f t="shared" si="69"/>
        <v>1024309.2929157577</v>
      </c>
      <c r="R123" s="350">
        <f t="shared" si="70"/>
        <v>3021963.2624235731</v>
      </c>
      <c r="S123" s="350">
        <f t="shared" si="71"/>
        <v>4764924.952244956</v>
      </c>
      <c r="T123" s="350">
        <f t="shared" si="72"/>
        <v>6246659.6540707313</v>
      </c>
      <c r="U123" s="350">
        <f t="shared" si="73"/>
        <v>7462108.453430526</v>
      </c>
      <c r="V123" s="350">
        <f t="shared" si="74"/>
        <v>22519965.615085542</v>
      </c>
      <c r="W123" s="365"/>
      <c r="X123" s="377">
        <f t="shared" si="52"/>
        <v>0</v>
      </c>
      <c r="Y123" s="377">
        <f t="shared" si="53"/>
        <v>0</v>
      </c>
      <c r="Z123" s="377">
        <f t="shared" si="54"/>
        <v>0</v>
      </c>
      <c r="AA123" s="377">
        <f t="shared" si="55"/>
        <v>0</v>
      </c>
      <c r="AB123" s="377">
        <f t="shared" si="56"/>
        <v>0</v>
      </c>
      <c r="AC123" s="377">
        <f t="shared" si="57"/>
        <v>0</v>
      </c>
      <c r="AD123" s="376"/>
      <c r="AE123" s="332">
        <v>108</v>
      </c>
      <c r="AF123" s="350">
        <v>6042869.0971420519</v>
      </c>
      <c r="AG123" s="350">
        <v>12133193.888103299</v>
      </c>
      <c r="AH123" s="350">
        <v>18269610.582696635</v>
      </c>
      <c r="AI123" s="350">
        <v>24452322.647000358</v>
      </c>
      <c r="AJ123" s="350">
        <v>30682221.715040043</v>
      </c>
      <c r="AK123" s="348">
        <v>91580217.929982394</v>
      </c>
      <c r="AL123" s="369"/>
      <c r="AM123" s="350">
        <v>7407830.5808368707</v>
      </c>
      <c r="AN123" s="350">
        <v>16166161.648417484</v>
      </c>
      <c r="AO123" s="350">
        <v>24709084.913238935</v>
      </c>
      <c r="AP123" s="350">
        <v>33031682.438684963</v>
      </c>
      <c r="AQ123" s="350">
        <v>41131681.799781792</v>
      </c>
      <c r="AR123" s="348">
        <v>122446441.38096005</v>
      </c>
      <c r="AS123" s="369"/>
      <c r="AT123" s="350">
        <f t="shared" si="75"/>
        <v>1364961.4836948188</v>
      </c>
      <c r="AU123" s="350">
        <f t="shared" si="58"/>
        <v>4032967.7603141852</v>
      </c>
      <c r="AV123" s="350">
        <f t="shared" si="59"/>
        <v>6439474.3305422999</v>
      </c>
      <c r="AW123" s="350">
        <f t="shared" si="60"/>
        <v>8579359.7916846052</v>
      </c>
      <c r="AX123" s="350">
        <f t="shared" si="61"/>
        <v>10449460.084741749</v>
      </c>
      <c r="AY123" s="350">
        <f t="shared" si="62"/>
        <v>30866223.450977653</v>
      </c>
      <c r="AZ123" s="365"/>
      <c r="BA123" s="377">
        <f t="shared" si="63"/>
        <v>0</v>
      </c>
      <c r="BB123" s="377">
        <f t="shared" si="64"/>
        <v>0</v>
      </c>
      <c r="BC123" s="377">
        <f t="shared" si="65"/>
        <v>0</v>
      </c>
      <c r="BD123" s="377">
        <f t="shared" si="66"/>
        <v>0</v>
      </c>
      <c r="BE123" s="377">
        <f t="shared" si="67"/>
        <v>0</v>
      </c>
      <c r="BF123" s="377">
        <f t="shared" si="68"/>
        <v>0</v>
      </c>
      <c r="BG123" s="328"/>
    </row>
    <row r="124" spans="2:59">
      <c r="B124" s="332">
        <v>109</v>
      </c>
      <c r="C124" s="350">
        <v>6707611.9326426759</v>
      </c>
      <c r="D124" s="350">
        <v>12655448.845340792</v>
      </c>
      <c r="E124" s="350">
        <v>18648067.660474759</v>
      </c>
      <c r="F124" s="350">
        <v>24685877.585033812</v>
      </c>
      <c r="G124" s="350">
        <v>30769840.981218137</v>
      </c>
      <c r="H124" s="348">
        <v>93466847.004710168</v>
      </c>
      <c r="I124" s="369"/>
      <c r="J124" s="350">
        <v>7781257.9435138972</v>
      </c>
      <c r="K124" s="350">
        <v>15824913.515059609</v>
      </c>
      <c r="L124" s="350">
        <v>23679499.104734983</v>
      </c>
      <c r="M124" s="350">
        <v>31339421.1677678</v>
      </c>
      <c r="N124" s="350">
        <v>38801170.974426098</v>
      </c>
      <c r="O124" s="348">
        <v>117426262.70550239</v>
      </c>
      <c r="P124" s="369"/>
      <c r="Q124" s="350">
        <f t="shared" si="69"/>
        <v>1073646.0108712213</v>
      </c>
      <c r="R124" s="350">
        <f t="shared" si="70"/>
        <v>3169464.6697188169</v>
      </c>
      <c r="S124" s="350">
        <f t="shared" si="71"/>
        <v>5031431.4442602247</v>
      </c>
      <c r="T124" s="350">
        <f t="shared" si="72"/>
        <v>6653543.5827339888</v>
      </c>
      <c r="U124" s="350">
        <f t="shared" si="73"/>
        <v>8031329.9932079613</v>
      </c>
      <c r="V124" s="350">
        <f t="shared" si="74"/>
        <v>23959415.700792223</v>
      </c>
      <c r="W124" s="365"/>
      <c r="X124" s="377">
        <f t="shared" si="52"/>
        <v>0</v>
      </c>
      <c r="Y124" s="377">
        <f t="shared" si="53"/>
        <v>0</v>
      </c>
      <c r="Z124" s="377">
        <f t="shared" si="54"/>
        <v>0</v>
      </c>
      <c r="AA124" s="377">
        <f t="shared" si="55"/>
        <v>0</v>
      </c>
      <c r="AB124" s="377">
        <f t="shared" si="56"/>
        <v>0</v>
      </c>
      <c r="AC124" s="377">
        <f t="shared" si="57"/>
        <v>0</v>
      </c>
      <c r="AD124" s="376"/>
      <c r="AE124" s="332">
        <v>109</v>
      </c>
      <c r="AF124" s="350">
        <v>6349873.9825153481</v>
      </c>
      <c r="AG124" s="350">
        <v>12749614.621193619</v>
      </c>
      <c r="AH124" s="350">
        <v>19197788.839182161</v>
      </c>
      <c r="AI124" s="350">
        <v>25694610.439549703</v>
      </c>
      <c r="AJ124" s="350">
        <v>32241016.355334163</v>
      </c>
      <c r="AK124" s="348">
        <v>96232904.237774998</v>
      </c>
      <c r="AL124" s="369"/>
      <c r="AM124" s="350">
        <v>8109575.8379440764</v>
      </c>
      <c r="AN124" s="350">
        <v>17952498.894426119</v>
      </c>
      <c r="AO124" s="350">
        <v>27578816.123378281</v>
      </c>
      <c r="AP124" s="350">
        <v>36983267.701370858</v>
      </c>
      <c r="AQ124" s="350">
        <v>46163795.302077651</v>
      </c>
      <c r="AR124" s="348">
        <v>136787953.85919699</v>
      </c>
      <c r="AS124" s="369"/>
      <c r="AT124" s="350">
        <f t="shared" si="75"/>
        <v>1759701.8554287283</v>
      </c>
      <c r="AU124" s="350">
        <f t="shared" si="58"/>
        <v>5202884.2732324991</v>
      </c>
      <c r="AV124" s="350">
        <f t="shared" si="59"/>
        <v>8381027.2841961198</v>
      </c>
      <c r="AW124" s="350">
        <f t="shared" si="60"/>
        <v>11288657.261821155</v>
      </c>
      <c r="AX124" s="350">
        <f t="shared" si="61"/>
        <v>13922778.946743488</v>
      </c>
      <c r="AY124" s="350">
        <f t="shared" si="62"/>
        <v>40555049.621421993</v>
      </c>
      <c r="AZ124" s="365"/>
      <c r="BA124" s="377">
        <f t="shared" si="63"/>
        <v>0</v>
      </c>
      <c r="BB124" s="377">
        <f t="shared" si="64"/>
        <v>0</v>
      </c>
      <c r="BC124" s="377">
        <f t="shared" si="65"/>
        <v>0</v>
      </c>
      <c r="BD124" s="377">
        <f t="shared" si="66"/>
        <v>0</v>
      </c>
      <c r="BE124" s="377">
        <f t="shared" si="67"/>
        <v>0</v>
      </c>
      <c r="BF124" s="377">
        <f t="shared" si="68"/>
        <v>0</v>
      </c>
      <c r="BG124" s="328"/>
    </row>
    <row r="125" spans="2:59">
      <c r="B125" s="332">
        <v>110</v>
      </c>
      <c r="C125" s="350">
        <v>7643881.6301813601</v>
      </c>
      <c r="D125" s="350">
        <v>14373143.497227142</v>
      </c>
      <c r="E125" s="350">
        <v>21153054.886955597</v>
      </c>
      <c r="F125" s="350">
        <v>27984093.136639986</v>
      </c>
      <c r="G125" s="350">
        <v>34867353.295161508</v>
      </c>
      <c r="H125" s="348">
        <v>106021526.44616559</v>
      </c>
      <c r="I125" s="369"/>
      <c r="J125" s="350">
        <v>8765583.5249282755</v>
      </c>
      <c r="K125" s="350">
        <v>17683184.26001085</v>
      </c>
      <c r="L125" s="350">
        <v>26380830.16924746</v>
      </c>
      <c r="M125" s="350">
        <v>34852346.526684105</v>
      </c>
      <c r="N125" s="350">
        <v>43093793.46866826</v>
      </c>
      <c r="O125" s="348">
        <v>130775737.94953895</v>
      </c>
      <c r="P125" s="369"/>
      <c r="Q125" s="350">
        <f t="shared" si="69"/>
        <v>1121701.8947469154</v>
      </c>
      <c r="R125" s="350">
        <f t="shared" si="70"/>
        <v>3310040.7627837081</v>
      </c>
      <c r="S125" s="350">
        <f t="shared" si="71"/>
        <v>5227775.2822918631</v>
      </c>
      <c r="T125" s="350">
        <f t="shared" si="72"/>
        <v>6868253.3900441192</v>
      </c>
      <c r="U125" s="350">
        <f t="shared" si="73"/>
        <v>8226440.1735067517</v>
      </c>
      <c r="V125" s="350">
        <f t="shared" si="74"/>
        <v>24754211.503373355</v>
      </c>
      <c r="W125" s="365"/>
      <c r="X125" s="377">
        <f t="shared" si="52"/>
        <v>0</v>
      </c>
      <c r="Y125" s="377">
        <f t="shared" si="53"/>
        <v>0</v>
      </c>
      <c r="Z125" s="377">
        <f t="shared" si="54"/>
        <v>0</v>
      </c>
      <c r="AA125" s="377">
        <f t="shared" si="55"/>
        <v>0</v>
      </c>
      <c r="AB125" s="377">
        <f t="shared" si="56"/>
        <v>0</v>
      </c>
      <c r="AC125" s="377">
        <f t="shared" si="57"/>
        <v>0</v>
      </c>
      <c r="AD125" s="376"/>
      <c r="AE125" s="332">
        <v>110</v>
      </c>
      <c r="AF125" s="350">
        <v>6228046.4953594301</v>
      </c>
      <c r="AG125" s="350">
        <v>12505002.914601751</v>
      </c>
      <c r="AH125" s="350">
        <v>18829463.675617095</v>
      </c>
      <c r="AI125" s="350">
        <v>25201638.479488757</v>
      </c>
      <c r="AJ125" s="350">
        <v>31622446.28343372</v>
      </c>
      <c r="AK125" s="348">
        <v>94386597.848500758</v>
      </c>
      <c r="AL125" s="369"/>
      <c r="AM125" s="350">
        <v>7307032.1604723809</v>
      </c>
      <c r="AN125" s="350">
        <v>15689387.431697302</v>
      </c>
      <c r="AO125" s="350">
        <v>23839916.131281719</v>
      </c>
      <c r="AP125" s="350">
        <v>31753642.332616817</v>
      </c>
      <c r="AQ125" s="350">
        <v>39427891.986410402</v>
      </c>
      <c r="AR125" s="348">
        <v>118017870.04247862</v>
      </c>
      <c r="AS125" s="369"/>
      <c r="AT125" s="350">
        <f t="shared" si="75"/>
        <v>1078985.6651129508</v>
      </c>
      <c r="AU125" s="350">
        <f t="shared" si="58"/>
        <v>3184384.5170955509</v>
      </c>
      <c r="AV125" s="350">
        <f t="shared" si="59"/>
        <v>5010452.4556646235</v>
      </c>
      <c r="AW125" s="350">
        <f t="shared" si="60"/>
        <v>6552003.8531280607</v>
      </c>
      <c r="AX125" s="350">
        <f t="shared" si="61"/>
        <v>7805445.7029766813</v>
      </c>
      <c r="AY125" s="350">
        <f t="shared" si="62"/>
        <v>23631272.193977863</v>
      </c>
      <c r="AZ125" s="365"/>
      <c r="BA125" s="377">
        <f t="shared" si="63"/>
        <v>0</v>
      </c>
      <c r="BB125" s="377">
        <f t="shared" si="64"/>
        <v>0</v>
      </c>
      <c r="BC125" s="377">
        <f t="shared" si="65"/>
        <v>0</v>
      </c>
      <c r="BD125" s="377">
        <f t="shared" si="66"/>
        <v>0</v>
      </c>
      <c r="BE125" s="377">
        <f t="shared" si="67"/>
        <v>0</v>
      </c>
      <c r="BF125" s="377">
        <f t="shared" si="68"/>
        <v>0</v>
      </c>
      <c r="BG125" s="328"/>
    </row>
    <row r="126" spans="2:59">
      <c r="B126" s="332">
        <v>111</v>
      </c>
      <c r="C126" s="350">
        <v>7911035.493149885</v>
      </c>
      <c r="D126" s="350">
        <v>14832848.189073741</v>
      </c>
      <c r="E126" s="350">
        <v>21806745.77371623</v>
      </c>
      <c r="F126" s="350">
        <v>28833231.889880523</v>
      </c>
      <c r="G126" s="350">
        <v>35913438.422826536</v>
      </c>
      <c r="H126" s="348">
        <v>109297299.76864693</v>
      </c>
      <c r="I126" s="369"/>
      <c r="J126" s="350">
        <v>9011455.1420121733</v>
      </c>
      <c r="K126" s="350">
        <v>18079322.668064173</v>
      </c>
      <c r="L126" s="350">
        <v>26924752.785526108</v>
      </c>
      <c r="M126" s="350">
        <v>35541228.873570867</v>
      </c>
      <c r="N126" s="350">
        <v>43924448.806439534</v>
      </c>
      <c r="O126" s="348">
        <v>133481208.27561285</v>
      </c>
      <c r="P126" s="369"/>
      <c r="Q126" s="350">
        <f t="shared" si="69"/>
        <v>1100419.6488622883</v>
      </c>
      <c r="R126" s="350">
        <f t="shared" si="70"/>
        <v>3246474.4789904319</v>
      </c>
      <c r="S126" s="350">
        <f t="shared" si="71"/>
        <v>5118007.0118098781</v>
      </c>
      <c r="T126" s="350">
        <f t="shared" si="72"/>
        <v>6707996.9836903438</v>
      </c>
      <c r="U126" s="350">
        <f t="shared" si="73"/>
        <v>8011010.3836129978</v>
      </c>
      <c r="V126" s="350">
        <f t="shared" si="74"/>
        <v>24183908.50696592</v>
      </c>
      <c r="W126" s="365"/>
      <c r="X126" s="377">
        <f t="shared" si="52"/>
        <v>0</v>
      </c>
      <c r="Y126" s="377">
        <f t="shared" si="53"/>
        <v>0</v>
      </c>
      <c r="Z126" s="377">
        <f t="shared" si="54"/>
        <v>0</v>
      </c>
      <c r="AA126" s="377">
        <f t="shared" si="55"/>
        <v>0</v>
      </c>
      <c r="AB126" s="377">
        <f t="shared" si="56"/>
        <v>0</v>
      </c>
      <c r="AC126" s="377">
        <f t="shared" si="57"/>
        <v>0</v>
      </c>
      <c r="AD126" s="376"/>
      <c r="AE126" s="332">
        <v>111</v>
      </c>
      <c r="AF126" s="350">
        <v>6053124.1218009181</v>
      </c>
      <c r="AG126" s="350">
        <v>12153784.471899357</v>
      </c>
      <c r="AH126" s="350">
        <v>18300614.945694018</v>
      </c>
      <c r="AI126" s="350">
        <v>24493819.354554415</v>
      </c>
      <c r="AJ126" s="350">
        <v>30734290.845649764</v>
      </c>
      <c r="AK126" s="348">
        <v>91735633.739598468</v>
      </c>
      <c r="AL126" s="369"/>
      <c r="AM126" s="350">
        <v>7151645.3137001917</v>
      </c>
      <c r="AN126" s="350">
        <v>15396542.930674532</v>
      </c>
      <c r="AO126" s="350">
        <v>23417617.840276025</v>
      </c>
      <c r="AP126" s="350">
        <v>31210019.774287671</v>
      </c>
      <c r="AQ126" s="350">
        <v>38771200.263801552</v>
      </c>
      <c r="AR126" s="348">
        <v>115947026.12273997</v>
      </c>
      <c r="AS126" s="369"/>
      <c r="AT126" s="350">
        <f t="shared" si="75"/>
        <v>1098521.1918992735</v>
      </c>
      <c r="AU126" s="350">
        <f t="shared" si="58"/>
        <v>3242758.4587751757</v>
      </c>
      <c r="AV126" s="350">
        <f t="shared" si="59"/>
        <v>5117002.8945820071</v>
      </c>
      <c r="AW126" s="350">
        <f t="shared" si="60"/>
        <v>6716200.4197332561</v>
      </c>
      <c r="AX126" s="350">
        <f t="shared" si="61"/>
        <v>8036909.4181517884</v>
      </c>
      <c r="AY126" s="350">
        <f t="shared" si="62"/>
        <v>24211392.383141503</v>
      </c>
      <c r="AZ126" s="365"/>
      <c r="BA126" s="377">
        <f t="shared" si="63"/>
        <v>0</v>
      </c>
      <c r="BB126" s="377">
        <f t="shared" si="64"/>
        <v>0</v>
      </c>
      <c r="BC126" s="377">
        <f t="shared" si="65"/>
        <v>0</v>
      </c>
      <c r="BD126" s="377">
        <f t="shared" si="66"/>
        <v>0</v>
      </c>
      <c r="BE126" s="377">
        <f t="shared" si="67"/>
        <v>0</v>
      </c>
      <c r="BF126" s="377">
        <f t="shared" si="68"/>
        <v>0</v>
      </c>
      <c r="BG126" s="328"/>
    </row>
    <row r="127" spans="2:59">
      <c r="B127" s="332">
        <v>112</v>
      </c>
      <c r="C127" s="350">
        <v>7202100.5192175377</v>
      </c>
      <c r="D127" s="350">
        <v>13558454.587421525</v>
      </c>
      <c r="E127" s="350">
        <v>19962656.618433755</v>
      </c>
      <c r="F127" s="350">
        <v>26415152.747837503</v>
      </c>
      <c r="G127" s="350">
        <v>32916975.274886306</v>
      </c>
      <c r="H127" s="348">
        <v>100055339.74779662</v>
      </c>
      <c r="I127" s="369"/>
      <c r="J127" s="350">
        <v>8355516.2326116189</v>
      </c>
      <c r="K127" s="350">
        <v>16963477.112034291</v>
      </c>
      <c r="L127" s="350">
        <v>25372202.168480571</v>
      </c>
      <c r="M127" s="350">
        <v>33575607.112615928</v>
      </c>
      <c r="N127" s="350">
        <v>41569834.245662913</v>
      </c>
      <c r="O127" s="348">
        <v>125836636.87140532</v>
      </c>
      <c r="P127" s="369"/>
      <c r="Q127" s="350">
        <f t="shared" si="69"/>
        <v>1153415.7133940812</v>
      </c>
      <c r="R127" s="350">
        <f t="shared" si="70"/>
        <v>3405022.5246127658</v>
      </c>
      <c r="S127" s="350">
        <f t="shared" si="71"/>
        <v>5409545.5500468165</v>
      </c>
      <c r="T127" s="350">
        <f t="shared" si="72"/>
        <v>7160454.3647784255</v>
      </c>
      <c r="U127" s="350">
        <f t="shared" si="73"/>
        <v>8652858.9707766064</v>
      </c>
      <c r="V127" s="350">
        <f t="shared" si="74"/>
        <v>25781297.123608693</v>
      </c>
      <c r="W127" s="365"/>
      <c r="X127" s="377">
        <f t="shared" si="52"/>
        <v>0</v>
      </c>
      <c r="Y127" s="377">
        <f t="shared" si="53"/>
        <v>0</v>
      </c>
      <c r="Z127" s="377">
        <f t="shared" si="54"/>
        <v>0</v>
      </c>
      <c r="AA127" s="377">
        <f t="shared" si="55"/>
        <v>0</v>
      </c>
      <c r="AB127" s="377">
        <f t="shared" si="56"/>
        <v>0</v>
      </c>
      <c r="AC127" s="377">
        <f t="shared" si="57"/>
        <v>0</v>
      </c>
      <c r="AD127" s="376"/>
      <c r="AE127" s="332">
        <v>112</v>
      </c>
      <c r="AF127" s="350">
        <v>7605119.8868868221</v>
      </c>
      <c r="AG127" s="350">
        <v>15269964.092637522</v>
      </c>
      <c r="AH127" s="350">
        <v>22992816.249131791</v>
      </c>
      <c r="AI127" s="350">
        <v>30773932.424123794</v>
      </c>
      <c r="AJ127" s="350">
        <v>38614434.763989806</v>
      </c>
      <c r="AK127" s="348">
        <v>115256267.41676974</v>
      </c>
      <c r="AL127" s="369"/>
      <c r="AM127" s="350">
        <v>9326471.7820856906</v>
      </c>
      <c r="AN127" s="350">
        <v>20355975.530719768</v>
      </c>
      <c r="AO127" s="350">
        <v>31114487.646321028</v>
      </c>
      <c r="AP127" s="350">
        <v>41595817.775350899</v>
      </c>
      <c r="AQ127" s="350">
        <v>51797109.561847351</v>
      </c>
      <c r="AR127" s="348">
        <v>154189862.29632473</v>
      </c>
      <c r="AS127" s="369"/>
      <c r="AT127" s="350">
        <f t="shared" si="75"/>
        <v>1721351.8951988686</v>
      </c>
      <c r="AU127" s="350">
        <f t="shared" si="58"/>
        <v>5086011.4380822461</v>
      </c>
      <c r="AV127" s="350">
        <f t="shared" si="59"/>
        <v>8121671.3971892372</v>
      </c>
      <c r="AW127" s="350">
        <f t="shared" si="60"/>
        <v>10821885.351227105</v>
      </c>
      <c r="AX127" s="350">
        <f t="shared" si="61"/>
        <v>13182674.797857545</v>
      </c>
      <c r="AY127" s="350">
        <f t="shared" si="62"/>
        <v>38933594.879554987</v>
      </c>
      <c r="AZ127" s="365"/>
      <c r="BA127" s="377">
        <f t="shared" si="63"/>
        <v>0</v>
      </c>
      <c r="BB127" s="377">
        <f t="shared" si="64"/>
        <v>0</v>
      </c>
      <c r="BC127" s="377">
        <f t="shared" si="65"/>
        <v>0</v>
      </c>
      <c r="BD127" s="377">
        <f t="shared" si="66"/>
        <v>0</v>
      </c>
      <c r="BE127" s="377">
        <f t="shared" si="67"/>
        <v>0</v>
      </c>
      <c r="BF127" s="377">
        <f t="shared" si="68"/>
        <v>0</v>
      </c>
      <c r="BG127" s="328"/>
    </row>
    <row r="128" spans="2:59">
      <c r="B128" s="332">
        <v>113</v>
      </c>
      <c r="C128" s="350">
        <v>11636418.585368093</v>
      </c>
      <c r="D128" s="350">
        <v>22044848.089846104</v>
      </c>
      <c r="E128" s="350">
        <v>32531672.967164122</v>
      </c>
      <c r="F128" s="350">
        <v>43097582.784283921</v>
      </c>
      <c r="G128" s="350">
        <v>53744250.087666616</v>
      </c>
      <c r="H128" s="348">
        <v>163054772.51432884</v>
      </c>
      <c r="I128" s="369"/>
      <c r="J128" s="350">
        <v>13157878.33610663</v>
      </c>
      <c r="K128" s="350">
        <v>26531368.95400301</v>
      </c>
      <c r="L128" s="350">
        <v>39558272.062012941</v>
      </c>
      <c r="M128" s="350">
        <v>52229040.421923831</v>
      </c>
      <c r="N128" s="350">
        <v>64537334.339623399</v>
      </c>
      <c r="O128" s="348">
        <v>196013894.11366981</v>
      </c>
      <c r="P128" s="369"/>
      <c r="Q128" s="350">
        <f t="shared" si="69"/>
        <v>1521459.7507385369</v>
      </c>
      <c r="R128" s="350">
        <f t="shared" si="70"/>
        <v>4486520.8641569056</v>
      </c>
      <c r="S128" s="350">
        <f t="shared" si="71"/>
        <v>7026599.0948488191</v>
      </c>
      <c r="T128" s="350">
        <f t="shared" si="72"/>
        <v>9131457.63763991</v>
      </c>
      <c r="U128" s="350">
        <f t="shared" si="73"/>
        <v>10793084.251956783</v>
      </c>
      <c r="V128" s="350">
        <f t="shared" si="74"/>
        <v>32959121.599340975</v>
      </c>
      <c r="W128" s="365"/>
      <c r="X128" s="377">
        <f t="shared" si="52"/>
        <v>0</v>
      </c>
      <c r="Y128" s="377">
        <f t="shared" si="53"/>
        <v>0</v>
      </c>
      <c r="Z128" s="377">
        <f t="shared" si="54"/>
        <v>0</v>
      </c>
      <c r="AA128" s="377">
        <f t="shared" si="55"/>
        <v>0</v>
      </c>
      <c r="AB128" s="377">
        <f t="shared" si="56"/>
        <v>0</v>
      </c>
      <c r="AC128" s="377">
        <f t="shared" si="57"/>
        <v>0</v>
      </c>
      <c r="AD128" s="376"/>
      <c r="AE128" s="332">
        <v>113</v>
      </c>
      <c r="AF128" s="350">
        <v>6582643.8281538934</v>
      </c>
      <c r="AG128" s="350">
        <v>13216982.294236887</v>
      </c>
      <c r="AH128" s="350">
        <v>19901529.788530521</v>
      </c>
      <c r="AI128" s="350">
        <v>26636507.951567307</v>
      </c>
      <c r="AJ128" s="350">
        <v>33422888.061910629</v>
      </c>
      <c r="AK128" s="348">
        <v>99760551.924399242</v>
      </c>
      <c r="AL128" s="369"/>
      <c r="AM128" s="350">
        <v>7623606.7633587429</v>
      </c>
      <c r="AN128" s="350">
        <v>16287716.066652678</v>
      </c>
      <c r="AO128" s="350">
        <v>24703820.901780952</v>
      </c>
      <c r="AP128" s="350">
        <v>32866690.164624821</v>
      </c>
      <c r="AQ128" s="350">
        <v>40773396.832400054</v>
      </c>
      <c r="AR128" s="348">
        <v>122255230.72881725</v>
      </c>
      <c r="AS128" s="369"/>
      <c r="AT128" s="350">
        <f t="shared" si="75"/>
        <v>1040962.9352048496</v>
      </c>
      <c r="AU128" s="350">
        <f t="shared" si="58"/>
        <v>3070733.7724157907</v>
      </c>
      <c r="AV128" s="350">
        <f t="shared" si="59"/>
        <v>4802291.1132504307</v>
      </c>
      <c r="AW128" s="350">
        <f t="shared" si="60"/>
        <v>6230182.2130575143</v>
      </c>
      <c r="AX128" s="350">
        <f t="shared" si="61"/>
        <v>7350508.7704894245</v>
      </c>
      <c r="AY128" s="350">
        <f t="shared" si="62"/>
        <v>22494678.804418012</v>
      </c>
      <c r="AZ128" s="365"/>
      <c r="BA128" s="377">
        <f t="shared" si="63"/>
        <v>0</v>
      </c>
      <c r="BB128" s="377">
        <f t="shared" si="64"/>
        <v>0</v>
      </c>
      <c r="BC128" s="377">
        <f t="shared" si="65"/>
        <v>0</v>
      </c>
      <c r="BD128" s="377">
        <f t="shared" si="66"/>
        <v>0</v>
      </c>
      <c r="BE128" s="377">
        <f t="shared" si="67"/>
        <v>0</v>
      </c>
      <c r="BF128" s="377">
        <f t="shared" si="68"/>
        <v>0</v>
      </c>
      <c r="BG128" s="328"/>
    </row>
    <row r="129" spans="2:59">
      <c r="B129" s="332">
        <v>114</v>
      </c>
      <c r="C129" s="350">
        <v>5509705.5988961002</v>
      </c>
      <c r="D129" s="350">
        <v>10237168.51006205</v>
      </c>
      <c r="E129" s="350">
        <v>15000173.744232219</v>
      </c>
      <c r="F129" s="350">
        <v>19799093.12188495</v>
      </c>
      <c r="G129" s="350">
        <v>24634711.812671982</v>
      </c>
      <c r="H129" s="348">
        <v>75180852.787747294</v>
      </c>
      <c r="I129" s="369"/>
      <c r="J129" s="350">
        <v>6348540.482682121</v>
      </c>
      <c r="K129" s="350">
        <v>12713276.758735405</v>
      </c>
      <c r="L129" s="350">
        <v>18928311.349597294</v>
      </c>
      <c r="M129" s="350">
        <v>24989223.457685508</v>
      </c>
      <c r="N129" s="350">
        <v>30893202.852048684</v>
      </c>
      <c r="O129" s="348">
        <v>93872554.900749013</v>
      </c>
      <c r="P129" s="369"/>
      <c r="Q129" s="350">
        <f t="shared" si="69"/>
        <v>838834.8837860208</v>
      </c>
      <c r="R129" s="350">
        <f t="shared" si="70"/>
        <v>2476108.2486733552</v>
      </c>
      <c r="S129" s="350">
        <f t="shared" si="71"/>
        <v>3928137.6053650752</v>
      </c>
      <c r="T129" s="350">
        <f t="shared" si="72"/>
        <v>5190130.3358005583</v>
      </c>
      <c r="U129" s="350">
        <f t="shared" si="73"/>
        <v>6258491.0393767022</v>
      </c>
      <c r="V129" s="350">
        <f t="shared" si="74"/>
        <v>18691702.113001719</v>
      </c>
      <c r="W129" s="365"/>
      <c r="X129" s="377">
        <f t="shared" si="52"/>
        <v>0</v>
      </c>
      <c r="Y129" s="377">
        <f t="shared" si="53"/>
        <v>0</v>
      </c>
      <c r="Z129" s="377">
        <f t="shared" si="54"/>
        <v>0</v>
      </c>
      <c r="AA129" s="377">
        <f t="shared" si="55"/>
        <v>0</v>
      </c>
      <c r="AB129" s="377">
        <f t="shared" si="56"/>
        <v>0</v>
      </c>
      <c r="AC129" s="377">
        <f t="shared" si="57"/>
        <v>0</v>
      </c>
      <c r="AD129" s="376"/>
      <c r="AE129" s="332">
        <v>114</v>
      </c>
      <c r="AF129" s="350">
        <v>4485994.1724427696</v>
      </c>
      <c r="AG129" s="350">
        <v>9007217.6312559545</v>
      </c>
      <c r="AH129" s="350">
        <v>13562657.950928848</v>
      </c>
      <c r="AI129" s="350">
        <v>18152466.176871646</v>
      </c>
      <c r="AJ129" s="350">
        <v>22777304.22397583</v>
      </c>
      <c r="AK129" s="348">
        <v>67985640.15547505</v>
      </c>
      <c r="AL129" s="369"/>
      <c r="AM129" s="350">
        <v>5509704.2487122659</v>
      </c>
      <c r="AN129" s="350">
        <v>12032026.11459475</v>
      </c>
      <c r="AO129" s="350">
        <v>18394749.425937459</v>
      </c>
      <c r="AP129" s="350">
        <v>24594220.349522129</v>
      </c>
      <c r="AQ129" s="350">
        <v>30628762.472227607</v>
      </c>
      <c r="AR129" s="348">
        <v>91159462.610994205</v>
      </c>
      <c r="AS129" s="369"/>
      <c r="AT129" s="350">
        <f t="shared" si="75"/>
        <v>1023710.0762694962</v>
      </c>
      <c r="AU129" s="350">
        <f t="shared" si="58"/>
        <v>3024808.4833387956</v>
      </c>
      <c r="AV129" s="350">
        <f t="shared" si="59"/>
        <v>4832091.4750086106</v>
      </c>
      <c r="AW129" s="350">
        <f t="shared" si="60"/>
        <v>6441754.1726504825</v>
      </c>
      <c r="AX129" s="350">
        <f t="shared" si="61"/>
        <v>7851458.2482517771</v>
      </c>
      <c r="AY129" s="350">
        <f t="shared" si="62"/>
        <v>23173822.455519155</v>
      </c>
      <c r="AZ129" s="365"/>
      <c r="BA129" s="377">
        <f t="shared" si="63"/>
        <v>0</v>
      </c>
      <c r="BB129" s="377">
        <f t="shared" si="64"/>
        <v>0</v>
      </c>
      <c r="BC129" s="377">
        <f t="shared" si="65"/>
        <v>0</v>
      </c>
      <c r="BD129" s="377">
        <f t="shared" si="66"/>
        <v>0</v>
      </c>
      <c r="BE129" s="377">
        <f t="shared" si="67"/>
        <v>0</v>
      </c>
      <c r="BF129" s="377">
        <f t="shared" si="68"/>
        <v>0</v>
      </c>
      <c r="BG129" s="328"/>
    </row>
    <row r="130" spans="2:59">
      <c r="B130" s="332">
        <v>115</v>
      </c>
      <c r="C130" s="350">
        <v>4989098.6988372952</v>
      </c>
      <c r="D130" s="350">
        <v>9310817.5012608822</v>
      </c>
      <c r="E130" s="350">
        <v>13665041.848842416</v>
      </c>
      <c r="F130" s="350">
        <v>18052099.187388361</v>
      </c>
      <c r="G130" s="350">
        <v>22472701.875393488</v>
      </c>
      <c r="H130" s="348">
        <v>68489759.11172244</v>
      </c>
      <c r="I130" s="369"/>
      <c r="J130" s="350">
        <v>5761689.1475529447</v>
      </c>
      <c r="K130" s="350">
        <v>11591455.121714715</v>
      </c>
      <c r="L130" s="350">
        <v>17282763.731307149</v>
      </c>
      <c r="M130" s="350">
        <v>22831624.143586051</v>
      </c>
      <c r="N130" s="350">
        <v>28235535.013386592</v>
      </c>
      <c r="O130" s="348">
        <v>85703067.157547459</v>
      </c>
      <c r="P130" s="369"/>
      <c r="Q130" s="350">
        <f t="shared" si="69"/>
        <v>772590.44871564955</v>
      </c>
      <c r="R130" s="350">
        <f t="shared" si="70"/>
        <v>2280637.6204538327</v>
      </c>
      <c r="S130" s="350">
        <f t="shared" si="71"/>
        <v>3617721.882464733</v>
      </c>
      <c r="T130" s="350">
        <f t="shared" si="72"/>
        <v>4779524.9561976902</v>
      </c>
      <c r="U130" s="350">
        <f t="shared" si="73"/>
        <v>5762833.1379931048</v>
      </c>
      <c r="V130" s="350">
        <f t="shared" si="74"/>
        <v>17213308.045825019</v>
      </c>
      <c r="W130" s="365"/>
      <c r="X130" s="377">
        <f t="shared" si="52"/>
        <v>0</v>
      </c>
      <c r="Y130" s="377">
        <f t="shared" si="53"/>
        <v>0</v>
      </c>
      <c r="Z130" s="377">
        <f t="shared" si="54"/>
        <v>0</v>
      </c>
      <c r="AA130" s="377">
        <f t="shared" si="55"/>
        <v>0</v>
      </c>
      <c r="AB130" s="377">
        <f t="shared" si="56"/>
        <v>0</v>
      </c>
      <c r="AC130" s="377">
        <f t="shared" si="57"/>
        <v>0</v>
      </c>
      <c r="AD130" s="376"/>
      <c r="AE130" s="332">
        <v>115</v>
      </c>
      <c r="AF130" s="350">
        <v>7701047.4700991791</v>
      </c>
      <c r="AG130" s="350">
        <v>15462572.59492713</v>
      </c>
      <c r="AH130" s="350">
        <v>23282837.356863193</v>
      </c>
      <c r="AI130" s="350">
        <v>31162101.05358573</v>
      </c>
      <c r="AJ130" s="350">
        <v>39101499.985723883</v>
      </c>
      <c r="AK130" s="348">
        <v>116710058.4611991</v>
      </c>
      <c r="AL130" s="369"/>
      <c r="AM130" s="350">
        <v>8990273.4661505558</v>
      </c>
      <c r="AN130" s="350">
        <v>19266785.693052959</v>
      </c>
      <c r="AO130" s="350">
        <v>29255295.520478513</v>
      </c>
      <c r="AP130" s="350">
        <v>38949662.874831021</v>
      </c>
      <c r="AQ130" s="350">
        <v>48346535.739585713</v>
      </c>
      <c r="AR130" s="348">
        <v>144808553.29409876</v>
      </c>
      <c r="AS130" s="369"/>
      <c r="AT130" s="350">
        <f t="shared" si="75"/>
        <v>1289225.9960513767</v>
      </c>
      <c r="AU130" s="350">
        <f t="shared" si="58"/>
        <v>3804213.0981258284</v>
      </c>
      <c r="AV130" s="350">
        <f t="shared" si="59"/>
        <v>5972458.1636153199</v>
      </c>
      <c r="AW130" s="350">
        <f t="shared" si="60"/>
        <v>7787561.8212452903</v>
      </c>
      <c r="AX130" s="350">
        <f t="shared" si="61"/>
        <v>9245035.7538618296</v>
      </c>
      <c r="AY130" s="350">
        <f t="shared" si="62"/>
        <v>28098494.83289966</v>
      </c>
      <c r="AZ130" s="365"/>
      <c r="BA130" s="377">
        <f t="shared" si="63"/>
        <v>0</v>
      </c>
      <c r="BB130" s="377">
        <f t="shared" si="64"/>
        <v>0</v>
      </c>
      <c r="BC130" s="377">
        <f t="shared" si="65"/>
        <v>0</v>
      </c>
      <c r="BD130" s="377">
        <f t="shared" si="66"/>
        <v>0</v>
      </c>
      <c r="BE130" s="377">
        <f t="shared" si="67"/>
        <v>0</v>
      </c>
      <c r="BF130" s="377">
        <f t="shared" si="68"/>
        <v>0</v>
      </c>
      <c r="BG130" s="328"/>
    </row>
    <row r="131" spans="2:59">
      <c r="B131" s="332">
        <v>116</v>
      </c>
      <c r="C131" s="350">
        <v>9810585.1557579488</v>
      </c>
      <c r="D131" s="350">
        <v>18484228.028330233</v>
      </c>
      <c r="E131" s="350">
        <v>27223167.363149121</v>
      </c>
      <c r="F131" s="350">
        <v>36028007.466564223</v>
      </c>
      <c r="G131" s="350">
        <v>44900155.0290609</v>
      </c>
      <c r="H131" s="348">
        <v>136446143.04286242</v>
      </c>
      <c r="I131" s="369"/>
      <c r="J131" s="350">
        <v>10843193.020491363</v>
      </c>
      <c r="K131" s="350">
        <v>21525284.598544337</v>
      </c>
      <c r="L131" s="350">
        <v>31908552.789825164</v>
      </c>
      <c r="M131" s="350">
        <v>41985296.528567478</v>
      </c>
      <c r="N131" s="350">
        <v>51750171.354750887</v>
      </c>
      <c r="O131" s="348">
        <v>158012498.29217923</v>
      </c>
      <c r="P131" s="369"/>
      <c r="Q131" s="350">
        <f t="shared" si="69"/>
        <v>1032607.8647334147</v>
      </c>
      <c r="R131" s="350">
        <f t="shared" si="70"/>
        <v>3041056.5702141039</v>
      </c>
      <c r="S131" s="350">
        <f t="shared" si="71"/>
        <v>4685385.4266760424</v>
      </c>
      <c r="T131" s="350">
        <f t="shared" si="72"/>
        <v>5957289.0620032549</v>
      </c>
      <c r="U131" s="350">
        <f t="shared" si="73"/>
        <v>6850016.3256899863</v>
      </c>
      <c r="V131" s="350">
        <f t="shared" si="74"/>
        <v>21566355.249316812</v>
      </c>
      <c r="W131" s="365"/>
      <c r="X131" s="377">
        <f t="shared" si="52"/>
        <v>0</v>
      </c>
      <c r="Y131" s="377">
        <f t="shared" si="53"/>
        <v>0</v>
      </c>
      <c r="Z131" s="377">
        <f t="shared" si="54"/>
        <v>0</v>
      </c>
      <c r="AA131" s="377">
        <f t="shared" si="55"/>
        <v>0</v>
      </c>
      <c r="AB131" s="377">
        <f t="shared" si="56"/>
        <v>0</v>
      </c>
      <c r="AC131" s="377">
        <f t="shared" si="57"/>
        <v>0</v>
      </c>
      <c r="AD131" s="376"/>
      <c r="AE131" s="332">
        <v>116</v>
      </c>
      <c r="AF131" s="350">
        <v>4735691.9467346938</v>
      </c>
      <c r="AG131" s="350">
        <v>9508574.0995508917</v>
      </c>
      <c r="AH131" s="350">
        <v>14317577.679677734</v>
      </c>
      <c r="AI131" s="350">
        <v>19162862.139960043</v>
      </c>
      <c r="AJ131" s="350">
        <v>24045126.238554992</v>
      </c>
      <c r="AK131" s="348">
        <v>71769832.104478359</v>
      </c>
      <c r="AL131" s="369"/>
      <c r="AM131" s="350">
        <v>5463714.0046819327</v>
      </c>
      <c r="AN131" s="350">
        <v>11655834.506335586</v>
      </c>
      <c r="AO131" s="350">
        <v>17668910.377180785</v>
      </c>
      <c r="AP131" s="350">
        <v>23499184.153651971</v>
      </c>
      <c r="AQ131" s="350">
        <v>29144528.939310614</v>
      </c>
      <c r="AR131" s="348">
        <v>87432171.981160879</v>
      </c>
      <c r="AS131" s="369"/>
      <c r="AT131" s="350">
        <f t="shared" si="75"/>
        <v>728022.05794723891</v>
      </c>
      <c r="AU131" s="350">
        <f t="shared" si="58"/>
        <v>2147260.4067846946</v>
      </c>
      <c r="AV131" s="350">
        <f t="shared" si="59"/>
        <v>3351332.6975030508</v>
      </c>
      <c r="AW131" s="350">
        <f t="shared" si="60"/>
        <v>4336322.0136919282</v>
      </c>
      <c r="AX131" s="350">
        <f t="shared" si="61"/>
        <v>5099402.7007556222</v>
      </c>
      <c r="AY131" s="350">
        <f t="shared" si="62"/>
        <v>15662339.87668252</v>
      </c>
      <c r="AZ131" s="365"/>
      <c r="BA131" s="377">
        <f t="shared" si="63"/>
        <v>0</v>
      </c>
      <c r="BB131" s="377">
        <f t="shared" si="64"/>
        <v>0</v>
      </c>
      <c r="BC131" s="377">
        <f t="shared" si="65"/>
        <v>0</v>
      </c>
      <c r="BD131" s="377">
        <f t="shared" si="66"/>
        <v>0</v>
      </c>
      <c r="BE131" s="377">
        <f t="shared" si="67"/>
        <v>0</v>
      </c>
      <c r="BF131" s="377">
        <f t="shared" si="68"/>
        <v>0</v>
      </c>
      <c r="BG131" s="328"/>
    </row>
    <row r="132" spans="2:59">
      <c r="B132" s="332">
        <v>117</v>
      </c>
      <c r="C132" s="350">
        <v>7006328.6371485163</v>
      </c>
      <c r="D132" s="350">
        <v>13094871.798994062</v>
      </c>
      <c r="E132" s="350">
        <v>19229216.015039049</v>
      </c>
      <c r="F132" s="350">
        <v>25409816.740354553</v>
      </c>
      <c r="G132" s="350">
        <v>31637675.013951488</v>
      </c>
      <c r="H132" s="348">
        <v>96377908.205487669</v>
      </c>
      <c r="I132" s="369"/>
      <c r="J132" s="350">
        <v>8261513.1534724263</v>
      </c>
      <c r="K132" s="350">
        <v>16802400.35467732</v>
      </c>
      <c r="L132" s="350">
        <v>25154000.020553239</v>
      </c>
      <c r="M132" s="350">
        <v>33310613.038632412</v>
      </c>
      <c r="N132" s="350">
        <v>41268856.982501291</v>
      </c>
      <c r="O132" s="348">
        <v>124797383.5498367</v>
      </c>
      <c r="P132" s="369"/>
      <c r="Q132" s="350">
        <f t="shared" si="69"/>
        <v>1255184.5163239101</v>
      </c>
      <c r="R132" s="350">
        <f t="shared" si="70"/>
        <v>3707528.5556832571</v>
      </c>
      <c r="S132" s="350">
        <f t="shared" si="71"/>
        <v>5924784.0055141896</v>
      </c>
      <c r="T132" s="350">
        <f t="shared" si="72"/>
        <v>7900796.2982778586</v>
      </c>
      <c r="U132" s="350">
        <f t="shared" si="73"/>
        <v>9631181.9685498029</v>
      </c>
      <c r="V132" s="350">
        <f t="shared" si="74"/>
        <v>28419475.344349027</v>
      </c>
      <c r="W132" s="365"/>
      <c r="X132" s="377">
        <f t="shared" si="52"/>
        <v>0</v>
      </c>
      <c r="Y132" s="377">
        <f t="shared" si="53"/>
        <v>0</v>
      </c>
      <c r="Z132" s="377">
        <f t="shared" si="54"/>
        <v>0</v>
      </c>
      <c r="AA132" s="377">
        <f t="shared" si="55"/>
        <v>0</v>
      </c>
      <c r="AB132" s="377">
        <f t="shared" si="56"/>
        <v>0</v>
      </c>
      <c r="AC132" s="377">
        <f t="shared" si="57"/>
        <v>0</v>
      </c>
      <c r="AD132" s="376"/>
      <c r="AE132" s="332">
        <v>117</v>
      </c>
      <c r="AF132" s="350">
        <v>7464211.4721540967</v>
      </c>
      <c r="AG132" s="350">
        <v>14987040.685075045</v>
      </c>
      <c r="AH132" s="350">
        <v>22566803.071681112</v>
      </c>
      <c r="AI132" s="350">
        <v>30203749.955277748</v>
      </c>
      <c r="AJ132" s="350">
        <v>37898982.691001996</v>
      </c>
      <c r="AK132" s="348">
        <v>113120787.87519</v>
      </c>
      <c r="AL132" s="369"/>
      <c r="AM132" s="350">
        <v>8658739.1640062612</v>
      </c>
      <c r="AN132" s="350">
        <v>18510998.511558719</v>
      </c>
      <c r="AO132" s="350">
        <v>28082463.851600513</v>
      </c>
      <c r="AP132" s="350">
        <v>37367199.510872833</v>
      </c>
      <c r="AQ132" s="350">
        <v>46361900.807362497</v>
      </c>
      <c r="AR132" s="348">
        <v>138981301.84540081</v>
      </c>
      <c r="AS132" s="369"/>
      <c r="AT132" s="350">
        <f t="shared" si="75"/>
        <v>1194527.6918521645</v>
      </c>
      <c r="AU132" s="350">
        <f t="shared" si="58"/>
        <v>3523957.8264836743</v>
      </c>
      <c r="AV132" s="350">
        <f t="shared" si="59"/>
        <v>5515660.7799194008</v>
      </c>
      <c r="AW132" s="350">
        <f t="shared" si="60"/>
        <v>7163449.555595085</v>
      </c>
      <c r="AX132" s="350">
        <f t="shared" si="61"/>
        <v>8462918.1163605005</v>
      </c>
      <c r="AY132" s="350">
        <f t="shared" si="62"/>
        <v>25860513.970210806</v>
      </c>
      <c r="AZ132" s="365"/>
      <c r="BA132" s="377">
        <f t="shared" si="63"/>
        <v>0</v>
      </c>
      <c r="BB132" s="377">
        <f t="shared" si="64"/>
        <v>0</v>
      </c>
      <c r="BC132" s="377">
        <f t="shared" si="65"/>
        <v>0</v>
      </c>
      <c r="BD132" s="377">
        <f t="shared" si="66"/>
        <v>0</v>
      </c>
      <c r="BE132" s="377">
        <f t="shared" si="67"/>
        <v>0</v>
      </c>
      <c r="BF132" s="377">
        <f t="shared" si="68"/>
        <v>0</v>
      </c>
      <c r="BG132" s="328"/>
    </row>
    <row r="133" spans="2:59">
      <c r="B133" s="332">
        <v>118</v>
      </c>
      <c r="C133" s="350">
        <v>9654227.6106153242</v>
      </c>
      <c r="D133" s="350">
        <v>18014799.48665864</v>
      </c>
      <c r="E133" s="350">
        <v>26438254.155008636</v>
      </c>
      <c r="F133" s="350">
        <v>34925225.748278916</v>
      </c>
      <c r="G133" s="350">
        <v>43477092.650906913</v>
      </c>
      <c r="H133" s="348">
        <v>132509599.65146843</v>
      </c>
      <c r="I133" s="369"/>
      <c r="J133" s="350">
        <v>10947707.872706164</v>
      </c>
      <c r="K133" s="350">
        <v>21830273.584381472</v>
      </c>
      <c r="L133" s="350">
        <v>32433409.423452027</v>
      </c>
      <c r="M133" s="350">
        <v>42749649.205934644</v>
      </c>
      <c r="N133" s="350">
        <v>52774155.454235449</v>
      </c>
      <c r="O133" s="348">
        <v>160735195.54070973</v>
      </c>
      <c r="P133" s="369"/>
      <c r="Q133" s="350">
        <f t="shared" si="69"/>
        <v>1293480.2620908394</v>
      </c>
      <c r="R133" s="350">
        <f t="shared" si="70"/>
        <v>3815474.0977228321</v>
      </c>
      <c r="S133" s="350">
        <f t="shared" si="71"/>
        <v>5995155.2684433907</v>
      </c>
      <c r="T133" s="350">
        <f t="shared" si="72"/>
        <v>7824423.4576557279</v>
      </c>
      <c r="U133" s="350">
        <f t="shared" si="73"/>
        <v>9297062.8033285365</v>
      </c>
      <c r="V133" s="350">
        <f t="shared" si="74"/>
        <v>28225595.889241308</v>
      </c>
      <c r="W133" s="365"/>
      <c r="X133" s="377">
        <f t="shared" si="52"/>
        <v>0</v>
      </c>
      <c r="Y133" s="377">
        <f t="shared" si="53"/>
        <v>0</v>
      </c>
      <c r="Z133" s="377">
        <f t="shared" si="54"/>
        <v>0</v>
      </c>
      <c r="AA133" s="377">
        <f t="shared" si="55"/>
        <v>0</v>
      </c>
      <c r="AB133" s="377">
        <f t="shared" si="56"/>
        <v>0</v>
      </c>
      <c r="AC133" s="377">
        <f t="shared" si="57"/>
        <v>0</v>
      </c>
      <c r="AD133" s="376"/>
      <c r="AE133" s="332">
        <v>118</v>
      </c>
      <c r="AF133" s="350">
        <v>4387350.2056468893</v>
      </c>
      <c r="AG133" s="350">
        <v>8809155.0295702592</v>
      </c>
      <c r="AH133" s="350">
        <v>13264424.308809157</v>
      </c>
      <c r="AI133" s="350">
        <v>17753305.767387737</v>
      </c>
      <c r="AJ133" s="350">
        <v>22276446.765138321</v>
      </c>
      <c r="AK133" s="348">
        <v>66490682.076552369</v>
      </c>
      <c r="AL133" s="369"/>
      <c r="AM133" s="350">
        <v>5184435.6225248212</v>
      </c>
      <c r="AN133" s="350">
        <v>11162107.932504684</v>
      </c>
      <c r="AO133" s="350">
        <v>16977577.874056414</v>
      </c>
      <c r="AP133" s="350">
        <v>22627329.690275997</v>
      </c>
      <c r="AQ133" s="350">
        <v>28109517.111628652</v>
      </c>
      <c r="AR133" s="348">
        <v>84060968.230990559</v>
      </c>
      <c r="AS133" s="369"/>
      <c r="AT133" s="350">
        <f t="shared" si="75"/>
        <v>797085.41687793192</v>
      </c>
      <c r="AU133" s="350">
        <f t="shared" si="58"/>
        <v>2352952.9029344246</v>
      </c>
      <c r="AV133" s="350">
        <f t="shared" si="59"/>
        <v>3713153.5652472563</v>
      </c>
      <c r="AW133" s="350">
        <f t="shared" si="60"/>
        <v>4874023.9228882603</v>
      </c>
      <c r="AX133" s="350">
        <f t="shared" si="61"/>
        <v>5833070.346490331</v>
      </c>
      <c r="AY133" s="350">
        <f t="shared" si="62"/>
        <v>17570286.15443819</v>
      </c>
      <c r="AZ133" s="365"/>
      <c r="BA133" s="377">
        <f t="shared" si="63"/>
        <v>0</v>
      </c>
      <c r="BB133" s="377">
        <f t="shared" si="64"/>
        <v>0</v>
      </c>
      <c r="BC133" s="377">
        <f t="shared" si="65"/>
        <v>0</v>
      </c>
      <c r="BD133" s="377">
        <f t="shared" si="66"/>
        <v>0</v>
      </c>
      <c r="BE133" s="377">
        <f t="shared" si="67"/>
        <v>0</v>
      </c>
      <c r="BF133" s="377">
        <f t="shared" si="68"/>
        <v>0</v>
      </c>
      <c r="BG133" s="328"/>
    </row>
    <row r="134" spans="2:59">
      <c r="B134" s="332">
        <v>119</v>
      </c>
      <c r="C134" s="350">
        <v>6657812.5954298247</v>
      </c>
      <c r="D134" s="350">
        <v>12631319.799535034</v>
      </c>
      <c r="E134" s="350">
        <v>18649824.809551876</v>
      </c>
      <c r="F134" s="350">
        <v>24713718.035012975</v>
      </c>
      <c r="G134" s="350">
        <v>30823957.044418439</v>
      </c>
      <c r="H134" s="348">
        <v>93476632.283948153</v>
      </c>
      <c r="I134" s="369"/>
      <c r="J134" s="350">
        <v>7425508.0259042652</v>
      </c>
      <c r="K134" s="350">
        <v>14893345.780340351</v>
      </c>
      <c r="L134" s="350">
        <v>22151657.321642488</v>
      </c>
      <c r="M134" s="350">
        <v>29195290.508313533</v>
      </c>
      <c r="N134" s="350">
        <v>36020812.043377176</v>
      </c>
      <c r="O134" s="348">
        <v>109686613.67957781</v>
      </c>
      <c r="P134" s="369"/>
      <c r="Q134" s="350">
        <f t="shared" si="69"/>
        <v>767695.43047444057</v>
      </c>
      <c r="R134" s="350">
        <f t="shared" si="70"/>
        <v>2262025.9808053169</v>
      </c>
      <c r="S134" s="350">
        <f t="shared" si="71"/>
        <v>3501832.5120906122</v>
      </c>
      <c r="T134" s="350">
        <f t="shared" si="72"/>
        <v>4481572.4733005576</v>
      </c>
      <c r="U134" s="350">
        <f t="shared" si="73"/>
        <v>5196854.9989587367</v>
      </c>
      <c r="V134" s="350">
        <f t="shared" si="74"/>
        <v>16209981.395629659</v>
      </c>
      <c r="W134" s="365"/>
      <c r="X134" s="377">
        <f t="shared" si="52"/>
        <v>0</v>
      </c>
      <c r="Y134" s="377">
        <f t="shared" si="53"/>
        <v>0</v>
      </c>
      <c r="Z134" s="377">
        <f t="shared" si="54"/>
        <v>0</v>
      </c>
      <c r="AA134" s="377">
        <f t="shared" si="55"/>
        <v>0</v>
      </c>
      <c r="AB134" s="377">
        <f t="shared" si="56"/>
        <v>0</v>
      </c>
      <c r="AC134" s="377">
        <f t="shared" si="57"/>
        <v>0</v>
      </c>
      <c r="AD134" s="376"/>
      <c r="AE134" s="332">
        <v>119</v>
      </c>
      <c r="AF134" s="350">
        <v>6691805.533092468</v>
      </c>
      <c r="AG134" s="350">
        <v>13436162.969820617</v>
      </c>
      <c r="AH134" s="350">
        <v>20231562.064211324</v>
      </c>
      <c r="AI134" s="350">
        <v>27078228.132320039</v>
      </c>
      <c r="AJ134" s="350">
        <v>33977148.559676692</v>
      </c>
      <c r="AK134" s="348">
        <v>101414907.25912113</v>
      </c>
      <c r="AL134" s="369"/>
      <c r="AM134" s="350">
        <v>7573800.1669079065</v>
      </c>
      <c r="AN134" s="350">
        <v>16035170.53786834</v>
      </c>
      <c r="AO134" s="350">
        <v>24239145.547775578</v>
      </c>
      <c r="AP134" s="350">
        <v>32180457.188367434</v>
      </c>
      <c r="AQ134" s="350">
        <v>39855951.416726023</v>
      </c>
      <c r="AR134" s="348">
        <v>119884524.85764527</v>
      </c>
      <c r="AS134" s="369"/>
      <c r="AT134" s="350">
        <f t="shared" si="75"/>
        <v>881994.63381543849</v>
      </c>
      <c r="AU134" s="350">
        <f t="shared" si="58"/>
        <v>2599007.5680477228</v>
      </c>
      <c r="AV134" s="350">
        <f t="shared" si="59"/>
        <v>4007583.4835642539</v>
      </c>
      <c r="AW134" s="350">
        <f t="shared" si="60"/>
        <v>5102229.0560473949</v>
      </c>
      <c r="AX134" s="350">
        <f t="shared" si="61"/>
        <v>5878802.8570493311</v>
      </c>
      <c r="AY134" s="350">
        <f t="shared" si="62"/>
        <v>18469617.598524138</v>
      </c>
      <c r="AZ134" s="365"/>
      <c r="BA134" s="377">
        <f t="shared" si="63"/>
        <v>0</v>
      </c>
      <c r="BB134" s="377">
        <f t="shared" si="64"/>
        <v>0</v>
      </c>
      <c r="BC134" s="377">
        <f t="shared" si="65"/>
        <v>0</v>
      </c>
      <c r="BD134" s="377">
        <f t="shared" si="66"/>
        <v>0</v>
      </c>
      <c r="BE134" s="377">
        <f t="shared" si="67"/>
        <v>0</v>
      </c>
      <c r="BF134" s="377">
        <f t="shared" si="68"/>
        <v>0</v>
      </c>
      <c r="BG134" s="328"/>
    </row>
    <row r="135" spans="2:59">
      <c r="B135" s="332">
        <v>120</v>
      </c>
      <c r="C135" s="350">
        <v>11070067.35402992</v>
      </c>
      <c r="D135" s="350">
        <v>20980903.873906635</v>
      </c>
      <c r="E135" s="350">
        <v>30966390.828713238</v>
      </c>
      <c r="F135" s="350">
        <v>41027182.194577143</v>
      </c>
      <c r="G135" s="350">
        <v>51164869.416895911</v>
      </c>
      <c r="H135" s="348">
        <v>155209413.66812283</v>
      </c>
      <c r="I135" s="369"/>
      <c r="J135" s="350">
        <v>12361571.137139644</v>
      </c>
      <c r="K135" s="350">
        <v>24786684.512773104</v>
      </c>
      <c r="L135" s="350">
        <v>36871848.741891444</v>
      </c>
      <c r="M135" s="350">
        <v>48608235.507459387</v>
      </c>
      <c r="N135" s="350">
        <v>59989876.789546236</v>
      </c>
      <c r="O135" s="348">
        <v>182618216.68880981</v>
      </c>
      <c r="P135" s="369"/>
      <c r="Q135" s="350">
        <f t="shared" si="69"/>
        <v>1291503.7831097245</v>
      </c>
      <c r="R135" s="350">
        <f t="shared" si="70"/>
        <v>3805780.6388664693</v>
      </c>
      <c r="S135" s="350">
        <f t="shared" si="71"/>
        <v>5905457.9131782055</v>
      </c>
      <c r="T135" s="350">
        <f t="shared" si="72"/>
        <v>7581053.3128822446</v>
      </c>
      <c r="U135" s="350">
        <f t="shared" si="73"/>
        <v>8825007.3726503253</v>
      </c>
      <c r="V135" s="350">
        <f t="shared" si="74"/>
        <v>27408803.020686984</v>
      </c>
      <c r="W135" s="365"/>
      <c r="X135" s="377">
        <f t="shared" si="52"/>
        <v>0</v>
      </c>
      <c r="Y135" s="377">
        <f t="shared" si="53"/>
        <v>0</v>
      </c>
      <c r="Z135" s="377">
        <f t="shared" si="54"/>
        <v>0</v>
      </c>
      <c r="AA135" s="377">
        <f t="shared" si="55"/>
        <v>0</v>
      </c>
      <c r="AB135" s="377">
        <f t="shared" si="56"/>
        <v>0</v>
      </c>
      <c r="AC135" s="377">
        <f t="shared" si="57"/>
        <v>0</v>
      </c>
      <c r="AD135" s="376"/>
      <c r="AE135" s="332">
        <v>120</v>
      </c>
      <c r="AF135" s="350">
        <v>7392469.3975993022</v>
      </c>
      <c r="AG135" s="350">
        <v>14842993.133073665</v>
      </c>
      <c r="AH135" s="350">
        <v>22349902.830514085</v>
      </c>
      <c r="AI135" s="350">
        <v>29913447.397638582</v>
      </c>
      <c r="AJ135" s="350">
        <v>37534717.603937931</v>
      </c>
      <c r="AK135" s="348">
        <v>112033530.36276355</v>
      </c>
      <c r="AL135" s="369"/>
      <c r="AM135" s="350">
        <v>8619519.7968750484</v>
      </c>
      <c r="AN135" s="350">
        <v>18463583.114510778</v>
      </c>
      <c r="AO135" s="350">
        <v>28030869.199003734</v>
      </c>
      <c r="AP135" s="350">
        <v>37315486.981735006</v>
      </c>
      <c r="AQ135" s="350">
        <v>46314208.109170437</v>
      </c>
      <c r="AR135" s="348">
        <v>138743667.20129502</v>
      </c>
      <c r="AS135" s="369"/>
      <c r="AT135" s="350">
        <f t="shared" si="75"/>
        <v>1227050.3992757462</v>
      </c>
      <c r="AU135" s="350">
        <f t="shared" si="58"/>
        <v>3620589.9814371131</v>
      </c>
      <c r="AV135" s="350">
        <f t="shared" si="59"/>
        <v>5680966.3684896491</v>
      </c>
      <c r="AW135" s="350">
        <f t="shared" si="60"/>
        <v>7402039.5840964243</v>
      </c>
      <c r="AX135" s="350">
        <f t="shared" si="61"/>
        <v>8779490.5052325055</v>
      </c>
      <c r="AY135" s="350">
        <f t="shared" si="62"/>
        <v>26710136.838531464</v>
      </c>
      <c r="AZ135" s="365"/>
      <c r="BA135" s="377">
        <f t="shared" si="63"/>
        <v>0</v>
      </c>
      <c r="BB135" s="377">
        <f t="shared" si="64"/>
        <v>0</v>
      </c>
      <c r="BC135" s="377">
        <f t="shared" si="65"/>
        <v>0</v>
      </c>
      <c r="BD135" s="377">
        <f t="shared" si="66"/>
        <v>0</v>
      </c>
      <c r="BE135" s="377">
        <f t="shared" si="67"/>
        <v>0</v>
      </c>
      <c r="BF135" s="377">
        <f t="shared" si="68"/>
        <v>0</v>
      </c>
      <c r="BG135" s="328"/>
    </row>
    <row r="136" spans="2:59">
      <c r="B136" s="332">
        <v>121</v>
      </c>
      <c r="C136" s="350">
        <v>11802493.460220085</v>
      </c>
      <c r="D136" s="350">
        <v>22472415.226431146</v>
      </c>
      <c r="E136" s="350">
        <v>33222738.186362706</v>
      </c>
      <c r="F136" s="350">
        <v>44054136.258777671</v>
      </c>
      <c r="G136" s="350">
        <v>54968309.66355598</v>
      </c>
      <c r="H136" s="348">
        <v>166520092.7953476</v>
      </c>
      <c r="I136" s="369"/>
      <c r="J136" s="350">
        <v>13098361.016529446</v>
      </c>
      <c r="K136" s="350">
        <v>26289262.135167237</v>
      </c>
      <c r="L136" s="350">
        <v>39111434.571292646</v>
      </c>
      <c r="M136" s="350">
        <v>51555364.572754279</v>
      </c>
      <c r="N136" s="350">
        <v>63614512.135790229</v>
      </c>
      <c r="O136" s="348">
        <v>193668934.43153381</v>
      </c>
      <c r="P136" s="369"/>
      <c r="Q136" s="350">
        <f t="shared" si="69"/>
        <v>1295867.556309361</v>
      </c>
      <c r="R136" s="350">
        <f t="shared" si="70"/>
        <v>3816846.9087360911</v>
      </c>
      <c r="S136" s="350">
        <f t="shared" si="71"/>
        <v>5888696.3849299401</v>
      </c>
      <c r="T136" s="350">
        <f t="shared" si="72"/>
        <v>7501228.3139766082</v>
      </c>
      <c r="U136" s="350">
        <f t="shared" si="73"/>
        <v>8646202.4722342491</v>
      </c>
      <c r="V136" s="350">
        <f t="shared" si="74"/>
        <v>27148841.636186212</v>
      </c>
      <c r="W136" s="365"/>
      <c r="X136" s="377">
        <f t="shared" si="52"/>
        <v>0</v>
      </c>
      <c r="Y136" s="377">
        <f t="shared" si="53"/>
        <v>0</v>
      </c>
      <c r="Z136" s="377">
        <f t="shared" si="54"/>
        <v>0</v>
      </c>
      <c r="AA136" s="377">
        <f t="shared" si="55"/>
        <v>0</v>
      </c>
      <c r="AB136" s="377">
        <f t="shared" si="56"/>
        <v>0</v>
      </c>
      <c r="AC136" s="377">
        <f t="shared" si="57"/>
        <v>0</v>
      </c>
      <c r="AD136" s="376"/>
      <c r="AE136" s="332">
        <v>121</v>
      </c>
      <c r="AF136" s="350">
        <v>5907763.3472921951</v>
      </c>
      <c r="AG136" s="350">
        <v>11861921.379635232</v>
      </c>
      <c r="AH136" s="350">
        <v>17861140.798301093</v>
      </c>
      <c r="AI136" s="350">
        <v>23905620.520297654</v>
      </c>
      <c r="AJ136" s="350">
        <v>29996232.244602803</v>
      </c>
      <c r="AK136" s="348">
        <v>89532678.290128976</v>
      </c>
      <c r="AL136" s="369"/>
      <c r="AM136" s="350">
        <v>6994084.8332115281</v>
      </c>
      <c r="AN136" s="350">
        <v>15068862.494913198</v>
      </c>
      <c r="AO136" s="350">
        <v>22925617.073268503</v>
      </c>
      <c r="AP136" s="350">
        <v>30559610.764508806</v>
      </c>
      <c r="AQ136" s="350">
        <v>37968370.660494685</v>
      </c>
      <c r="AR136" s="348">
        <v>113516545.82639672</v>
      </c>
      <c r="AS136" s="369"/>
      <c r="AT136" s="350">
        <f t="shared" si="75"/>
        <v>1086321.4859193331</v>
      </c>
      <c r="AU136" s="350">
        <f t="shared" si="58"/>
        <v>3206941.1152779665</v>
      </c>
      <c r="AV136" s="350">
        <f t="shared" si="59"/>
        <v>5064476.2749674097</v>
      </c>
      <c r="AW136" s="350">
        <f t="shared" si="60"/>
        <v>6653990.2442111522</v>
      </c>
      <c r="AX136" s="350">
        <f t="shared" si="61"/>
        <v>7972138.415891882</v>
      </c>
      <c r="AY136" s="350">
        <f t="shared" si="62"/>
        <v>23983867.536267743</v>
      </c>
      <c r="AZ136" s="365"/>
      <c r="BA136" s="377">
        <f t="shared" si="63"/>
        <v>0</v>
      </c>
      <c r="BB136" s="377">
        <f t="shared" si="64"/>
        <v>0</v>
      </c>
      <c r="BC136" s="377">
        <f t="shared" si="65"/>
        <v>0</v>
      </c>
      <c r="BD136" s="377">
        <f t="shared" si="66"/>
        <v>0</v>
      </c>
      <c r="BE136" s="377">
        <f t="shared" si="67"/>
        <v>0</v>
      </c>
      <c r="BF136" s="377">
        <f t="shared" si="68"/>
        <v>0</v>
      </c>
      <c r="BG136" s="328"/>
    </row>
    <row r="137" spans="2:59">
      <c r="B137" s="332">
        <v>122</v>
      </c>
      <c r="C137" s="350">
        <v>9231576.488380583</v>
      </c>
      <c r="D137" s="350">
        <v>17589497.923948139</v>
      </c>
      <c r="E137" s="350">
        <v>26010402.789718397</v>
      </c>
      <c r="F137" s="350">
        <v>34494815.45014827</v>
      </c>
      <c r="G137" s="350">
        <v>43044066.180260547</v>
      </c>
      <c r="H137" s="348">
        <v>130370358.83245593</v>
      </c>
      <c r="I137" s="369"/>
      <c r="J137" s="350">
        <v>10349829.398214759</v>
      </c>
      <c r="K137" s="350">
        <v>20885275.342428535</v>
      </c>
      <c r="L137" s="350">
        <v>31135858.5442665</v>
      </c>
      <c r="M137" s="350">
        <v>41094042.205432266</v>
      </c>
      <c r="N137" s="350">
        <v>50754752.942614473</v>
      </c>
      <c r="O137" s="348">
        <v>154219758.43295652</v>
      </c>
      <c r="P137" s="369"/>
      <c r="Q137" s="350">
        <f t="shared" si="69"/>
        <v>1118252.9098341763</v>
      </c>
      <c r="R137" s="350">
        <f t="shared" si="70"/>
        <v>3295777.4184803963</v>
      </c>
      <c r="S137" s="350">
        <f t="shared" si="71"/>
        <v>5125455.7545481026</v>
      </c>
      <c r="T137" s="350">
        <f t="shared" si="72"/>
        <v>6599226.7552839965</v>
      </c>
      <c r="U137" s="350">
        <f t="shared" si="73"/>
        <v>7710686.7623539269</v>
      </c>
      <c r="V137" s="350">
        <f t="shared" si="74"/>
        <v>23849399.600500584</v>
      </c>
      <c r="W137" s="365"/>
      <c r="X137" s="377">
        <f t="shared" si="52"/>
        <v>0</v>
      </c>
      <c r="Y137" s="377">
        <f t="shared" si="53"/>
        <v>0</v>
      </c>
      <c r="Z137" s="377">
        <f t="shared" si="54"/>
        <v>0</v>
      </c>
      <c r="AA137" s="377">
        <f t="shared" si="55"/>
        <v>0</v>
      </c>
      <c r="AB137" s="377">
        <f t="shared" si="56"/>
        <v>0</v>
      </c>
      <c r="AC137" s="377">
        <f t="shared" si="57"/>
        <v>0</v>
      </c>
      <c r="AD137" s="376"/>
      <c r="AE137" s="332">
        <v>122</v>
      </c>
      <c r="AF137" s="350">
        <v>7543540.9276595376</v>
      </c>
      <c r="AG137" s="350">
        <v>15146322.583989648</v>
      </c>
      <c r="AH137" s="350">
        <v>22806642.498371191</v>
      </c>
      <c r="AI137" s="350">
        <v>30524754.665167503</v>
      </c>
      <c r="AJ137" s="350">
        <v>38301772.144690879</v>
      </c>
      <c r="AK137" s="348">
        <v>114323032.81987876</v>
      </c>
      <c r="AL137" s="369"/>
      <c r="AM137" s="350">
        <v>9034194.9597388487</v>
      </c>
      <c r="AN137" s="350">
        <v>19548305.853007473</v>
      </c>
      <c r="AO137" s="350">
        <v>29787127.312702723</v>
      </c>
      <c r="AP137" s="350">
        <v>39744580.416596383</v>
      </c>
      <c r="AQ137" s="350">
        <v>49417612.40968217</v>
      </c>
      <c r="AR137" s="348">
        <v>147531820.9517276</v>
      </c>
      <c r="AS137" s="369"/>
      <c r="AT137" s="350">
        <f t="shared" si="75"/>
        <v>1490654.0320793111</v>
      </c>
      <c r="AU137" s="350">
        <f t="shared" si="58"/>
        <v>4401983.2690178249</v>
      </c>
      <c r="AV137" s="350">
        <f t="shared" si="59"/>
        <v>6980484.8143315315</v>
      </c>
      <c r="AW137" s="350">
        <f t="shared" si="60"/>
        <v>9219825.7514288798</v>
      </c>
      <c r="AX137" s="350">
        <f t="shared" si="61"/>
        <v>11115840.264991291</v>
      </c>
      <c r="AY137" s="350">
        <f t="shared" si="62"/>
        <v>33208788.131848842</v>
      </c>
      <c r="AZ137" s="365"/>
      <c r="BA137" s="377">
        <f t="shared" si="63"/>
        <v>0</v>
      </c>
      <c r="BB137" s="377">
        <f t="shared" si="64"/>
        <v>0</v>
      </c>
      <c r="BC137" s="377">
        <f t="shared" si="65"/>
        <v>0</v>
      </c>
      <c r="BD137" s="377">
        <f t="shared" si="66"/>
        <v>0</v>
      </c>
      <c r="BE137" s="377">
        <f t="shared" si="67"/>
        <v>0</v>
      </c>
      <c r="BF137" s="377">
        <f t="shared" si="68"/>
        <v>0</v>
      </c>
      <c r="BG137" s="328"/>
    </row>
    <row r="138" spans="2:59">
      <c r="B138" s="332">
        <v>123</v>
      </c>
      <c r="C138" s="350">
        <v>7086715.5844289651</v>
      </c>
      <c r="D138" s="350">
        <v>13297356.316836752</v>
      </c>
      <c r="E138" s="350">
        <v>19554733.856887754</v>
      </c>
      <c r="F138" s="350">
        <v>25859297.095292546</v>
      </c>
      <c r="G138" s="350">
        <v>32212060.315430969</v>
      </c>
      <c r="H138" s="348">
        <v>98010163.168876976</v>
      </c>
      <c r="I138" s="369"/>
      <c r="J138" s="350">
        <v>8261661.8743761424</v>
      </c>
      <c r="K138" s="350">
        <v>16766602.441114854</v>
      </c>
      <c r="L138" s="350">
        <v>25073043.060821928</v>
      </c>
      <c r="M138" s="350">
        <v>33175257.819605414</v>
      </c>
      <c r="N138" s="350">
        <v>41069759.482226722</v>
      </c>
      <c r="O138" s="348">
        <v>124346324.67814505</v>
      </c>
      <c r="P138" s="369"/>
      <c r="Q138" s="350">
        <f t="shared" si="69"/>
        <v>1174946.2899471773</v>
      </c>
      <c r="R138" s="350">
        <f t="shared" si="70"/>
        <v>3469246.1242781021</v>
      </c>
      <c r="S138" s="350">
        <f t="shared" si="71"/>
        <v>5518309.203934174</v>
      </c>
      <c r="T138" s="350">
        <f t="shared" si="72"/>
        <v>7315960.724312868</v>
      </c>
      <c r="U138" s="350">
        <f t="shared" si="73"/>
        <v>8857699.1667957529</v>
      </c>
      <c r="V138" s="350">
        <f t="shared" si="74"/>
        <v>26336161.509268075</v>
      </c>
      <c r="W138" s="365"/>
      <c r="X138" s="377">
        <f t="shared" si="52"/>
        <v>0</v>
      </c>
      <c r="Y138" s="377">
        <f t="shared" si="53"/>
        <v>0</v>
      </c>
      <c r="Z138" s="377">
        <f t="shared" si="54"/>
        <v>0</v>
      </c>
      <c r="AA138" s="377">
        <f t="shared" si="55"/>
        <v>0</v>
      </c>
      <c r="AB138" s="377">
        <f t="shared" si="56"/>
        <v>0</v>
      </c>
      <c r="AC138" s="377">
        <f t="shared" si="57"/>
        <v>0</v>
      </c>
      <c r="AD138" s="376"/>
      <c r="AE138" s="332">
        <v>123</v>
      </c>
      <c r="AF138" s="350">
        <v>4883185.5757826855</v>
      </c>
      <c r="AG138" s="350">
        <v>9804719.6505683139</v>
      </c>
      <c r="AH138" s="350">
        <v>14763500.158357602</v>
      </c>
      <c r="AI138" s="350">
        <v>19759691.518171169</v>
      </c>
      <c r="AJ138" s="350">
        <v>24794014.251063269</v>
      </c>
      <c r="AK138" s="348">
        <v>74005111.153943047</v>
      </c>
      <c r="AL138" s="369"/>
      <c r="AM138" s="350">
        <v>5917328.9610272581</v>
      </c>
      <c r="AN138" s="350">
        <v>12859477.286026886</v>
      </c>
      <c r="AO138" s="350">
        <v>19625493.943294913</v>
      </c>
      <c r="AP138" s="350">
        <v>26211424.273337133</v>
      </c>
      <c r="AQ138" s="350">
        <v>32615362.202663947</v>
      </c>
      <c r="AR138" s="348">
        <v>97229086.666350141</v>
      </c>
      <c r="AS138" s="369"/>
      <c r="AT138" s="350">
        <f t="shared" si="75"/>
        <v>1034143.3852445725</v>
      </c>
      <c r="AU138" s="350">
        <f t="shared" si="58"/>
        <v>3054757.6354585718</v>
      </c>
      <c r="AV138" s="350">
        <f t="shared" si="59"/>
        <v>4861993.784937311</v>
      </c>
      <c r="AW138" s="350">
        <f t="shared" si="60"/>
        <v>6451732.7551659644</v>
      </c>
      <c r="AX138" s="350">
        <f t="shared" si="61"/>
        <v>7821347.9516006783</v>
      </c>
      <c r="AY138" s="350">
        <f t="shared" si="62"/>
        <v>23223975.512407094</v>
      </c>
      <c r="AZ138" s="365"/>
      <c r="BA138" s="377">
        <f t="shared" si="63"/>
        <v>0</v>
      </c>
      <c r="BB138" s="377">
        <f t="shared" si="64"/>
        <v>0</v>
      </c>
      <c r="BC138" s="377">
        <f t="shared" si="65"/>
        <v>0</v>
      </c>
      <c r="BD138" s="377">
        <f t="shared" si="66"/>
        <v>0</v>
      </c>
      <c r="BE138" s="377">
        <f t="shared" si="67"/>
        <v>0</v>
      </c>
      <c r="BF138" s="377">
        <f t="shared" si="68"/>
        <v>0</v>
      </c>
      <c r="BG138" s="328"/>
    </row>
    <row r="139" spans="2:59">
      <c r="B139" s="332">
        <v>124</v>
      </c>
      <c r="C139" s="350">
        <v>7304441.642312442</v>
      </c>
      <c r="D139" s="350">
        <v>13564594.865507441</v>
      </c>
      <c r="E139" s="350">
        <v>19871811.161113616</v>
      </c>
      <c r="F139" s="350">
        <v>26226585.100086857</v>
      </c>
      <c r="G139" s="350">
        <v>32629957.370203584</v>
      </c>
      <c r="H139" s="348">
        <v>99597390.139223933</v>
      </c>
      <c r="I139" s="369"/>
      <c r="J139" s="350">
        <v>8535115.036437612</v>
      </c>
      <c r="K139" s="350">
        <v>17198979.715997327</v>
      </c>
      <c r="L139" s="350">
        <v>25665596.286894284</v>
      </c>
      <c r="M139" s="350">
        <v>33929154.807843991</v>
      </c>
      <c r="N139" s="350">
        <v>41986135.697927505</v>
      </c>
      <c r="O139" s="348">
        <v>127314981.54510072</v>
      </c>
      <c r="P139" s="369"/>
      <c r="Q139" s="350">
        <f t="shared" si="69"/>
        <v>1230673.3941251701</v>
      </c>
      <c r="R139" s="350">
        <f t="shared" si="70"/>
        <v>3634384.8504898865</v>
      </c>
      <c r="S139" s="350">
        <f t="shared" si="71"/>
        <v>5793785.1257806681</v>
      </c>
      <c r="T139" s="350">
        <f t="shared" si="72"/>
        <v>7702569.707757134</v>
      </c>
      <c r="U139" s="350">
        <f t="shared" si="73"/>
        <v>9356178.3277239203</v>
      </c>
      <c r="V139" s="350">
        <f t="shared" si="74"/>
        <v>27717591.405876786</v>
      </c>
      <c r="W139" s="365"/>
      <c r="X139" s="377">
        <f t="shared" si="52"/>
        <v>0</v>
      </c>
      <c r="Y139" s="377">
        <f t="shared" si="53"/>
        <v>0</v>
      </c>
      <c r="Z139" s="377">
        <f t="shared" si="54"/>
        <v>0</v>
      </c>
      <c r="AA139" s="377">
        <f t="shared" si="55"/>
        <v>0</v>
      </c>
      <c r="AB139" s="377">
        <f t="shared" si="56"/>
        <v>0</v>
      </c>
      <c r="AC139" s="377">
        <f t="shared" si="57"/>
        <v>0</v>
      </c>
      <c r="AD139" s="376"/>
      <c r="AE139" s="332">
        <v>124</v>
      </c>
      <c r="AF139" s="350">
        <v>7848980.7964351755</v>
      </c>
      <c r="AG139" s="350">
        <v>15759600.993539242</v>
      </c>
      <c r="AH139" s="350">
        <v>23730089.187229648</v>
      </c>
      <c r="AI139" s="350">
        <v>31760709.656165358</v>
      </c>
      <c r="AJ139" s="350">
        <v>39852620.528750561</v>
      </c>
      <c r="AK139" s="348">
        <v>118952001.16211998</v>
      </c>
      <c r="AL139" s="369"/>
      <c r="AM139" s="350">
        <v>9268028.2389787007</v>
      </c>
      <c r="AN139" s="350">
        <v>19948456.545945451</v>
      </c>
      <c r="AO139" s="350">
        <v>30338496.531134196</v>
      </c>
      <c r="AP139" s="350">
        <v>40431860.459413178</v>
      </c>
      <c r="AQ139" s="350">
        <v>50225238.320822813</v>
      </c>
      <c r="AR139" s="348">
        <v>150212080.09629434</v>
      </c>
      <c r="AS139" s="369"/>
      <c r="AT139" s="350">
        <f t="shared" si="75"/>
        <v>1419047.4425435252</v>
      </c>
      <c r="AU139" s="350">
        <f t="shared" si="58"/>
        <v>4188855.5524062086</v>
      </c>
      <c r="AV139" s="350">
        <f t="shared" si="59"/>
        <v>6608407.3439045474</v>
      </c>
      <c r="AW139" s="350">
        <f t="shared" si="60"/>
        <v>8671150.8032478206</v>
      </c>
      <c r="AX139" s="350">
        <f t="shared" si="61"/>
        <v>10372617.792072251</v>
      </c>
      <c r="AY139" s="350">
        <f t="shared" si="62"/>
        <v>31260078.934174359</v>
      </c>
      <c r="AZ139" s="365"/>
      <c r="BA139" s="377">
        <f t="shared" si="63"/>
        <v>0</v>
      </c>
      <c r="BB139" s="377">
        <f t="shared" si="64"/>
        <v>0</v>
      </c>
      <c r="BC139" s="377">
        <f t="shared" si="65"/>
        <v>0</v>
      </c>
      <c r="BD139" s="377">
        <f t="shared" si="66"/>
        <v>0</v>
      </c>
      <c r="BE139" s="377">
        <f t="shared" si="67"/>
        <v>0</v>
      </c>
      <c r="BF139" s="377">
        <f t="shared" si="68"/>
        <v>0</v>
      </c>
      <c r="BG139" s="328"/>
    </row>
    <row r="140" spans="2:59">
      <c r="B140" s="332">
        <v>125</v>
      </c>
      <c r="C140" s="350">
        <v>9414974.7609280925</v>
      </c>
      <c r="D140" s="350">
        <v>17630227.175248034</v>
      </c>
      <c r="E140" s="350">
        <v>25907289.914330803</v>
      </c>
      <c r="F140" s="350">
        <v>34246767.431562126</v>
      </c>
      <c r="G140" s="350">
        <v>42650006.035319358</v>
      </c>
      <c r="H140" s="348">
        <v>129849265.31738842</v>
      </c>
      <c r="I140" s="369"/>
      <c r="J140" s="350">
        <v>11208145.849815248</v>
      </c>
      <c r="K140" s="350">
        <v>22928009.387584589</v>
      </c>
      <c r="L140" s="350">
        <v>34391316.675592087</v>
      </c>
      <c r="M140" s="350">
        <v>45590483.024740025</v>
      </c>
      <c r="N140" s="350">
        <v>56521190.380617984</v>
      </c>
      <c r="O140" s="348">
        <v>170639145.31834993</v>
      </c>
      <c r="P140" s="369"/>
      <c r="Q140" s="350">
        <f t="shared" si="69"/>
        <v>1793171.0888871551</v>
      </c>
      <c r="R140" s="350">
        <f t="shared" si="70"/>
        <v>5297782.2123365551</v>
      </c>
      <c r="S140" s="350">
        <f t="shared" si="71"/>
        <v>8484026.7612612844</v>
      </c>
      <c r="T140" s="350">
        <f t="shared" si="72"/>
        <v>11343715.5931779</v>
      </c>
      <c r="U140" s="350">
        <f t="shared" si="73"/>
        <v>13871184.345298626</v>
      </c>
      <c r="V140" s="350">
        <f t="shared" si="74"/>
        <v>40789880.000961512</v>
      </c>
      <c r="W140" s="365"/>
      <c r="X140" s="377">
        <f t="shared" si="52"/>
        <v>0</v>
      </c>
      <c r="Y140" s="377">
        <f t="shared" si="53"/>
        <v>0</v>
      </c>
      <c r="Z140" s="377">
        <f t="shared" si="54"/>
        <v>0</v>
      </c>
      <c r="AA140" s="377">
        <f t="shared" si="55"/>
        <v>0</v>
      </c>
      <c r="AB140" s="377">
        <f t="shared" si="56"/>
        <v>0</v>
      </c>
      <c r="AC140" s="377">
        <f t="shared" si="57"/>
        <v>0</v>
      </c>
      <c r="AD140" s="376"/>
      <c r="AE140" s="332">
        <v>125</v>
      </c>
      <c r="AF140" s="350">
        <v>7654770.557589286</v>
      </c>
      <c r="AG140" s="350">
        <v>15369655.349327542</v>
      </c>
      <c r="AH140" s="350">
        <v>23142926.801639501</v>
      </c>
      <c r="AI140" s="350">
        <v>30974842.654039387</v>
      </c>
      <c r="AJ140" s="350">
        <v>38866532.378931351</v>
      </c>
      <c r="AK140" s="348">
        <v>116008727.74152705</v>
      </c>
      <c r="AL140" s="369"/>
      <c r="AM140" s="350">
        <v>9019527.6060677879</v>
      </c>
      <c r="AN140" s="350">
        <v>19397987.061172407</v>
      </c>
      <c r="AO140" s="350">
        <v>29492668.981836259</v>
      </c>
      <c r="AP140" s="350">
        <v>39297446.637043312</v>
      </c>
      <c r="AQ140" s="350">
        <v>48809072.494435832</v>
      </c>
      <c r="AR140" s="348">
        <v>146016702.78055561</v>
      </c>
      <c r="AS140" s="369"/>
      <c r="AT140" s="350">
        <f t="shared" si="75"/>
        <v>1364757.0484785018</v>
      </c>
      <c r="AU140" s="350">
        <f t="shared" si="58"/>
        <v>4028331.7118448652</v>
      </c>
      <c r="AV140" s="350">
        <f t="shared" si="59"/>
        <v>6349742.1801967584</v>
      </c>
      <c r="AW140" s="350">
        <f t="shared" si="60"/>
        <v>8322603.9830039255</v>
      </c>
      <c r="AX140" s="350">
        <f t="shared" si="61"/>
        <v>9942540.1155044809</v>
      </c>
      <c r="AY140" s="350">
        <f t="shared" si="62"/>
        <v>30007975.039028555</v>
      </c>
      <c r="AZ140" s="365"/>
      <c r="BA140" s="377">
        <f t="shared" si="63"/>
        <v>0</v>
      </c>
      <c r="BB140" s="377">
        <f t="shared" si="64"/>
        <v>0</v>
      </c>
      <c r="BC140" s="377">
        <f t="shared" si="65"/>
        <v>0</v>
      </c>
      <c r="BD140" s="377">
        <f t="shared" si="66"/>
        <v>0</v>
      </c>
      <c r="BE140" s="377">
        <f t="shared" si="67"/>
        <v>0</v>
      </c>
      <c r="BF140" s="377">
        <f t="shared" si="68"/>
        <v>0</v>
      </c>
      <c r="BG140" s="328"/>
    </row>
    <row r="141" spans="2:59">
      <c r="B141" s="332">
        <v>126</v>
      </c>
      <c r="C141" s="350">
        <v>10921282.940421849</v>
      </c>
      <c r="D141" s="350">
        <v>20327695.14208018</v>
      </c>
      <c r="E141" s="350">
        <v>29804839.201870605</v>
      </c>
      <c r="F141" s="350">
        <v>39353444.085487708</v>
      </c>
      <c r="G141" s="350">
        <v>48975067.349763319</v>
      </c>
      <c r="H141" s="348">
        <v>149382328.71962368</v>
      </c>
      <c r="I141" s="369"/>
      <c r="J141" s="350">
        <v>12492349.536292113</v>
      </c>
      <c r="K141" s="350">
        <v>24963868.257698424</v>
      </c>
      <c r="L141" s="350">
        <v>37126032.812616661</v>
      </c>
      <c r="M141" s="350">
        <v>48970396.805446602</v>
      </c>
      <c r="N141" s="350">
        <v>60491610.74937173</v>
      </c>
      <c r="O141" s="348">
        <v>184044258.16142553</v>
      </c>
      <c r="P141" s="369"/>
      <c r="Q141" s="350">
        <f t="shared" si="69"/>
        <v>1571066.5958702639</v>
      </c>
      <c r="R141" s="350">
        <f t="shared" si="70"/>
        <v>4636173.1156182438</v>
      </c>
      <c r="S141" s="350">
        <f t="shared" si="71"/>
        <v>7321193.6107460558</v>
      </c>
      <c r="T141" s="350">
        <f t="shared" si="72"/>
        <v>9616952.719958894</v>
      </c>
      <c r="U141" s="350">
        <f t="shared" si="73"/>
        <v>11516543.399608411</v>
      </c>
      <c r="V141" s="350">
        <f t="shared" si="74"/>
        <v>34661929.441801846</v>
      </c>
      <c r="W141" s="365"/>
      <c r="X141" s="377">
        <f t="shared" si="52"/>
        <v>0</v>
      </c>
      <c r="Y141" s="377">
        <f t="shared" si="53"/>
        <v>0</v>
      </c>
      <c r="Z141" s="377">
        <f t="shared" si="54"/>
        <v>0</v>
      </c>
      <c r="AA141" s="377">
        <f t="shared" si="55"/>
        <v>0</v>
      </c>
      <c r="AB141" s="377">
        <f t="shared" si="56"/>
        <v>0</v>
      </c>
      <c r="AC141" s="377">
        <f t="shared" si="57"/>
        <v>0</v>
      </c>
      <c r="AD141" s="376"/>
      <c r="AE141" s="332">
        <v>126</v>
      </c>
      <c r="AF141" s="350">
        <v>4816952.108315073</v>
      </c>
      <c r="AG141" s="350">
        <v>9671732.5727833584</v>
      </c>
      <c r="AH141" s="350">
        <v>14563254.275363497</v>
      </c>
      <c r="AI141" s="350">
        <v>19491679.40496593</v>
      </c>
      <c r="AJ141" s="350">
        <v>24457718.709801532</v>
      </c>
      <c r="AK141" s="348">
        <v>73001337.071229398</v>
      </c>
      <c r="AL141" s="369"/>
      <c r="AM141" s="350">
        <v>5595410.2911155084</v>
      </c>
      <c r="AN141" s="350">
        <v>11968368.564665191</v>
      </c>
      <c r="AO141" s="350">
        <v>18160346.397224762</v>
      </c>
      <c r="AP141" s="350">
        <v>24167511.11862468</v>
      </c>
      <c r="AQ141" s="350">
        <v>29987737.765125263</v>
      </c>
      <c r="AR141" s="348">
        <v>89879374.136755407</v>
      </c>
      <c r="AS141" s="369"/>
      <c r="AT141" s="350">
        <f t="shared" si="75"/>
        <v>778458.18280043546</v>
      </c>
      <c r="AU141" s="350">
        <f t="shared" si="58"/>
        <v>2296635.9918818325</v>
      </c>
      <c r="AV141" s="350">
        <f t="shared" si="59"/>
        <v>3597092.1218612641</v>
      </c>
      <c r="AW141" s="350">
        <f t="shared" si="60"/>
        <v>4675831.7136587501</v>
      </c>
      <c r="AX141" s="350">
        <f t="shared" si="61"/>
        <v>5530019.0553237312</v>
      </c>
      <c r="AY141" s="350">
        <f t="shared" si="62"/>
        <v>16878037.065526009</v>
      </c>
      <c r="AZ141" s="365"/>
      <c r="BA141" s="377">
        <f t="shared" si="63"/>
        <v>0</v>
      </c>
      <c r="BB141" s="377">
        <f t="shared" si="64"/>
        <v>0</v>
      </c>
      <c r="BC141" s="377">
        <f t="shared" si="65"/>
        <v>0</v>
      </c>
      <c r="BD141" s="377">
        <f t="shared" si="66"/>
        <v>0</v>
      </c>
      <c r="BE141" s="377">
        <f t="shared" si="67"/>
        <v>0</v>
      </c>
      <c r="BF141" s="377">
        <f t="shared" si="68"/>
        <v>0</v>
      </c>
      <c r="BG141" s="328"/>
    </row>
    <row r="142" spans="2:59">
      <c r="B142" s="332">
        <v>127</v>
      </c>
      <c r="C142" s="350">
        <v>8207543.2822495159</v>
      </c>
      <c r="D142" s="350">
        <v>15517213.010358792</v>
      </c>
      <c r="E142" s="350">
        <v>22881928.331449479</v>
      </c>
      <c r="F142" s="350">
        <v>30302182.781155236</v>
      </c>
      <c r="G142" s="350">
        <v>37779154.992253616</v>
      </c>
      <c r="H142" s="348">
        <v>114688022.39746664</v>
      </c>
      <c r="I142" s="369"/>
      <c r="J142" s="350">
        <v>9517818.2921998091</v>
      </c>
      <c r="K142" s="350">
        <v>19385096.495547842</v>
      </c>
      <c r="L142" s="350">
        <v>29022621.970991571</v>
      </c>
      <c r="M142" s="350">
        <v>38423400.831701994</v>
      </c>
      <c r="N142" s="350">
        <v>47582990.302612275</v>
      </c>
      <c r="O142" s="348">
        <v>143931927.89305347</v>
      </c>
      <c r="P142" s="369"/>
      <c r="Q142" s="350">
        <f t="shared" si="69"/>
        <v>1310275.0099502932</v>
      </c>
      <c r="R142" s="350">
        <f t="shared" si="70"/>
        <v>3867883.4851890504</v>
      </c>
      <c r="S142" s="350">
        <f t="shared" si="71"/>
        <v>6140693.6395420916</v>
      </c>
      <c r="T142" s="350">
        <f t="shared" si="72"/>
        <v>8121218.0505467579</v>
      </c>
      <c r="U142" s="350">
        <f t="shared" si="73"/>
        <v>9803835.3103586584</v>
      </c>
      <c r="V142" s="350">
        <f t="shared" si="74"/>
        <v>29243905.495586827</v>
      </c>
      <c r="W142" s="365"/>
      <c r="X142" s="377">
        <f t="shared" si="52"/>
        <v>0</v>
      </c>
      <c r="Y142" s="377">
        <f t="shared" si="53"/>
        <v>0</v>
      </c>
      <c r="Z142" s="377">
        <f t="shared" si="54"/>
        <v>0</v>
      </c>
      <c r="AA142" s="377">
        <f t="shared" si="55"/>
        <v>0</v>
      </c>
      <c r="AB142" s="377">
        <f t="shared" si="56"/>
        <v>0</v>
      </c>
      <c r="AC142" s="377">
        <f t="shared" si="57"/>
        <v>0</v>
      </c>
      <c r="AD142" s="376"/>
      <c r="AE142" s="332">
        <v>127</v>
      </c>
      <c r="AF142" s="350">
        <v>6967514.415989995</v>
      </c>
      <c r="AG142" s="350">
        <v>13989745.925051298</v>
      </c>
      <c r="AH142" s="350">
        <v>21065122.057610881</v>
      </c>
      <c r="AI142" s="350">
        <v>28193877.412964359</v>
      </c>
      <c r="AJ142" s="350">
        <v>35377040.057883844</v>
      </c>
      <c r="AK142" s="348">
        <v>105593299.86950038</v>
      </c>
      <c r="AL142" s="369"/>
      <c r="AM142" s="350">
        <v>8463734.5610857923</v>
      </c>
      <c r="AN142" s="350">
        <v>18409676.717039023</v>
      </c>
      <c r="AO142" s="350">
        <v>28104926.455467544</v>
      </c>
      <c r="AP142" s="350">
        <v>37543835.273324296</v>
      </c>
      <c r="AQ142" s="350">
        <v>46723704.441586696</v>
      </c>
      <c r="AR142" s="348">
        <v>139245877.44850335</v>
      </c>
      <c r="AS142" s="369"/>
      <c r="AT142" s="350">
        <f t="shared" si="75"/>
        <v>1496220.1450957973</v>
      </c>
      <c r="AU142" s="350">
        <f t="shared" si="58"/>
        <v>4419930.7919877246</v>
      </c>
      <c r="AV142" s="350">
        <f t="shared" si="59"/>
        <v>7039804.3978566639</v>
      </c>
      <c r="AW142" s="350">
        <f t="shared" si="60"/>
        <v>9349957.860359937</v>
      </c>
      <c r="AX142" s="350">
        <f t="shared" si="61"/>
        <v>11346664.383702852</v>
      </c>
      <c r="AY142" s="350">
        <f t="shared" si="62"/>
        <v>33652577.579002962</v>
      </c>
      <c r="AZ142" s="365"/>
      <c r="BA142" s="377">
        <f t="shared" si="63"/>
        <v>0</v>
      </c>
      <c r="BB142" s="377">
        <f t="shared" si="64"/>
        <v>0</v>
      </c>
      <c r="BC142" s="377">
        <f t="shared" si="65"/>
        <v>0</v>
      </c>
      <c r="BD142" s="377">
        <f t="shared" si="66"/>
        <v>0</v>
      </c>
      <c r="BE142" s="377">
        <f t="shared" si="67"/>
        <v>0</v>
      </c>
      <c r="BF142" s="377">
        <f t="shared" si="68"/>
        <v>0</v>
      </c>
      <c r="BG142" s="328"/>
    </row>
    <row r="143" spans="2:59">
      <c r="B143" s="332">
        <v>128</v>
      </c>
      <c r="C143" s="350">
        <v>7414031.2389203208</v>
      </c>
      <c r="D143" s="350">
        <v>14031804.342010235</v>
      </c>
      <c r="E143" s="350">
        <v>20699417.476673134</v>
      </c>
      <c r="F143" s="350">
        <v>27417313.121095277</v>
      </c>
      <c r="G143" s="350">
        <v>34186556.455467485</v>
      </c>
      <c r="H143" s="348">
        <v>103749122.63416645</v>
      </c>
      <c r="I143" s="369"/>
      <c r="J143" s="350">
        <v>8352887.4788452629</v>
      </c>
      <c r="K143" s="350">
        <v>16799861.517828617</v>
      </c>
      <c r="L143" s="350">
        <v>25029101.046165671</v>
      </c>
      <c r="M143" s="350">
        <v>33034421.746019762</v>
      </c>
      <c r="N143" s="350">
        <v>40811634.284687608</v>
      </c>
      <c r="O143" s="348">
        <v>124027906.07354693</v>
      </c>
      <c r="P143" s="369"/>
      <c r="Q143" s="350">
        <f t="shared" si="69"/>
        <v>938856.23992494214</v>
      </c>
      <c r="R143" s="350">
        <f t="shared" si="70"/>
        <v>2768057.1758183818</v>
      </c>
      <c r="S143" s="350">
        <f t="shared" si="71"/>
        <v>4329683.5694925375</v>
      </c>
      <c r="T143" s="350">
        <f t="shared" si="72"/>
        <v>5617108.6249244846</v>
      </c>
      <c r="U143" s="350">
        <f t="shared" si="73"/>
        <v>6625077.8292201236</v>
      </c>
      <c r="V143" s="350">
        <f t="shared" si="74"/>
        <v>20278783.439380482</v>
      </c>
      <c r="W143" s="365"/>
      <c r="X143" s="377">
        <f t="shared" si="52"/>
        <v>0</v>
      </c>
      <c r="Y143" s="377">
        <f t="shared" si="53"/>
        <v>0</v>
      </c>
      <c r="Z143" s="377">
        <f t="shared" si="54"/>
        <v>0</v>
      </c>
      <c r="AA143" s="377">
        <f t="shared" si="55"/>
        <v>0</v>
      </c>
      <c r="AB143" s="377">
        <f t="shared" si="56"/>
        <v>0</v>
      </c>
      <c r="AC143" s="377">
        <f t="shared" si="57"/>
        <v>0</v>
      </c>
      <c r="AD143" s="376"/>
      <c r="AE143" s="332">
        <v>128</v>
      </c>
      <c r="AF143" s="350">
        <v>5207606.3849612512</v>
      </c>
      <c r="AG143" s="350">
        <v>10456109.001524225</v>
      </c>
      <c r="AH143" s="350">
        <v>15744332.566496126</v>
      </c>
      <c r="AI143" s="350">
        <v>21072452.422289878</v>
      </c>
      <c r="AJ143" s="350">
        <v>26441236.958716676</v>
      </c>
      <c r="AK143" s="348">
        <v>78921737.33398816</v>
      </c>
      <c r="AL143" s="369"/>
      <c r="AM143" s="350">
        <v>6190862.683612871</v>
      </c>
      <c r="AN143" s="350">
        <v>13359139.429365758</v>
      </c>
      <c r="AO143" s="350">
        <v>20336001.159377541</v>
      </c>
      <c r="AP143" s="350">
        <v>27117264.306171063</v>
      </c>
      <c r="AQ143" s="350">
        <v>33700775.045366809</v>
      </c>
      <c r="AR143" s="348">
        <v>100704042.62389404</v>
      </c>
      <c r="AS143" s="369"/>
      <c r="AT143" s="350">
        <f t="shared" si="75"/>
        <v>983256.29865161981</v>
      </c>
      <c r="AU143" s="350">
        <f t="shared" si="58"/>
        <v>2903030.427841533</v>
      </c>
      <c r="AV143" s="350">
        <f t="shared" si="59"/>
        <v>4591668.592881415</v>
      </c>
      <c r="AW143" s="350">
        <f t="shared" si="60"/>
        <v>6044811.8838811852</v>
      </c>
      <c r="AX143" s="350">
        <f t="shared" si="61"/>
        <v>7259538.0866501331</v>
      </c>
      <c r="AY143" s="350">
        <f t="shared" si="62"/>
        <v>21782305.289905876</v>
      </c>
      <c r="AZ143" s="365"/>
      <c r="BA143" s="377">
        <f t="shared" si="63"/>
        <v>0</v>
      </c>
      <c r="BB143" s="377">
        <f t="shared" si="64"/>
        <v>0</v>
      </c>
      <c r="BC143" s="377">
        <f t="shared" si="65"/>
        <v>0</v>
      </c>
      <c r="BD143" s="377">
        <f t="shared" si="66"/>
        <v>0</v>
      </c>
      <c r="BE143" s="377">
        <f t="shared" si="67"/>
        <v>0</v>
      </c>
      <c r="BF143" s="377">
        <f t="shared" si="68"/>
        <v>0</v>
      </c>
      <c r="BG143" s="328"/>
    </row>
    <row r="144" spans="2:59">
      <c r="B144" s="332">
        <v>129</v>
      </c>
      <c r="C144" s="350">
        <v>9244586.985733889</v>
      </c>
      <c r="D144" s="350">
        <v>17468429.169918261</v>
      </c>
      <c r="E144" s="350">
        <v>25754198.098133575</v>
      </c>
      <c r="F144" s="350">
        <v>34102451.792043455</v>
      </c>
      <c r="G144" s="350">
        <v>42514517.490371063</v>
      </c>
      <c r="H144" s="348">
        <v>129084183.53620024</v>
      </c>
      <c r="I144" s="369"/>
      <c r="J144" s="350">
        <v>10667295.992433848</v>
      </c>
      <c r="K144" s="350">
        <v>21667487.291344471</v>
      </c>
      <c r="L144" s="350">
        <v>32402200.211428821</v>
      </c>
      <c r="M144" s="350">
        <v>42863783.099774376</v>
      </c>
      <c r="N144" s="350">
        <v>53047394.415308237</v>
      </c>
      <c r="O144" s="348">
        <v>160648161.01028976</v>
      </c>
      <c r="P144" s="369"/>
      <c r="Q144" s="350">
        <f t="shared" si="69"/>
        <v>1422709.0066999588</v>
      </c>
      <c r="R144" s="350">
        <f t="shared" si="70"/>
        <v>4199058.1214262098</v>
      </c>
      <c r="S144" s="350">
        <f t="shared" si="71"/>
        <v>6648002.1132952459</v>
      </c>
      <c r="T144" s="350">
        <f t="shared" si="72"/>
        <v>8761331.3077309206</v>
      </c>
      <c r="U144" s="350">
        <f t="shared" si="73"/>
        <v>10532876.924937174</v>
      </c>
      <c r="V144" s="350">
        <f t="shared" si="74"/>
        <v>31563977.474089518</v>
      </c>
      <c r="W144" s="365"/>
      <c r="X144" s="377">
        <f t="shared" ref="X144:X207" si="76">IF(Q144&lt;Q$8,1,0)</f>
        <v>0</v>
      </c>
      <c r="Y144" s="377">
        <f t="shared" ref="Y144:Y207" si="77">IF(R144&lt;R$8,1,0)</f>
        <v>0</v>
      </c>
      <c r="Z144" s="377">
        <f t="shared" ref="Z144:Z207" si="78">IF(S144&lt;S$8,1,0)</f>
        <v>0</v>
      </c>
      <c r="AA144" s="377">
        <f t="shared" ref="AA144:AA207" si="79">IF(T144&lt;T$8,1,0)</f>
        <v>0</v>
      </c>
      <c r="AB144" s="377">
        <f t="shared" ref="AB144:AB207" si="80">IF(U144&lt;U$8,1,0)</f>
        <v>0</v>
      </c>
      <c r="AC144" s="377">
        <f t="shared" ref="AC144:AC207" si="81">IF(V144&lt;V$8,1,0)</f>
        <v>0</v>
      </c>
      <c r="AD144" s="376"/>
      <c r="AE144" s="332">
        <v>129</v>
      </c>
      <c r="AF144" s="350">
        <v>8111475.3513332792</v>
      </c>
      <c r="AG144" s="350">
        <v>16286651.518372938</v>
      </c>
      <c r="AH144" s="350">
        <v>24523697.855723672</v>
      </c>
      <c r="AI144" s="350">
        <v>32822887.480352342</v>
      </c>
      <c r="AJ144" s="350">
        <v>41185417.25211221</v>
      </c>
      <c r="AK144" s="348">
        <v>122930129.45789444</v>
      </c>
      <c r="AL144" s="369"/>
      <c r="AM144" s="350">
        <v>9170337.4644087777</v>
      </c>
      <c r="AN144" s="350">
        <v>19406646.917364448</v>
      </c>
      <c r="AO144" s="350">
        <v>29330647.523229524</v>
      </c>
      <c r="AP144" s="350">
        <v>38935956.561758012</v>
      </c>
      <c r="AQ144" s="350">
        <v>48218740.479346849</v>
      </c>
      <c r="AR144" s="348">
        <v>145062328.9461076</v>
      </c>
      <c r="AS144" s="369"/>
      <c r="AT144" s="350">
        <f t="shared" si="75"/>
        <v>1058862.1130754985</v>
      </c>
      <c r="AU144" s="350">
        <f t="shared" ref="AU144:AU207" si="82">AN144-AG144</f>
        <v>3119995.3989915103</v>
      </c>
      <c r="AV144" s="350">
        <f t="shared" ref="AV144:AV207" si="83">AO144-AH144</f>
        <v>4806949.6675058529</v>
      </c>
      <c r="AW144" s="350">
        <f t="shared" ref="AW144:AW207" si="84">AP144-AI144</f>
        <v>6113069.0814056695</v>
      </c>
      <c r="AX144" s="350">
        <f t="shared" ref="AX144:AX207" si="85">AQ144-AJ144</f>
        <v>7033323.2272346392</v>
      </c>
      <c r="AY144" s="350">
        <f t="shared" ref="AY144:AY207" si="86">AR144-AK144</f>
        <v>22132199.488213152</v>
      </c>
      <c r="AZ144" s="365"/>
      <c r="BA144" s="377">
        <f t="shared" ref="BA144:BA207" si="87">IF(AT144&lt;AT$8,1,0)</f>
        <v>0</v>
      </c>
      <c r="BB144" s="377">
        <f t="shared" ref="BB144:BB207" si="88">IF(AU144&lt;AU$8,1,0)</f>
        <v>0</v>
      </c>
      <c r="BC144" s="377">
        <f t="shared" ref="BC144:BC207" si="89">IF(AV144&lt;AV$8,1,0)</f>
        <v>0</v>
      </c>
      <c r="BD144" s="377">
        <f t="shared" ref="BD144:BD207" si="90">IF(AW144&lt;AW$8,1,0)</f>
        <v>0</v>
      </c>
      <c r="BE144" s="377">
        <f t="shared" ref="BE144:BE207" si="91">IF(AX144&lt;AX$8,1,0)</f>
        <v>0</v>
      </c>
      <c r="BF144" s="377">
        <f t="shared" ref="BF144:BF207" si="92">IF(AY144&lt;AY$8,1,0)</f>
        <v>0</v>
      </c>
      <c r="BG144" s="328"/>
    </row>
    <row r="145" spans="2:59">
      <c r="B145" s="332">
        <v>130</v>
      </c>
      <c r="C145" s="350">
        <v>7617845.8524719607</v>
      </c>
      <c r="D145" s="350">
        <v>14400074.30438865</v>
      </c>
      <c r="E145" s="350">
        <v>21233375.716313303</v>
      </c>
      <c r="F145" s="350">
        <v>28118208.673021343</v>
      </c>
      <c r="G145" s="350">
        <v>35055667.04870642</v>
      </c>
      <c r="H145" s="348">
        <v>106425171.59490168</v>
      </c>
      <c r="I145" s="369"/>
      <c r="J145" s="350">
        <v>8543441.4055063203</v>
      </c>
      <c r="K145" s="350">
        <v>17128418.813038647</v>
      </c>
      <c r="L145" s="350">
        <v>25487466.618030928</v>
      </c>
      <c r="M145" s="350">
        <v>33614347.473506749</v>
      </c>
      <c r="N145" s="350">
        <v>41504821.21242968</v>
      </c>
      <c r="O145" s="348">
        <v>126278495.52251232</v>
      </c>
      <c r="P145" s="369"/>
      <c r="Q145" s="350">
        <f t="shared" ref="Q145:Q208" si="93">J145-C145</f>
        <v>925595.55303435959</v>
      </c>
      <c r="R145" s="350">
        <f t="shared" ref="R145:R208" si="94">K145-D145</f>
        <v>2728344.5086499974</v>
      </c>
      <c r="S145" s="350">
        <f t="shared" ref="S145:S208" si="95">L145-E145</f>
        <v>4254090.9017176256</v>
      </c>
      <c r="T145" s="350">
        <f t="shared" ref="T145:T208" si="96">M145-F145</f>
        <v>5496138.8004854061</v>
      </c>
      <c r="U145" s="350">
        <f t="shared" ref="U145:U208" si="97">N145-G145</f>
        <v>6449154.1637232602</v>
      </c>
      <c r="V145" s="350">
        <f t="shared" ref="V145:V208" si="98">O145-H145</f>
        <v>19853323.927610636</v>
      </c>
      <c r="W145" s="365"/>
      <c r="X145" s="377">
        <f t="shared" si="76"/>
        <v>0</v>
      </c>
      <c r="Y145" s="377">
        <f t="shared" si="77"/>
        <v>0</v>
      </c>
      <c r="Z145" s="377">
        <f t="shared" si="78"/>
        <v>0</v>
      </c>
      <c r="AA145" s="377">
        <f t="shared" si="79"/>
        <v>0</v>
      </c>
      <c r="AB145" s="377">
        <f t="shared" si="80"/>
        <v>0</v>
      </c>
      <c r="AC145" s="377">
        <f t="shared" si="81"/>
        <v>0</v>
      </c>
      <c r="AD145" s="376"/>
      <c r="AE145" s="332">
        <v>130</v>
      </c>
      <c r="AF145" s="350">
        <v>6017512.4788442766</v>
      </c>
      <c r="AG145" s="350">
        <v>12082281.521608543</v>
      </c>
      <c r="AH145" s="350">
        <v>18192949.060736228</v>
      </c>
      <c r="AI145" s="350">
        <v>24349717.708537061</v>
      </c>
      <c r="AJ145" s="350">
        <v>30553475.357631121</v>
      </c>
      <c r="AK145" s="348">
        <v>91195936.12735723</v>
      </c>
      <c r="AL145" s="369"/>
      <c r="AM145" s="350">
        <v>6863476.9904639795</v>
      </c>
      <c r="AN145" s="350">
        <v>14576120.060280042</v>
      </c>
      <c r="AO145" s="350">
        <v>22058886.623631377</v>
      </c>
      <c r="AP145" s="350">
        <v>29307024.551798563</v>
      </c>
      <c r="AQ145" s="350">
        <v>36317751.133579321</v>
      </c>
      <c r="AR145" s="348">
        <v>109123259.35975328</v>
      </c>
      <c r="AS145" s="369"/>
      <c r="AT145" s="350">
        <f t="shared" ref="AT145:AT208" si="99">AM145-AF145</f>
        <v>845964.51161970291</v>
      </c>
      <c r="AU145" s="350">
        <f t="shared" si="82"/>
        <v>2493838.5386714991</v>
      </c>
      <c r="AV145" s="350">
        <f t="shared" si="83"/>
        <v>3865937.562895149</v>
      </c>
      <c r="AW145" s="350">
        <f t="shared" si="84"/>
        <v>4957306.8432615027</v>
      </c>
      <c r="AX145" s="350">
        <f t="shared" si="85"/>
        <v>5764275.7759482004</v>
      </c>
      <c r="AY145" s="350">
        <f t="shared" si="86"/>
        <v>17927323.232396051</v>
      </c>
      <c r="AZ145" s="365"/>
      <c r="BA145" s="377">
        <f t="shared" si="87"/>
        <v>0</v>
      </c>
      <c r="BB145" s="377">
        <f t="shared" si="88"/>
        <v>0</v>
      </c>
      <c r="BC145" s="377">
        <f t="shared" si="89"/>
        <v>0</v>
      </c>
      <c r="BD145" s="377">
        <f t="shared" si="90"/>
        <v>0</v>
      </c>
      <c r="BE145" s="377">
        <f t="shared" si="91"/>
        <v>0</v>
      </c>
      <c r="BF145" s="377">
        <f t="shared" si="92"/>
        <v>0</v>
      </c>
      <c r="BG145" s="328"/>
    </row>
    <row r="146" spans="2:59">
      <c r="B146" s="332">
        <v>131</v>
      </c>
      <c r="C146" s="350">
        <v>7852974.3253868688</v>
      </c>
      <c r="D146" s="350">
        <v>14732038.414780524</v>
      </c>
      <c r="E146" s="350">
        <v>21662868.365060944</v>
      </c>
      <c r="F146" s="350">
        <v>28645962.30535261</v>
      </c>
      <c r="G146" s="350">
        <v>35682444.084839873</v>
      </c>
      <c r="H146" s="348">
        <v>108576287.49542081</v>
      </c>
      <c r="I146" s="369"/>
      <c r="J146" s="350">
        <v>8863567.9030913301</v>
      </c>
      <c r="K146" s="350">
        <v>17712214.342921905</v>
      </c>
      <c r="L146" s="350">
        <v>26328947.606212549</v>
      </c>
      <c r="M146" s="350">
        <v>34707640.240920179</v>
      </c>
      <c r="N146" s="350">
        <v>42844272.267498821</v>
      </c>
      <c r="O146" s="348">
        <v>130456642.36064479</v>
      </c>
      <c r="P146" s="369"/>
      <c r="Q146" s="350">
        <f t="shared" si="93"/>
        <v>1010593.5777044613</v>
      </c>
      <c r="R146" s="350">
        <f t="shared" si="94"/>
        <v>2980175.9281413816</v>
      </c>
      <c r="S146" s="350">
        <f t="shared" si="95"/>
        <v>4666079.2411516048</v>
      </c>
      <c r="T146" s="350">
        <f t="shared" si="96"/>
        <v>6061677.935567569</v>
      </c>
      <c r="U146" s="350">
        <f t="shared" si="97"/>
        <v>7161828.182658948</v>
      </c>
      <c r="V146" s="350">
        <f t="shared" si="98"/>
        <v>21880354.865223974</v>
      </c>
      <c r="W146" s="365"/>
      <c r="X146" s="377">
        <f t="shared" si="76"/>
        <v>0</v>
      </c>
      <c r="Y146" s="377">
        <f t="shared" si="77"/>
        <v>0</v>
      </c>
      <c r="Z146" s="377">
        <f t="shared" si="78"/>
        <v>0</v>
      </c>
      <c r="AA146" s="377">
        <f t="shared" si="79"/>
        <v>0</v>
      </c>
      <c r="AB146" s="377">
        <f t="shared" si="80"/>
        <v>0</v>
      </c>
      <c r="AC146" s="377">
        <f t="shared" si="81"/>
        <v>0</v>
      </c>
      <c r="AD146" s="376"/>
      <c r="AE146" s="332">
        <v>131</v>
      </c>
      <c r="AF146" s="350">
        <v>6160270.7037428021</v>
      </c>
      <c r="AG146" s="350">
        <v>12368919.076381072</v>
      </c>
      <c r="AH146" s="350">
        <v>18624554.831843633</v>
      </c>
      <c r="AI146" s="350">
        <v>24927385.389172863</v>
      </c>
      <c r="AJ146" s="350">
        <v>31278319.705170225</v>
      </c>
      <c r="AK146" s="348">
        <v>93359449.7063106</v>
      </c>
      <c r="AL146" s="369"/>
      <c r="AM146" s="350">
        <v>7427820.8234421536</v>
      </c>
      <c r="AN146" s="350">
        <v>16112699.83238925</v>
      </c>
      <c r="AO146" s="350">
        <v>24574274.326489516</v>
      </c>
      <c r="AP146" s="350">
        <v>32807565.874849353</v>
      </c>
      <c r="AQ146" s="350">
        <v>40810132.39150124</v>
      </c>
      <c r="AR146" s="348">
        <v>121732493.2486715</v>
      </c>
      <c r="AS146" s="369"/>
      <c r="AT146" s="350">
        <f t="shared" si="99"/>
        <v>1267550.1196993515</v>
      </c>
      <c r="AU146" s="350">
        <f t="shared" si="82"/>
        <v>3743780.756008178</v>
      </c>
      <c r="AV146" s="350">
        <f t="shared" si="83"/>
        <v>5949719.4946458824</v>
      </c>
      <c r="AW146" s="350">
        <f t="shared" si="84"/>
        <v>7880180.4856764898</v>
      </c>
      <c r="AX146" s="350">
        <f t="shared" si="85"/>
        <v>9531812.6863310151</v>
      </c>
      <c r="AY146" s="350">
        <f t="shared" si="86"/>
        <v>28373043.542360902</v>
      </c>
      <c r="AZ146" s="365"/>
      <c r="BA146" s="377">
        <f t="shared" si="87"/>
        <v>0</v>
      </c>
      <c r="BB146" s="377">
        <f t="shared" si="88"/>
        <v>0</v>
      </c>
      <c r="BC146" s="377">
        <f t="shared" si="89"/>
        <v>0</v>
      </c>
      <c r="BD146" s="377">
        <f t="shared" si="90"/>
        <v>0</v>
      </c>
      <c r="BE146" s="377">
        <f t="shared" si="91"/>
        <v>0</v>
      </c>
      <c r="BF146" s="377">
        <f t="shared" si="92"/>
        <v>0</v>
      </c>
      <c r="BG146" s="328"/>
    </row>
    <row r="147" spans="2:59">
      <c r="B147" s="332">
        <v>132</v>
      </c>
      <c r="C147" s="350">
        <v>7327893.6226368798</v>
      </c>
      <c r="D147" s="350">
        <v>13799106.493393129</v>
      </c>
      <c r="E147" s="350">
        <v>20319033.185276099</v>
      </c>
      <c r="F147" s="350">
        <v>26888126.760045204</v>
      </c>
      <c r="G147" s="350">
        <v>33507437.676482361</v>
      </c>
      <c r="H147" s="348">
        <v>101841597.73783368</v>
      </c>
      <c r="I147" s="369"/>
      <c r="J147" s="350">
        <v>8115729.9689667271</v>
      </c>
      <c r="K147" s="350">
        <v>16119654.922581846</v>
      </c>
      <c r="L147" s="350">
        <v>23897925.44816459</v>
      </c>
      <c r="M147" s="350">
        <v>31444912.701861419</v>
      </c>
      <c r="N147" s="350">
        <v>38756772.238201678</v>
      </c>
      <c r="O147" s="348">
        <v>118334995.27977626</v>
      </c>
      <c r="P147" s="369"/>
      <c r="Q147" s="350">
        <f t="shared" si="93"/>
        <v>787836.34632984735</v>
      </c>
      <c r="R147" s="350">
        <f t="shared" si="94"/>
        <v>2320548.4291887172</v>
      </c>
      <c r="S147" s="350">
        <f t="shared" si="95"/>
        <v>3578892.2628884912</v>
      </c>
      <c r="T147" s="350">
        <f t="shared" si="96"/>
        <v>4556785.9418162145</v>
      </c>
      <c r="U147" s="350">
        <f t="shared" si="97"/>
        <v>5249334.561719317</v>
      </c>
      <c r="V147" s="350">
        <f t="shared" si="98"/>
        <v>16493397.541942582</v>
      </c>
      <c r="W147" s="365"/>
      <c r="X147" s="377">
        <f t="shared" si="76"/>
        <v>0</v>
      </c>
      <c r="Y147" s="377">
        <f t="shared" si="77"/>
        <v>0</v>
      </c>
      <c r="Z147" s="377">
        <f t="shared" si="78"/>
        <v>0</v>
      </c>
      <c r="AA147" s="377">
        <f t="shared" si="79"/>
        <v>0</v>
      </c>
      <c r="AB147" s="377">
        <f t="shared" si="80"/>
        <v>0</v>
      </c>
      <c r="AC147" s="377">
        <f t="shared" si="81"/>
        <v>0</v>
      </c>
      <c r="AD147" s="376"/>
      <c r="AE147" s="332">
        <v>132</v>
      </c>
      <c r="AF147" s="350">
        <v>5929247.9751945864</v>
      </c>
      <c r="AG147" s="350">
        <v>11905059.35793047</v>
      </c>
      <c r="AH147" s="350">
        <v>17926096.000702631</v>
      </c>
      <c r="AI147" s="350">
        <v>23992557.543915875</v>
      </c>
      <c r="AJ147" s="350">
        <v>30105318.856635839</v>
      </c>
      <c r="AK147" s="348">
        <v>89858279.734379411</v>
      </c>
      <c r="AL147" s="369"/>
      <c r="AM147" s="350">
        <v>7026441.9525408139</v>
      </c>
      <c r="AN147" s="350">
        <v>15144191.378450837</v>
      </c>
      <c r="AO147" s="350">
        <v>23043332.154267706</v>
      </c>
      <c r="AP147" s="350">
        <v>30719107.288592625</v>
      </c>
      <c r="AQ147" s="350">
        <v>38169041.890370458</v>
      </c>
      <c r="AR147" s="348">
        <v>114102114.66422243</v>
      </c>
      <c r="AS147" s="369"/>
      <c r="AT147" s="350">
        <f t="shared" si="99"/>
        <v>1097193.9773462275</v>
      </c>
      <c r="AU147" s="350">
        <f t="shared" si="82"/>
        <v>3239132.0205203667</v>
      </c>
      <c r="AV147" s="350">
        <f t="shared" si="83"/>
        <v>5117236.1535650752</v>
      </c>
      <c r="AW147" s="350">
        <f t="shared" si="84"/>
        <v>6726549.7446767502</v>
      </c>
      <c r="AX147" s="350">
        <f t="shared" si="85"/>
        <v>8063723.0337346196</v>
      </c>
      <c r="AY147" s="350">
        <f t="shared" si="86"/>
        <v>24243834.929843023</v>
      </c>
      <c r="AZ147" s="365"/>
      <c r="BA147" s="377">
        <f t="shared" si="87"/>
        <v>0</v>
      </c>
      <c r="BB147" s="377">
        <f t="shared" si="88"/>
        <v>0</v>
      </c>
      <c r="BC147" s="377">
        <f t="shared" si="89"/>
        <v>0</v>
      </c>
      <c r="BD147" s="377">
        <f t="shared" si="90"/>
        <v>0</v>
      </c>
      <c r="BE147" s="377">
        <f t="shared" si="91"/>
        <v>0</v>
      </c>
      <c r="BF147" s="377">
        <f t="shared" si="92"/>
        <v>0</v>
      </c>
      <c r="BG147" s="328"/>
    </row>
    <row r="148" spans="2:59">
      <c r="B148" s="332">
        <v>133</v>
      </c>
      <c r="C148" s="350">
        <v>7808597.0285803676</v>
      </c>
      <c r="D148" s="350">
        <v>14858077.276802301</v>
      </c>
      <c r="E148" s="350">
        <v>21960674.445594259</v>
      </c>
      <c r="F148" s="350">
        <v>29116836.615376845</v>
      </c>
      <c r="G148" s="350">
        <v>36327688.331325457</v>
      </c>
      <c r="H148" s="348">
        <v>110071873.69767924</v>
      </c>
      <c r="I148" s="369"/>
      <c r="J148" s="350">
        <v>8855928.8623917364</v>
      </c>
      <c r="K148" s="350">
        <v>17946773.957847934</v>
      </c>
      <c r="L148" s="350">
        <v>26801445.406037841</v>
      </c>
      <c r="M148" s="350">
        <v>35413541.960020773</v>
      </c>
      <c r="N148" s="350">
        <v>43778870.575963587</v>
      </c>
      <c r="O148" s="348">
        <v>132796560.76226187</v>
      </c>
      <c r="P148" s="369"/>
      <c r="Q148" s="350">
        <f t="shared" si="93"/>
        <v>1047331.8338113688</v>
      </c>
      <c r="R148" s="350">
        <f t="shared" si="94"/>
        <v>3088696.6810456328</v>
      </c>
      <c r="S148" s="350">
        <f t="shared" si="95"/>
        <v>4840770.9604435824</v>
      </c>
      <c r="T148" s="350">
        <f t="shared" si="96"/>
        <v>6296705.3446439281</v>
      </c>
      <c r="U148" s="350">
        <f t="shared" si="97"/>
        <v>7451182.2446381301</v>
      </c>
      <c r="V148" s="350">
        <f t="shared" si="98"/>
        <v>22724687.064582631</v>
      </c>
      <c r="W148" s="365"/>
      <c r="X148" s="377">
        <f t="shared" si="76"/>
        <v>0</v>
      </c>
      <c r="Y148" s="377">
        <f t="shared" si="77"/>
        <v>0</v>
      </c>
      <c r="Z148" s="377">
        <f t="shared" si="78"/>
        <v>0</v>
      </c>
      <c r="AA148" s="377">
        <f t="shared" si="79"/>
        <v>0</v>
      </c>
      <c r="AB148" s="377">
        <f t="shared" si="80"/>
        <v>0</v>
      </c>
      <c r="AC148" s="377">
        <f t="shared" si="81"/>
        <v>0</v>
      </c>
      <c r="AD148" s="376"/>
      <c r="AE148" s="332">
        <v>133</v>
      </c>
      <c r="AF148" s="350">
        <v>5900395.5436072629</v>
      </c>
      <c r="AG148" s="350">
        <v>11847127.911631592</v>
      </c>
      <c r="AH148" s="350">
        <v>17838865.468154177</v>
      </c>
      <c r="AI148" s="350">
        <v>23875806.882105675</v>
      </c>
      <c r="AJ148" s="350">
        <v>29958822.765333951</v>
      </c>
      <c r="AK148" s="348">
        <v>89421018.570832655</v>
      </c>
      <c r="AL148" s="369"/>
      <c r="AM148" s="350">
        <v>7231657.2464164272</v>
      </c>
      <c r="AN148" s="350">
        <v>15780508.201827407</v>
      </c>
      <c r="AO148" s="350">
        <v>24118984.592302963</v>
      </c>
      <c r="AP148" s="350">
        <v>32242284.86141048</v>
      </c>
      <c r="AQ148" s="350">
        <v>40148188.624177903</v>
      </c>
      <c r="AR148" s="348">
        <v>119521623.52613518</v>
      </c>
      <c r="AS148" s="369"/>
      <c r="AT148" s="350">
        <f t="shared" si="99"/>
        <v>1331261.7028091643</v>
      </c>
      <c r="AU148" s="350">
        <f t="shared" si="82"/>
        <v>3933380.2901958153</v>
      </c>
      <c r="AV148" s="350">
        <f t="shared" si="83"/>
        <v>6280119.1241487861</v>
      </c>
      <c r="AW148" s="350">
        <f t="shared" si="84"/>
        <v>8366477.9793048054</v>
      </c>
      <c r="AX148" s="350">
        <f t="shared" si="85"/>
        <v>10189365.858843952</v>
      </c>
      <c r="AY148" s="350">
        <f t="shared" si="86"/>
        <v>30100604.955302522</v>
      </c>
      <c r="AZ148" s="365"/>
      <c r="BA148" s="377">
        <f t="shared" si="87"/>
        <v>0</v>
      </c>
      <c r="BB148" s="377">
        <f t="shared" si="88"/>
        <v>0</v>
      </c>
      <c r="BC148" s="377">
        <f t="shared" si="89"/>
        <v>0</v>
      </c>
      <c r="BD148" s="377">
        <f t="shared" si="90"/>
        <v>0</v>
      </c>
      <c r="BE148" s="377">
        <f t="shared" si="91"/>
        <v>0</v>
      </c>
      <c r="BF148" s="377">
        <f t="shared" si="92"/>
        <v>0</v>
      </c>
      <c r="BG148" s="328"/>
    </row>
    <row r="149" spans="2:59">
      <c r="B149" s="332">
        <v>134</v>
      </c>
      <c r="C149" s="350">
        <v>9358794.3532001805</v>
      </c>
      <c r="D149" s="350">
        <v>17659488.50802093</v>
      </c>
      <c r="E149" s="350">
        <v>26022680.120237477</v>
      </c>
      <c r="F149" s="350">
        <v>34448939.689926855</v>
      </c>
      <c r="G149" s="350">
        <v>42939610.019302115</v>
      </c>
      <c r="H149" s="348">
        <v>130429512.69068755</v>
      </c>
      <c r="I149" s="369"/>
      <c r="J149" s="350">
        <v>10823924.254332222</v>
      </c>
      <c r="K149" s="350">
        <v>21984168.521735266</v>
      </c>
      <c r="L149" s="350">
        <v>32873850.371942885</v>
      </c>
      <c r="M149" s="350">
        <v>43485387.099800684</v>
      </c>
      <c r="N149" s="350">
        <v>53814071.432603858</v>
      </c>
      <c r="O149" s="348">
        <v>162981401.68041492</v>
      </c>
      <c r="P149" s="369"/>
      <c r="Q149" s="350">
        <f t="shared" si="93"/>
        <v>1465129.9011320416</v>
      </c>
      <c r="R149" s="350">
        <f t="shared" si="94"/>
        <v>4324680.0137143359</v>
      </c>
      <c r="S149" s="350">
        <f t="shared" si="95"/>
        <v>6851170.2517054081</v>
      </c>
      <c r="T149" s="350">
        <f t="shared" si="96"/>
        <v>9036447.4098738283</v>
      </c>
      <c r="U149" s="350">
        <f t="shared" si="97"/>
        <v>10874461.413301744</v>
      </c>
      <c r="V149" s="350">
        <f t="shared" si="98"/>
        <v>32551888.989727363</v>
      </c>
      <c r="W149" s="365"/>
      <c r="X149" s="377">
        <f t="shared" si="76"/>
        <v>0</v>
      </c>
      <c r="Y149" s="377">
        <f t="shared" si="77"/>
        <v>0</v>
      </c>
      <c r="Z149" s="377">
        <f t="shared" si="78"/>
        <v>0</v>
      </c>
      <c r="AA149" s="377">
        <f t="shared" si="79"/>
        <v>0</v>
      </c>
      <c r="AB149" s="377">
        <f t="shared" si="80"/>
        <v>0</v>
      </c>
      <c r="AC149" s="377">
        <f t="shared" si="81"/>
        <v>0</v>
      </c>
      <c r="AD149" s="376"/>
      <c r="AE149" s="332">
        <v>134</v>
      </c>
      <c r="AF149" s="350">
        <v>6955022.6655805288</v>
      </c>
      <c r="AG149" s="350">
        <v>13964664.324360738</v>
      </c>
      <c r="AH149" s="350">
        <v>21027355.325979192</v>
      </c>
      <c r="AI149" s="350">
        <v>28143329.849128742</v>
      </c>
      <c r="AJ149" s="350">
        <v>35313614.117405765</v>
      </c>
      <c r="AK149" s="348">
        <v>105403986.28245497</v>
      </c>
      <c r="AL149" s="369"/>
      <c r="AM149" s="350">
        <v>8429868.7151237428</v>
      </c>
      <c r="AN149" s="350">
        <v>18321237.054922696</v>
      </c>
      <c r="AO149" s="350">
        <v>27961802.613653712</v>
      </c>
      <c r="AP149" s="350">
        <v>37345932.301897109</v>
      </c>
      <c r="AQ149" s="350">
        <v>46470913.298866048</v>
      </c>
      <c r="AR149" s="348">
        <v>138529753.9844633</v>
      </c>
      <c r="AS149" s="369"/>
      <c r="AT149" s="350">
        <f t="shared" si="99"/>
        <v>1474846.049543214</v>
      </c>
      <c r="AU149" s="350">
        <f t="shared" si="82"/>
        <v>4356572.7305619586</v>
      </c>
      <c r="AV149" s="350">
        <f t="shared" si="83"/>
        <v>6934447.2876745202</v>
      </c>
      <c r="AW149" s="350">
        <f t="shared" si="84"/>
        <v>9202602.4527683668</v>
      </c>
      <c r="AX149" s="350">
        <f t="shared" si="85"/>
        <v>11157299.181460284</v>
      </c>
      <c r="AY149" s="350">
        <f t="shared" si="86"/>
        <v>33125767.702008337</v>
      </c>
      <c r="AZ149" s="365"/>
      <c r="BA149" s="377">
        <f t="shared" si="87"/>
        <v>0</v>
      </c>
      <c r="BB149" s="377">
        <f t="shared" si="88"/>
        <v>0</v>
      </c>
      <c r="BC149" s="377">
        <f t="shared" si="89"/>
        <v>0</v>
      </c>
      <c r="BD149" s="377">
        <f t="shared" si="90"/>
        <v>0</v>
      </c>
      <c r="BE149" s="377">
        <f t="shared" si="91"/>
        <v>0</v>
      </c>
      <c r="BF149" s="377">
        <f t="shared" si="92"/>
        <v>0</v>
      </c>
      <c r="BG149" s="328"/>
    </row>
    <row r="150" spans="2:59">
      <c r="B150" s="332">
        <v>135</v>
      </c>
      <c r="C150" s="350">
        <v>9428034.8239973374</v>
      </c>
      <c r="D150" s="350">
        <v>17669164.331505544</v>
      </c>
      <c r="E150" s="350">
        <v>25972303.628138795</v>
      </c>
      <c r="F150" s="350">
        <v>34338054.737545311</v>
      </c>
      <c r="G150" s="350">
        <v>42767766.323235258</v>
      </c>
      <c r="H150" s="348">
        <v>130175323.84442225</v>
      </c>
      <c r="I150" s="369"/>
      <c r="J150" s="350">
        <v>10774817.096085235</v>
      </c>
      <c r="K150" s="350">
        <v>21643011.638158061</v>
      </c>
      <c r="L150" s="350">
        <v>32237903.757531974</v>
      </c>
      <c r="M150" s="350">
        <v>42552092.414827451</v>
      </c>
      <c r="N150" s="350">
        <v>52580873.809199333</v>
      </c>
      <c r="O150" s="348">
        <v>159788698.71580207</v>
      </c>
      <c r="P150" s="369"/>
      <c r="Q150" s="350">
        <f t="shared" si="93"/>
        <v>1346782.2720878981</v>
      </c>
      <c r="R150" s="350">
        <f t="shared" si="94"/>
        <v>3973847.3066525161</v>
      </c>
      <c r="S150" s="350">
        <f t="shared" si="95"/>
        <v>6265600.129393179</v>
      </c>
      <c r="T150" s="350">
        <f t="shared" si="96"/>
        <v>8214037.6772821397</v>
      </c>
      <c r="U150" s="350">
        <f t="shared" si="97"/>
        <v>9813107.4859640747</v>
      </c>
      <c r="V150" s="350">
        <f t="shared" si="98"/>
        <v>29613374.871379822</v>
      </c>
      <c r="W150" s="365"/>
      <c r="X150" s="377">
        <f t="shared" si="76"/>
        <v>0</v>
      </c>
      <c r="Y150" s="377">
        <f t="shared" si="77"/>
        <v>0</v>
      </c>
      <c r="Z150" s="377">
        <f t="shared" si="78"/>
        <v>0</v>
      </c>
      <c r="AA150" s="377">
        <f t="shared" si="79"/>
        <v>0</v>
      </c>
      <c r="AB150" s="377">
        <f t="shared" si="80"/>
        <v>0</v>
      </c>
      <c r="AC150" s="377">
        <f t="shared" si="81"/>
        <v>0</v>
      </c>
      <c r="AD150" s="376"/>
      <c r="AE150" s="332">
        <v>135</v>
      </c>
      <c r="AF150" s="350">
        <v>7993944.2077776622</v>
      </c>
      <c r="AG150" s="350">
        <v>16050666.238909373</v>
      </c>
      <c r="AH150" s="350">
        <v>24168361.973118559</v>
      </c>
      <c r="AI150" s="350">
        <v>32347300.570046432</v>
      </c>
      <c r="AJ150" s="350">
        <v>40588661.547656998</v>
      </c>
      <c r="AK150" s="348">
        <v>121148934.53750902</v>
      </c>
      <c r="AL150" s="369"/>
      <c r="AM150" s="350">
        <v>9082851.2492409162</v>
      </c>
      <c r="AN150" s="350">
        <v>19260059.900518432</v>
      </c>
      <c r="AO150" s="350">
        <v>29130844.264692448</v>
      </c>
      <c r="AP150" s="350">
        <v>38688901.26666794</v>
      </c>
      <c r="AQ150" s="350">
        <v>47930498.865774989</v>
      </c>
      <c r="AR150" s="348">
        <v>144093155.54689473</v>
      </c>
      <c r="AS150" s="369"/>
      <c r="AT150" s="350">
        <f t="shared" si="99"/>
        <v>1088907.041463254</v>
      </c>
      <c r="AU150" s="350">
        <f t="shared" si="82"/>
        <v>3209393.6616090592</v>
      </c>
      <c r="AV150" s="350">
        <f t="shared" si="83"/>
        <v>4962482.2915738896</v>
      </c>
      <c r="AW150" s="350">
        <f t="shared" si="84"/>
        <v>6341600.6966215074</v>
      </c>
      <c r="AX150" s="350">
        <f t="shared" si="85"/>
        <v>7341837.3181179911</v>
      </c>
      <c r="AY150" s="350">
        <f t="shared" si="86"/>
        <v>22944221.009385705</v>
      </c>
      <c r="AZ150" s="365"/>
      <c r="BA150" s="377">
        <f t="shared" si="87"/>
        <v>0</v>
      </c>
      <c r="BB150" s="377">
        <f t="shared" si="88"/>
        <v>0</v>
      </c>
      <c r="BC150" s="377">
        <f t="shared" si="89"/>
        <v>0</v>
      </c>
      <c r="BD150" s="377">
        <f t="shared" si="90"/>
        <v>0</v>
      </c>
      <c r="BE150" s="377">
        <f t="shared" si="91"/>
        <v>0</v>
      </c>
      <c r="BF150" s="377">
        <f t="shared" si="92"/>
        <v>0</v>
      </c>
      <c r="BG150" s="328"/>
    </row>
    <row r="151" spans="2:59">
      <c r="B151" s="332">
        <v>136</v>
      </c>
      <c r="C151" s="350">
        <v>7022406.9526414163</v>
      </c>
      <c r="D151" s="350">
        <v>13128619.951608365</v>
      </c>
      <c r="E151" s="350">
        <v>19280768.148819223</v>
      </c>
      <c r="F151" s="350">
        <v>25479307.210021526</v>
      </c>
      <c r="G151" s="350">
        <v>31725240.595940568</v>
      </c>
      <c r="H151" s="348">
        <v>96636342.859031096</v>
      </c>
      <c r="I151" s="369"/>
      <c r="J151" s="350">
        <v>7990338.2120801806</v>
      </c>
      <c r="K151" s="350">
        <v>15984180.553419957</v>
      </c>
      <c r="L151" s="350">
        <v>23776177.091140676</v>
      </c>
      <c r="M151" s="350">
        <v>31360810.627582714</v>
      </c>
      <c r="N151" s="350">
        <v>38734515.988359898</v>
      </c>
      <c r="O151" s="348">
        <v>117846022.47258343</v>
      </c>
      <c r="P151" s="369"/>
      <c r="Q151" s="350">
        <f t="shared" si="93"/>
        <v>967931.2594387643</v>
      </c>
      <c r="R151" s="350">
        <f t="shared" si="94"/>
        <v>2855560.6018115915</v>
      </c>
      <c r="S151" s="350">
        <f t="shared" si="95"/>
        <v>4495408.9423214532</v>
      </c>
      <c r="T151" s="350">
        <f t="shared" si="96"/>
        <v>5881503.4175611883</v>
      </c>
      <c r="U151" s="350">
        <f t="shared" si="97"/>
        <v>7009275.3924193308</v>
      </c>
      <c r="V151" s="350">
        <f t="shared" si="98"/>
        <v>21209679.613552332</v>
      </c>
      <c r="W151" s="365"/>
      <c r="X151" s="377">
        <f t="shared" si="76"/>
        <v>0</v>
      </c>
      <c r="Y151" s="377">
        <f t="shared" si="77"/>
        <v>0</v>
      </c>
      <c r="Z151" s="377">
        <f t="shared" si="78"/>
        <v>0</v>
      </c>
      <c r="AA151" s="377">
        <f t="shared" si="79"/>
        <v>0</v>
      </c>
      <c r="AB151" s="377">
        <f t="shared" si="80"/>
        <v>0</v>
      </c>
      <c r="AC151" s="377">
        <f t="shared" si="81"/>
        <v>0</v>
      </c>
      <c r="AD151" s="376"/>
      <c r="AE151" s="332">
        <v>136</v>
      </c>
      <c r="AF151" s="350">
        <v>6096526.4597785473</v>
      </c>
      <c r="AG151" s="350">
        <v>12240929.993904563</v>
      </c>
      <c r="AH151" s="350">
        <v>18431834.702482212</v>
      </c>
      <c r="AI151" s="350">
        <v>24669445.858256951</v>
      </c>
      <c r="AJ151" s="350">
        <v>30954663.012475379</v>
      </c>
      <c r="AK151" s="348">
        <v>92393400.026897639</v>
      </c>
      <c r="AL151" s="369"/>
      <c r="AM151" s="350">
        <v>7185830.9484316185</v>
      </c>
      <c r="AN151" s="350">
        <v>15456245.911536314</v>
      </c>
      <c r="AO151" s="350">
        <v>23500721.35372534</v>
      </c>
      <c r="AP151" s="350">
        <v>31314377.063842922</v>
      </c>
      <c r="AQ151" s="350">
        <v>38894628.988286003</v>
      </c>
      <c r="AR151" s="348">
        <v>116351804.2658222</v>
      </c>
      <c r="AS151" s="369"/>
      <c r="AT151" s="350">
        <f t="shared" si="99"/>
        <v>1089304.4886530712</v>
      </c>
      <c r="AU151" s="350">
        <f t="shared" si="82"/>
        <v>3215315.9176317509</v>
      </c>
      <c r="AV151" s="350">
        <f t="shared" si="83"/>
        <v>5068886.6512431279</v>
      </c>
      <c r="AW151" s="350">
        <f t="shared" si="84"/>
        <v>6644931.2055859715</v>
      </c>
      <c r="AX151" s="350">
        <f t="shared" si="85"/>
        <v>7939965.9758106247</v>
      </c>
      <c r="AY151" s="350">
        <f t="shared" si="86"/>
        <v>23958404.238924563</v>
      </c>
      <c r="AZ151" s="365"/>
      <c r="BA151" s="377">
        <f t="shared" si="87"/>
        <v>0</v>
      </c>
      <c r="BB151" s="377">
        <f t="shared" si="88"/>
        <v>0</v>
      </c>
      <c r="BC151" s="377">
        <f t="shared" si="89"/>
        <v>0</v>
      </c>
      <c r="BD151" s="377">
        <f t="shared" si="90"/>
        <v>0</v>
      </c>
      <c r="BE151" s="377">
        <f t="shared" si="91"/>
        <v>0</v>
      </c>
      <c r="BF151" s="377">
        <f t="shared" si="92"/>
        <v>0</v>
      </c>
      <c r="BG151" s="328"/>
    </row>
    <row r="152" spans="2:59">
      <c r="B152" s="332">
        <v>137</v>
      </c>
      <c r="C152" s="350">
        <v>8757599.2773631252</v>
      </c>
      <c r="D152" s="350">
        <v>16613843.55679097</v>
      </c>
      <c r="E152" s="350">
        <v>24529267.710376002</v>
      </c>
      <c r="F152" s="350">
        <v>32504385.554985307</v>
      </c>
      <c r="G152" s="350">
        <v>40540456.622282088</v>
      </c>
      <c r="H152" s="348">
        <v>122945552.7217975</v>
      </c>
      <c r="I152" s="369"/>
      <c r="J152" s="350">
        <v>9999147.0237190314</v>
      </c>
      <c r="K152" s="350">
        <v>20276553.892782047</v>
      </c>
      <c r="L152" s="350">
        <v>30292767.440371282</v>
      </c>
      <c r="M152" s="350">
        <v>40040669.542637087</v>
      </c>
      <c r="N152" s="350">
        <v>49515691.71486605</v>
      </c>
      <c r="O152" s="348">
        <v>150124829.6143755</v>
      </c>
      <c r="P152" s="369"/>
      <c r="Q152" s="350">
        <f t="shared" si="93"/>
        <v>1241547.7463559061</v>
      </c>
      <c r="R152" s="350">
        <f t="shared" si="94"/>
        <v>3662710.3359910771</v>
      </c>
      <c r="S152" s="350">
        <f t="shared" si="95"/>
        <v>5763499.7299952805</v>
      </c>
      <c r="T152" s="350">
        <f t="shared" si="96"/>
        <v>7536283.9876517802</v>
      </c>
      <c r="U152" s="350">
        <f t="shared" si="97"/>
        <v>8975235.0925839618</v>
      </c>
      <c r="V152" s="350">
        <f t="shared" si="98"/>
        <v>27179276.892578006</v>
      </c>
      <c r="W152" s="365"/>
      <c r="X152" s="377">
        <f t="shared" si="76"/>
        <v>0</v>
      </c>
      <c r="Y152" s="377">
        <f t="shared" si="77"/>
        <v>0</v>
      </c>
      <c r="Z152" s="377">
        <f t="shared" si="78"/>
        <v>0</v>
      </c>
      <c r="AA152" s="377">
        <f t="shared" si="79"/>
        <v>0</v>
      </c>
      <c r="AB152" s="377">
        <f t="shared" si="80"/>
        <v>0</v>
      </c>
      <c r="AC152" s="377">
        <f t="shared" si="81"/>
        <v>0</v>
      </c>
      <c r="AD152" s="376"/>
      <c r="AE152" s="332">
        <v>137</v>
      </c>
      <c r="AF152" s="350">
        <v>5923273.7439241316</v>
      </c>
      <c r="AG152" s="350">
        <v>11893063.978720438</v>
      </c>
      <c r="AH152" s="350">
        <v>17908033.905183498</v>
      </c>
      <c r="AI152" s="350">
        <v>23968382.962563109</v>
      </c>
      <c r="AJ152" s="350">
        <v>30074985.138418488</v>
      </c>
      <c r="AK152" s="348">
        <v>89767739.728809655</v>
      </c>
      <c r="AL152" s="369"/>
      <c r="AM152" s="350">
        <v>6944062.383314264</v>
      </c>
      <c r="AN152" s="350">
        <v>14905615.139240494</v>
      </c>
      <c r="AO152" s="350">
        <v>22646524.25888148</v>
      </c>
      <c r="AP152" s="350">
        <v>30162058.841501806</v>
      </c>
      <c r="AQ152" s="350">
        <v>37449670.228648782</v>
      </c>
      <c r="AR152" s="348">
        <v>112107930.85158682</v>
      </c>
      <c r="AS152" s="369"/>
      <c r="AT152" s="350">
        <f t="shared" si="99"/>
        <v>1020788.6393901324</v>
      </c>
      <c r="AU152" s="350">
        <f t="shared" si="82"/>
        <v>3012551.1605200563</v>
      </c>
      <c r="AV152" s="350">
        <f t="shared" si="83"/>
        <v>4738490.3536979817</v>
      </c>
      <c r="AW152" s="350">
        <f t="shared" si="84"/>
        <v>6193675.8789386973</v>
      </c>
      <c r="AX152" s="350">
        <f t="shared" si="85"/>
        <v>7374685.0902302936</v>
      </c>
      <c r="AY152" s="350">
        <f t="shared" si="86"/>
        <v>22340191.122777164</v>
      </c>
      <c r="AZ152" s="365"/>
      <c r="BA152" s="377">
        <f t="shared" si="87"/>
        <v>0</v>
      </c>
      <c r="BB152" s="377">
        <f t="shared" si="88"/>
        <v>0</v>
      </c>
      <c r="BC152" s="377">
        <f t="shared" si="89"/>
        <v>0</v>
      </c>
      <c r="BD152" s="377">
        <f t="shared" si="90"/>
        <v>0</v>
      </c>
      <c r="BE152" s="377">
        <f t="shared" si="91"/>
        <v>0</v>
      </c>
      <c r="BF152" s="377">
        <f t="shared" si="92"/>
        <v>0</v>
      </c>
      <c r="BG152" s="328"/>
    </row>
    <row r="153" spans="2:59">
      <c r="B153" s="332">
        <v>138</v>
      </c>
      <c r="C153" s="350">
        <v>5004002.1688741203</v>
      </c>
      <c r="D153" s="350">
        <v>9408216.2037149239</v>
      </c>
      <c r="E153" s="350">
        <v>13845579.350375582</v>
      </c>
      <c r="F153" s="350">
        <v>18316404.328377273</v>
      </c>
      <c r="G153" s="350">
        <v>22821407.967147004</v>
      </c>
      <c r="H153" s="348">
        <v>69395610.018488899</v>
      </c>
      <c r="I153" s="369"/>
      <c r="J153" s="350">
        <v>6070596.1599095073</v>
      </c>
      <c r="K153" s="350">
        <v>12560572.869910905</v>
      </c>
      <c r="L153" s="350">
        <v>18919663.431204785</v>
      </c>
      <c r="M153" s="350">
        <v>25143622.281114049</v>
      </c>
      <c r="N153" s="350">
        <v>31230092.5024608</v>
      </c>
      <c r="O153" s="348">
        <v>93924547.244600043</v>
      </c>
      <c r="P153" s="369"/>
      <c r="Q153" s="350">
        <f t="shared" si="93"/>
        <v>1066593.9910353869</v>
      </c>
      <c r="R153" s="350">
        <f t="shared" si="94"/>
        <v>3152356.6661959812</v>
      </c>
      <c r="S153" s="350">
        <f t="shared" si="95"/>
        <v>5074084.0808292031</v>
      </c>
      <c r="T153" s="350">
        <f t="shared" si="96"/>
        <v>6827217.9527367763</v>
      </c>
      <c r="U153" s="350">
        <f t="shared" si="97"/>
        <v>8408684.5353137963</v>
      </c>
      <c r="V153" s="350">
        <f t="shared" si="98"/>
        <v>24528937.226111144</v>
      </c>
      <c r="W153" s="365"/>
      <c r="X153" s="377">
        <f t="shared" si="76"/>
        <v>0</v>
      </c>
      <c r="Y153" s="377">
        <f t="shared" si="77"/>
        <v>0</v>
      </c>
      <c r="Z153" s="377">
        <f t="shared" si="78"/>
        <v>0</v>
      </c>
      <c r="AA153" s="377">
        <f t="shared" si="79"/>
        <v>0</v>
      </c>
      <c r="AB153" s="377">
        <f t="shared" si="80"/>
        <v>0</v>
      </c>
      <c r="AC153" s="377">
        <f t="shared" si="81"/>
        <v>0</v>
      </c>
      <c r="AD153" s="376"/>
      <c r="AE153" s="332">
        <v>138</v>
      </c>
      <c r="AF153" s="350">
        <v>4291740.6460086619</v>
      </c>
      <c r="AG153" s="350">
        <v>8617185.0719229169</v>
      </c>
      <c r="AH153" s="350">
        <v>12975364.692508738</v>
      </c>
      <c r="AI153" s="350">
        <v>17366424.012574073</v>
      </c>
      <c r="AJ153" s="350">
        <v>21790996.284623221</v>
      </c>
      <c r="AK153" s="348">
        <v>65041710.707637608</v>
      </c>
      <c r="AL153" s="369"/>
      <c r="AM153" s="350">
        <v>4988464.0936583914</v>
      </c>
      <c r="AN153" s="350">
        <v>10672732.86980623</v>
      </c>
      <c r="AO153" s="350">
        <v>16195848.376423968</v>
      </c>
      <c r="AP153" s="350">
        <v>21554394.945483211</v>
      </c>
      <c r="AQ153" s="350">
        <v>26746482.490289032</v>
      </c>
      <c r="AR153" s="348">
        <v>80157922.775660828</v>
      </c>
      <c r="AS153" s="369"/>
      <c r="AT153" s="350">
        <f t="shared" si="99"/>
        <v>696723.44764972944</v>
      </c>
      <c r="AU153" s="350">
        <f t="shared" si="82"/>
        <v>2055547.7978833131</v>
      </c>
      <c r="AV153" s="350">
        <f t="shared" si="83"/>
        <v>3220483.6839152295</v>
      </c>
      <c r="AW153" s="350">
        <f t="shared" si="84"/>
        <v>4187970.9329091385</v>
      </c>
      <c r="AX153" s="350">
        <f t="shared" si="85"/>
        <v>4955486.2056658119</v>
      </c>
      <c r="AY153" s="350">
        <f t="shared" si="86"/>
        <v>15116212.06802322</v>
      </c>
      <c r="AZ153" s="365"/>
      <c r="BA153" s="377">
        <f t="shared" si="87"/>
        <v>0</v>
      </c>
      <c r="BB153" s="377">
        <f t="shared" si="88"/>
        <v>0</v>
      </c>
      <c r="BC153" s="377">
        <f t="shared" si="89"/>
        <v>0</v>
      </c>
      <c r="BD153" s="377">
        <f t="shared" si="90"/>
        <v>0</v>
      </c>
      <c r="BE153" s="377">
        <f t="shared" si="91"/>
        <v>0</v>
      </c>
      <c r="BF153" s="377">
        <f t="shared" si="92"/>
        <v>0</v>
      </c>
      <c r="BG153" s="328"/>
    </row>
    <row r="154" spans="2:59">
      <c r="B154" s="332">
        <v>139</v>
      </c>
      <c r="C154" s="350">
        <v>8734663.7060759198</v>
      </c>
      <c r="D154" s="350">
        <v>16520525.85615921</v>
      </c>
      <c r="E154" s="350">
        <v>24365021.74811662</v>
      </c>
      <c r="F154" s="350">
        <v>32268675.093932405</v>
      </c>
      <c r="G154" s="350">
        <v>40232740.449611239</v>
      </c>
      <c r="H154" s="348">
        <v>122121626.8538954</v>
      </c>
      <c r="I154" s="369"/>
      <c r="J154" s="350">
        <v>10225448.95894493</v>
      </c>
      <c r="K154" s="350">
        <v>20922584.611703962</v>
      </c>
      <c r="L154" s="350">
        <v>31372210.853673261</v>
      </c>
      <c r="M154" s="350">
        <v>41567081.260830976</v>
      </c>
      <c r="N154" s="350">
        <v>51502799.97214593</v>
      </c>
      <c r="O154" s="348">
        <v>155590125.65729904</v>
      </c>
      <c r="P154" s="369"/>
      <c r="Q154" s="350">
        <f t="shared" si="93"/>
        <v>1490785.25286901</v>
      </c>
      <c r="R154" s="350">
        <f t="shared" si="94"/>
        <v>4402058.7555447519</v>
      </c>
      <c r="S154" s="350">
        <f t="shared" si="95"/>
        <v>7007189.1055566408</v>
      </c>
      <c r="T154" s="350">
        <f t="shared" si="96"/>
        <v>9298406.166898571</v>
      </c>
      <c r="U154" s="350">
        <f t="shared" si="97"/>
        <v>11270059.522534691</v>
      </c>
      <c r="V154" s="350">
        <f t="shared" si="98"/>
        <v>33468498.803403646</v>
      </c>
      <c r="W154" s="365"/>
      <c r="X154" s="377">
        <f t="shared" si="76"/>
        <v>0</v>
      </c>
      <c r="Y154" s="377">
        <f t="shared" si="77"/>
        <v>0</v>
      </c>
      <c r="Z154" s="377">
        <f t="shared" si="78"/>
        <v>0</v>
      </c>
      <c r="AA154" s="377">
        <f t="shared" si="79"/>
        <v>0</v>
      </c>
      <c r="AB154" s="377">
        <f t="shared" si="80"/>
        <v>0</v>
      </c>
      <c r="AC154" s="377">
        <f t="shared" si="81"/>
        <v>0</v>
      </c>
      <c r="AD154" s="376"/>
      <c r="AE154" s="332">
        <v>139</v>
      </c>
      <c r="AF154" s="350">
        <v>7285340.5735477488</v>
      </c>
      <c r="AG154" s="350">
        <v>14627894.183828391</v>
      </c>
      <c r="AH154" s="350">
        <v>22026016.632395092</v>
      </c>
      <c r="AI154" s="350">
        <v>29479953.21989093</v>
      </c>
      <c r="AJ154" s="350">
        <v>36990778.908794627</v>
      </c>
      <c r="AK154" s="348">
        <v>110409983.5184568</v>
      </c>
      <c r="AL154" s="369"/>
      <c r="AM154" s="350">
        <v>8397619.3520220853</v>
      </c>
      <c r="AN154" s="350">
        <v>17908373.063273594</v>
      </c>
      <c r="AO154" s="350">
        <v>27143455.61916953</v>
      </c>
      <c r="AP154" s="350">
        <v>36097088.754470959</v>
      </c>
      <c r="AQ154" s="350">
        <v>44765992.671895385</v>
      </c>
      <c r="AR154" s="348">
        <v>134312529.46083155</v>
      </c>
      <c r="AS154" s="369"/>
      <c r="AT154" s="350">
        <f t="shared" si="99"/>
        <v>1112278.7784743365</v>
      </c>
      <c r="AU154" s="350">
        <f t="shared" si="82"/>
        <v>3280478.8794452026</v>
      </c>
      <c r="AV154" s="350">
        <f t="shared" si="83"/>
        <v>5117438.9867744371</v>
      </c>
      <c r="AW154" s="350">
        <f t="shared" si="84"/>
        <v>6617135.5345800295</v>
      </c>
      <c r="AX154" s="350">
        <f t="shared" si="85"/>
        <v>7775213.7631007582</v>
      </c>
      <c r="AY154" s="350">
        <f t="shared" si="86"/>
        <v>23902545.942374751</v>
      </c>
      <c r="AZ154" s="365"/>
      <c r="BA154" s="377">
        <f t="shared" si="87"/>
        <v>0</v>
      </c>
      <c r="BB154" s="377">
        <f t="shared" si="88"/>
        <v>0</v>
      </c>
      <c r="BC154" s="377">
        <f t="shared" si="89"/>
        <v>0</v>
      </c>
      <c r="BD154" s="377">
        <f t="shared" si="90"/>
        <v>0</v>
      </c>
      <c r="BE154" s="377">
        <f t="shared" si="91"/>
        <v>0</v>
      </c>
      <c r="BF154" s="377">
        <f t="shared" si="92"/>
        <v>0</v>
      </c>
      <c r="BG154" s="328"/>
    </row>
    <row r="155" spans="2:59">
      <c r="B155" s="332">
        <v>140</v>
      </c>
      <c r="C155" s="350">
        <v>6948408.6126039121</v>
      </c>
      <c r="D155" s="350">
        <v>13047594.91046752</v>
      </c>
      <c r="E155" s="350">
        <v>19192682.488707922</v>
      </c>
      <c r="F155" s="350">
        <v>25384109.275812015</v>
      </c>
      <c r="G155" s="350">
        <v>31622870.088474974</v>
      </c>
      <c r="H155" s="348">
        <v>96195665.376066342</v>
      </c>
      <c r="I155" s="369"/>
      <c r="J155" s="350">
        <v>8052815.0532499207</v>
      </c>
      <c r="K155" s="350">
        <v>16307928.488181964</v>
      </c>
      <c r="L155" s="350">
        <v>24367294.992338039</v>
      </c>
      <c r="M155" s="350">
        <v>32225287.825283803</v>
      </c>
      <c r="N155" s="350">
        <v>39878415.485078096</v>
      </c>
      <c r="O155" s="348">
        <v>120831741.84413183</v>
      </c>
      <c r="P155" s="369"/>
      <c r="Q155" s="350">
        <f t="shared" si="93"/>
        <v>1104406.4406460086</v>
      </c>
      <c r="R155" s="350">
        <f t="shared" si="94"/>
        <v>3260333.5777144432</v>
      </c>
      <c r="S155" s="350">
        <f t="shared" si="95"/>
        <v>5174612.5036301166</v>
      </c>
      <c r="T155" s="350">
        <f t="shared" si="96"/>
        <v>6841178.5494717881</v>
      </c>
      <c r="U155" s="350">
        <f t="shared" si="97"/>
        <v>8255545.3966031224</v>
      </c>
      <c r="V155" s="350">
        <f t="shared" si="98"/>
        <v>24636076.468065485</v>
      </c>
      <c r="W155" s="365"/>
      <c r="X155" s="377">
        <f t="shared" si="76"/>
        <v>0</v>
      </c>
      <c r="Y155" s="377">
        <f t="shared" si="77"/>
        <v>0</v>
      </c>
      <c r="Z155" s="377">
        <f t="shared" si="78"/>
        <v>0</v>
      </c>
      <c r="AA155" s="377">
        <f t="shared" si="79"/>
        <v>0</v>
      </c>
      <c r="AB155" s="377">
        <f t="shared" si="80"/>
        <v>0</v>
      </c>
      <c r="AC155" s="377">
        <f t="shared" si="81"/>
        <v>0</v>
      </c>
      <c r="AD155" s="376"/>
      <c r="AE155" s="332">
        <v>140</v>
      </c>
      <c r="AF155" s="350">
        <v>4740109.2340058545</v>
      </c>
      <c r="AG155" s="350">
        <v>9517443.3638124336</v>
      </c>
      <c r="AH155" s="350">
        <v>14330932.61372954</v>
      </c>
      <c r="AI155" s="350">
        <v>19180736.585334018</v>
      </c>
      <c r="AJ155" s="350">
        <v>24067554.688560124</v>
      </c>
      <c r="AK155" s="348">
        <v>71836776.485441968</v>
      </c>
      <c r="AL155" s="369"/>
      <c r="AM155" s="350">
        <v>5955398.0850556577</v>
      </c>
      <c r="AN155" s="350">
        <v>13109782.947456248</v>
      </c>
      <c r="AO155" s="350">
        <v>20099529.628169712</v>
      </c>
      <c r="AP155" s="350">
        <v>26920739.53374387</v>
      </c>
      <c r="AQ155" s="350">
        <v>33571776.583133563</v>
      </c>
      <c r="AR155" s="348">
        <v>99657226.777559057</v>
      </c>
      <c r="AS155" s="369"/>
      <c r="AT155" s="350">
        <f t="shared" si="99"/>
        <v>1215288.8510498032</v>
      </c>
      <c r="AU155" s="350">
        <f t="shared" si="82"/>
        <v>3592339.5836438145</v>
      </c>
      <c r="AV155" s="350">
        <f t="shared" si="83"/>
        <v>5768597.0144401714</v>
      </c>
      <c r="AW155" s="350">
        <f t="shared" si="84"/>
        <v>7740002.9484098516</v>
      </c>
      <c r="AX155" s="350">
        <f t="shared" si="85"/>
        <v>9504221.8945734389</v>
      </c>
      <c r="AY155" s="350">
        <f t="shared" si="86"/>
        <v>27820450.292117089</v>
      </c>
      <c r="AZ155" s="365"/>
      <c r="BA155" s="377">
        <f t="shared" si="87"/>
        <v>0</v>
      </c>
      <c r="BB155" s="377">
        <f t="shared" si="88"/>
        <v>0</v>
      </c>
      <c r="BC155" s="377">
        <f t="shared" si="89"/>
        <v>0</v>
      </c>
      <c r="BD155" s="377">
        <f t="shared" si="90"/>
        <v>0</v>
      </c>
      <c r="BE155" s="377">
        <f t="shared" si="91"/>
        <v>0</v>
      </c>
      <c r="BF155" s="377">
        <f t="shared" si="92"/>
        <v>0</v>
      </c>
      <c r="BG155" s="328"/>
    </row>
    <row r="156" spans="2:59">
      <c r="B156" s="332">
        <v>141</v>
      </c>
      <c r="C156" s="350">
        <v>9713445.3557535913</v>
      </c>
      <c r="D156" s="350">
        <v>18286122.541423678</v>
      </c>
      <c r="E156" s="350">
        <v>26923331.202295117</v>
      </c>
      <c r="F156" s="350">
        <v>35625673.065260336</v>
      </c>
      <c r="G156" s="350">
        <v>44394540.384553865</v>
      </c>
      <c r="H156" s="348">
        <v>134943112.5492866</v>
      </c>
      <c r="I156" s="369"/>
      <c r="J156" s="350">
        <v>11007632.234531313</v>
      </c>
      <c r="K156" s="350">
        <v>22103177.785228252</v>
      </c>
      <c r="L156" s="350">
        <v>32912432.19225426</v>
      </c>
      <c r="M156" s="350">
        <v>43427661.927278221</v>
      </c>
      <c r="N156" s="350">
        <v>53643813.006415129</v>
      </c>
      <c r="O156" s="348">
        <v>163094717.14570719</v>
      </c>
      <c r="P156" s="369"/>
      <c r="Q156" s="350">
        <f t="shared" si="93"/>
        <v>1294186.8787777219</v>
      </c>
      <c r="R156" s="350">
        <f t="shared" si="94"/>
        <v>3817055.243804574</v>
      </c>
      <c r="S156" s="350">
        <f t="shared" si="95"/>
        <v>5989100.9899591431</v>
      </c>
      <c r="T156" s="350">
        <f t="shared" si="96"/>
        <v>7801988.8620178849</v>
      </c>
      <c r="U156" s="350">
        <f t="shared" si="97"/>
        <v>9249272.6218612641</v>
      </c>
      <c r="V156" s="350">
        <f t="shared" si="98"/>
        <v>28151604.596420586</v>
      </c>
      <c r="W156" s="365"/>
      <c r="X156" s="377">
        <f t="shared" si="76"/>
        <v>0</v>
      </c>
      <c r="Y156" s="377">
        <f t="shared" si="77"/>
        <v>0</v>
      </c>
      <c r="Z156" s="377">
        <f t="shared" si="78"/>
        <v>0</v>
      </c>
      <c r="AA156" s="377">
        <f t="shared" si="79"/>
        <v>0</v>
      </c>
      <c r="AB156" s="377">
        <f t="shared" si="80"/>
        <v>0</v>
      </c>
      <c r="AC156" s="377">
        <f t="shared" si="81"/>
        <v>0</v>
      </c>
      <c r="AD156" s="376"/>
      <c r="AE156" s="332">
        <v>141</v>
      </c>
      <c r="AF156" s="350">
        <v>5942148.78447688</v>
      </c>
      <c r="AG156" s="350">
        <v>11930962.288776603</v>
      </c>
      <c r="AH156" s="350">
        <v>17965099.453863744</v>
      </c>
      <c r="AI156" s="350">
        <v>24044760.354519077</v>
      </c>
      <c r="AJ156" s="350">
        <v>30170821.763341192</v>
      </c>
      <c r="AK156" s="348">
        <v>90053792.644977495</v>
      </c>
      <c r="AL156" s="369"/>
      <c r="AM156" s="350">
        <v>6854255.6648139898</v>
      </c>
      <c r="AN156" s="350">
        <v>14621148.079271421</v>
      </c>
      <c r="AO156" s="350">
        <v>22163341.280430853</v>
      </c>
      <c r="AP156" s="350">
        <v>29476120.951374389</v>
      </c>
      <c r="AQ156" s="350">
        <v>36556816.948619932</v>
      </c>
      <c r="AR156" s="348">
        <v>109671682.92451058</v>
      </c>
      <c r="AS156" s="369"/>
      <c r="AT156" s="350">
        <f t="shared" si="99"/>
        <v>912106.88033710979</v>
      </c>
      <c r="AU156" s="350">
        <f t="shared" si="82"/>
        <v>2690185.7904948182</v>
      </c>
      <c r="AV156" s="350">
        <f t="shared" si="83"/>
        <v>4198241.8265671097</v>
      </c>
      <c r="AW156" s="350">
        <f t="shared" si="84"/>
        <v>5431360.5968553126</v>
      </c>
      <c r="AX156" s="350">
        <f t="shared" si="85"/>
        <v>6385995.1852787398</v>
      </c>
      <c r="AY156" s="350">
        <f t="shared" si="86"/>
        <v>19617890.279533088</v>
      </c>
      <c r="AZ156" s="365"/>
      <c r="BA156" s="377">
        <f t="shared" si="87"/>
        <v>0</v>
      </c>
      <c r="BB156" s="377">
        <f t="shared" si="88"/>
        <v>0</v>
      </c>
      <c r="BC156" s="377">
        <f t="shared" si="89"/>
        <v>0</v>
      </c>
      <c r="BD156" s="377">
        <f t="shared" si="90"/>
        <v>0</v>
      </c>
      <c r="BE156" s="377">
        <f t="shared" si="91"/>
        <v>0</v>
      </c>
      <c r="BF156" s="377">
        <f t="shared" si="92"/>
        <v>0</v>
      </c>
      <c r="BG156" s="328"/>
    </row>
    <row r="157" spans="2:59">
      <c r="B157" s="332">
        <v>142</v>
      </c>
      <c r="C157" s="350">
        <v>7998812.0166027397</v>
      </c>
      <c r="D157" s="350">
        <v>14943540.105321588</v>
      </c>
      <c r="E157" s="350">
        <v>21940507.817990024</v>
      </c>
      <c r="F157" s="350">
        <v>28990236.546697248</v>
      </c>
      <c r="G157" s="350">
        <v>36093868.921142608</v>
      </c>
      <c r="H157" s="348">
        <v>109966965.4077542</v>
      </c>
      <c r="I157" s="369"/>
      <c r="J157" s="350">
        <v>9268252.884379331</v>
      </c>
      <c r="K157" s="350">
        <v>18691207.413165025</v>
      </c>
      <c r="L157" s="350">
        <v>27891146.977327518</v>
      </c>
      <c r="M157" s="350">
        <v>36861677.055400558</v>
      </c>
      <c r="N157" s="350">
        <v>45598837.263834924</v>
      </c>
      <c r="O157" s="348">
        <v>138311121.59410736</v>
      </c>
      <c r="P157" s="369"/>
      <c r="Q157" s="350">
        <f t="shared" si="93"/>
        <v>1269440.8677765913</v>
      </c>
      <c r="R157" s="350">
        <f t="shared" si="94"/>
        <v>3747667.3078434374</v>
      </c>
      <c r="S157" s="350">
        <f t="shared" si="95"/>
        <v>5950639.1593374945</v>
      </c>
      <c r="T157" s="350">
        <f t="shared" si="96"/>
        <v>7871440.50870331</v>
      </c>
      <c r="U157" s="350">
        <f t="shared" si="97"/>
        <v>9504968.3426923156</v>
      </c>
      <c r="V157" s="350">
        <f t="shared" si="98"/>
        <v>28344156.186353162</v>
      </c>
      <c r="W157" s="365"/>
      <c r="X157" s="377">
        <f t="shared" si="76"/>
        <v>0</v>
      </c>
      <c r="Y157" s="377">
        <f t="shared" si="77"/>
        <v>0</v>
      </c>
      <c r="Z157" s="377">
        <f t="shared" si="78"/>
        <v>0</v>
      </c>
      <c r="AA157" s="377">
        <f t="shared" si="79"/>
        <v>0</v>
      </c>
      <c r="AB157" s="377">
        <f t="shared" si="80"/>
        <v>0</v>
      </c>
      <c r="AC157" s="377">
        <f t="shared" si="81"/>
        <v>0</v>
      </c>
      <c r="AD157" s="376"/>
      <c r="AE157" s="332">
        <v>142</v>
      </c>
      <c r="AF157" s="350">
        <v>6207096.1774177868</v>
      </c>
      <c r="AG157" s="350">
        <v>12462937.752256338</v>
      </c>
      <c r="AH157" s="350">
        <v>18766123.870596576</v>
      </c>
      <c r="AI157" s="350">
        <v>25116863.528115314</v>
      </c>
      <c r="AJ157" s="350">
        <v>31516072.590779997</v>
      </c>
      <c r="AK157" s="348">
        <v>94069093.919166028</v>
      </c>
      <c r="AL157" s="369"/>
      <c r="AM157" s="350">
        <v>7319238.2086353544</v>
      </c>
      <c r="AN157" s="350">
        <v>15745706.690484783</v>
      </c>
      <c r="AO157" s="350">
        <v>23942230.184573859</v>
      </c>
      <c r="AP157" s="350">
        <v>31903839.098221838</v>
      </c>
      <c r="AQ157" s="350">
        <v>39627905.632805049</v>
      </c>
      <c r="AR157" s="348">
        <v>118538919.81472088</v>
      </c>
      <c r="AS157" s="369"/>
      <c r="AT157" s="350">
        <f t="shared" si="99"/>
        <v>1112142.0312175676</v>
      </c>
      <c r="AU157" s="350">
        <f t="shared" si="82"/>
        <v>3282768.9382284451</v>
      </c>
      <c r="AV157" s="350">
        <f t="shared" si="83"/>
        <v>5176106.3139772825</v>
      </c>
      <c r="AW157" s="350">
        <f t="shared" si="84"/>
        <v>6786975.570106525</v>
      </c>
      <c r="AX157" s="350">
        <f t="shared" si="85"/>
        <v>8111833.042025052</v>
      </c>
      <c r="AY157" s="350">
        <f t="shared" si="86"/>
        <v>24469825.895554855</v>
      </c>
      <c r="AZ157" s="365"/>
      <c r="BA157" s="377">
        <f t="shared" si="87"/>
        <v>0</v>
      </c>
      <c r="BB157" s="377">
        <f t="shared" si="88"/>
        <v>0</v>
      </c>
      <c r="BC157" s="377">
        <f t="shared" si="89"/>
        <v>0</v>
      </c>
      <c r="BD157" s="377">
        <f t="shared" si="90"/>
        <v>0</v>
      </c>
      <c r="BE157" s="377">
        <f t="shared" si="91"/>
        <v>0</v>
      </c>
      <c r="BF157" s="377">
        <f t="shared" si="92"/>
        <v>0</v>
      </c>
      <c r="BG157" s="328"/>
    </row>
    <row r="158" spans="2:59">
      <c r="B158" s="332">
        <v>143</v>
      </c>
      <c r="C158" s="350">
        <v>11537838.906748028</v>
      </c>
      <c r="D158" s="350">
        <v>21815832.033077702</v>
      </c>
      <c r="E158" s="350">
        <v>32171224.520539023</v>
      </c>
      <c r="F158" s="350">
        <v>42604709.63176167</v>
      </c>
      <c r="G158" s="350">
        <v>53117944.321070671</v>
      </c>
      <c r="H158" s="348">
        <v>161247549.4131971</v>
      </c>
      <c r="I158" s="369"/>
      <c r="J158" s="350">
        <v>12930235.758551368</v>
      </c>
      <c r="K158" s="350">
        <v>25919927.822611555</v>
      </c>
      <c r="L158" s="350">
        <v>38564384.496180184</v>
      </c>
      <c r="M158" s="350">
        <v>50854223.374073654</v>
      </c>
      <c r="N158" s="350">
        <v>62783079.669614241</v>
      </c>
      <c r="O158" s="348">
        <v>191051851.12103099</v>
      </c>
      <c r="P158" s="369"/>
      <c r="Q158" s="350">
        <f t="shared" si="93"/>
        <v>1392396.85180334</v>
      </c>
      <c r="R158" s="350">
        <f t="shared" si="94"/>
        <v>4104095.7895338535</v>
      </c>
      <c r="S158" s="350">
        <f t="shared" si="95"/>
        <v>6393159.9756411612</v>
      </c>
      <c r="T158" s="350">
        <f t="shared" si="96"/>
        <v>8249513.7423119843</v>
      </c>
      <c r="U158" s="350">
        <f t="shared" si="97"/>
        <v>9665135.3485435694</v>
      </c>
      <c r="V158" s="350">
        <f t="shared" si="98"/>
        <v>29804301.707833886</v>
      </c>
      <c r="W158" s="365"/>
      <c r="X158" s="377">
        <f t="shared" si="76"/>
        <v>0</v>
      </c>
      <c r="Y158" s="377">
        <f t="shared" si="77"/>
        <v>0</v>
      </c>
      <c r="Z158" s="377">
        <f t="shared" si="78"/>
        <v>0</v>
      </c>
      <c r="AA158" s="377">
        <f t="shared" si="79"/>
        <v>0</v>
      </c>
      <c r="AB158" s="377">
        <f t="shared" si="80"/>
        <v>0</v>
      </c>
      <c r="AC158" s="377">
        <f t="shared" si="81"/>
        <v>0</v>
      </c>
      <c r="AD158" s="376"/>
      <c r="AE158" s="332">
        <v>143</v>
      </c>
      <c r="AF158" s="350">
        <v>6542369.6782457177</v>
      </c>
      <c r="AG158" s="350">
        <v>13136117.714571318</v>
      </c>
      <c r="AH158" s="350">
        <v>19779767.588565025</v>
      </c>
      <c r="AI158" s="350">
        <v>26473539.584710881</v>
      </c>
      <c r="AJ158" s="350">
        <v>33218399.039063543</v>
      </c>
      <c r="AK158" s="348">
        <v>99150193.605156481</v>
      </c>
      <c r="AL158" s="369"/>
      <c r="AM158" s="350">
        <v>7782324.3419993967</v>
      </c>
      <c r="AN158" s="350">
        <v>16797103.204348303</v>
      </c>
      <c r="AO158" s="350">
        <v>25571545.56191415</v>
      </c>
      <c r="AP158" s="350">
        <v>34100394.232102692</v>
      </c>
      <c r="AQ158" s="350">
        <v>42380948.082464397</v>
      </c>
      <c r="AR158" s="348">
        <v>126632315.42282894</v>
      </c>
      <c r="AS158" s="369"/>
      <c r="AT158" s="350">
        <f t="shared" si="99"/>
        <v>1239954.663753679</v>
      </c>
      <c r="AU158" s="350">
        <f t="shared" si="82"/>
        <v>3660985.4897769857</v>
      </c>
      <c r="AV158" s="350">
        <f t="shared" si="83"/>
        <v>5791777.9733491242</v>
      </c>
      <c r="AW158" s="350">
        <f t="shared" si="84"/>
        <v>7626854.647391811</v>
      </c>
      <c r="AX158" s="350">
        <f t="shared" si="85"/>
        <v>9162549.0434008539</v>
      </c>
      <c r="AY158" s="350">
        <f t="shared" si="86"/>
        <v>27482121.817672461</v>
      </c>
      <c r="AZ158" s="365"/>
      <c r="BA158" s="377">
        <f t="shared" si="87"/>
        <v>0</v>
      </c>
      <c r="BB158" s="377">
        <f t="shared" si="88"/>
        <v>0</v>
      </c>
      <c r="BC158" s="377">
        <f t="shared" si="89"/>
        <v>0</v>
      </c>
      <c r="BD158" s="377">
        <f t="shared" si="90"/>
        <v>0</v>
      </c>
      <c r="BE158" s="377">
        <f t="shared" si="91"/>
        <v>0</v>
      </c>
      <c r="BF158" s="377">
        <f t="shared" si="92"/>
        <v>0</v>
      </c>
      <c r="BG158" s="328"/>
    </row>
    <row r="159" spans="2:59">
      <c r="B159" s="332">
        <v>144</v>
      </c>
      <c r="C159" s="350">
        <v>9014155.9038312975</v>
      </c>
      <c r="D159" s="350">
        <v>16917286.544159159</v>
      </c>
      <c r="E159" s="350">
        <v>24879891.541678991</v>
      </c>
      <c r="F159" s="350">
        <v>32902541.125958167</v>
      </c>
      <c r="G159" s="350">
        <v>40986525.556429744</v>
      </c>
      <c r="H159" s="348">
        <v>124700400.67205736</v>
      </c>
      <c r="I159" s="369"/>
      <c r="J159" s="350">
        <v>10483371.144529525</v>
      </c>
      <c r="K159" s="350">
        <v>21255050.921504352</v>
      </c>
      <c r="L159" s="350">
        <v>31778318.906383984</v>
      </c>
      <c r="M159" s="350">
        <v>42045672.639519259</v>
      </c>
      <c r="N159" s="350">
        <v>52052417.285094284</v>
      </c>
      <c r="O159" s="348">
        <v>157614830.8970314</v>
      </c>
      <c r="P159" s="369"/>
      <c r="Q159" s="350">
        <f t="shared" si="93"/>
        <v>1469215.2406982277</v>
      </c>
      <c r="R159" s="350">
        <f t="shared" si="94"/>
        <v>4337764.3773451932</v>
      </c>
      <c r="S159" s="350">
        <f t="shared" si="95"/>
        <v>6898427.3647049926</v>
      </c>
      <c r="T159" s="350">
        <f t="shared" si="96"/>
        <v>9143131.5135610923</v>
      </c>
      <c r="U159" s="350">
        <f t="shared" si="97"/>
        <v>11065891.72866454</v>
      </c>
      <c r="V159" s="350">
        <f t="shared" si="98"/>
        <v>32914430.224974036</v>
      </c>
      <c r="W159" s="365"/>
      <c r="X159" s="377">
        <f t="shared" si="76"/>
        <v>0</v>
      </c>
      <c r="Y159" s="377">
        <f t="shared" si="77"/>
        <v>0</v>
      </c>
      <c r="Z159" s="377">
        <f t="shared" si="78"/>
        <v>0</v>
      </c>
      <c r="AA159" s="377">
        <f t="shared" si="79"/>
        <v>0</v>
      </c>
      <c r="AB159" s="377">
        <f t="shared" si="80"/>
        <v>0</v>
      </c>
      <c r="AC159" s="377">
        <f t="shared" si="81"/>
        <v>0</v>
      </c>
      <c r="AD159" s="376"/>
      <c r="AE159" s="332">
        <v>144</v>
      </c>
      <c r="AF159" s="350">
        <v>8965232.707053829</v>
      </c>
      <c r="AG159" s="350">
        <v>18000870.933658797</v>
      </c>
      <c r="AH159" s="350">
        <v>27104891.353445511</v>
      </c>
      <c r="AI159" s="350">
        <v>36277595.829769045</v>
      </c>
      <c r="AJ159" s="350">
        <v>45520307.195608288</v>
      </c>
      <c r="AK159" s="348">
        <v>135868898.01953548</v>
      </c>
      <c r="AL159" s="369"/>
      <c r="AM159" s="350">
        <v>10336443.782413216</v>
      </c>
      <c r="AN159" s="350">
        <v>22045067.23860231</v>
      </c>
      <c r="AO159" s="350">
        <v>33414527.429199073</v>
      </c>
      <c r="AP159" s="350">
        <v>44437713.011195861</v>
      </c>
      <c r="AQ159" s="350">
        <v>55110590.402984381</v>
      </c>
      <c r="AR159" s="348">
        <v>165344341.86439484</v>
      </c>
      <c r="AS159" s="369"/>
      <c r="AT159" s="350">
        <f t="shared" si="99"/>
        <v>1371211.0753593873</v>
      </c>
      <c r="AU159" s="350">
        <f t="shared" si="82"/>
        <v>4044196.3049435131</v>
      </c>
      <c r="AV159" s="350">
        <f t="shared" si="83"/>
        <v>6309636.0757535622</v>
      </c>
      <c r="AW159" s="350">
        <f t="shared" si="84"/>
        <v>8160117.1814268157</v>
      </c>
      <c r="AX159" s="350">
        <f t="shared" si="85"/>
        <v>9590283.2073760927</v>
      </c>
      <c r="AY159" s="350">
        <f t="shared" si="86"/>
        <v>29475443.844859362</v>
      </c>
      <c r="AZ159" s="365"/>
      <c r="BA159" s="377">
        <f t="shared" si="87"/>
        <v>0</v>
      </c>
      <c r="BB159" s="377">
        <f t="shared" si="88"/>
        <v>0</v>
      </c>
      <c r="BC159" s="377">
        <f t="shared" si="89"/>
        <v>0</v>
      </c>
      <c r="BD159" s="377">
        <f t="shared" si="90"/>
        <v>0</v>
      </c>
      <c r="BE159" s="377">
        <f t="shared" si="91"/>
        <v>0</v>
      </c>
      <c r="BF159" s="377">
        <f t="shared" si="92"/>
        <v>0</v>
      </c>
      <c r="BG159" s="328"/>
    </row>
    <row r="160" spans="2:59">
      <c r="B160" s="332">
        <v>145</v>
      </c>
      <c r="C160" s="350">
        <v>10610560.913183674</v>
      </c>
      <c r="D160" s="350">
        <v>19920313.648431603</v>
      </c>
      <c r="E160" s="350">
        <v>29300128.446861722</v>
      </c>
      <c r="F160" s="350">
        <v>38750674.950416259</v>
      </c>
      <c r="G160" s="350">
        <v>48273472.158187345</v>
      </c>
      <c r="H160" s="348">
        <v>146855150.11708063</v>
      </c>
      <c r="I160" s="369"/>
      <c r="J160" s="350">
        <v>12180838.618214142</v>
      </c>
      <c r="K160" s="350">
        <v>24554344.406334389</v>
      </c>
      <c r="L160" s="350">
        <v>36626025.389465325</v>
      </c>
      <c r="M160" s="350">
        <v>48387275.651466548</v>
      </c>
      <c r="N160" s="350">
        <v>59832596.965506986</v>
      </c>
      <c r="O160" s="348">
        <v>181581081.03098738</v>
      </c>
      <c r="P160" s="369"/>
      <c r="Q160" s="350">
        <f t="shared" si="93"/>
        <v>1570277.7050304674</v>
      </c>
      <c r="R160" s="350">
        <f t="shared" si="94"/>
        <v>4634030.7579027861</v>
      </c>
      <c r="S160" s="350">
        <f t="shared" si="95"/>
        <v>7325896.942603603</v>
      </c>
      <c r="T160" s="350">
        <f t="shared" si="96"/>
        <v>9636600.701050289</v>
      </c>
      <c r="U160" s="350">
        <f t="shared" si="97"/>
        <v>11559124.807319641</v>
      </c>
      <c r="V160" s="350">
        <f t="shared" si="98"/>
        <v>34725930.913906753</v>
      </c>
      <c r="W160" s="365"/>
      <c r="X160" s="377">
        <f t="shared" si="76"/>
        <v>0</v>
      </c>
      <c r="Y160" s="377">
        <f t="shared" si="77"/>
        <v>0</v>
      </c>
      <c r="Z160" s="377">
        <f t="shared" si="78"/>
        <v>0</v>
      </c>
      <c r="AA160" s="377">
        <f t="shared" si="79"/>
        <v>0</v>
      </c>
      <c r="AB160" s="377">
        <f t="shared" si="80"/>
        <v>0</v>
      </c>
      <c r="AC160" s="377">
        <f t="shared" si="81"/>
        <v>0</v>
      </c>
      <c r="AD160" s="376"/>
      <c r="AE160" s="332">
        <v>145</v>
      </c>
      <c r="AF160" s="350">
        <v>6057654.3126174556</v>
      </c>
      <c r="AG160" s="350">
        <v>12162880.429902676</v>
      </c>
      <c r="AH160" s="350">
        <v>18314311.22485429</v>
      </c>
      <c r="AI160" s="350">
        <v>24512150.661375351</v>
      </c>
      <c r="AJ160" s="350">
        <v>30757292.555071238</v>
      </c>
      <c r="AK160" s="348">
        <v>91804289.183821008</v>
      </c>
      <c r="AL160" s="369"/>
      <c r="AM160" s="350">
        <v>7297554.4692927198</v>
      </c>
      <c r="AN160" s="350">
        <v>15824916.05610542</v>
      </c>
      <c r="AO160" s="350">
        <v>24132497.146677639</v>
      </c>
      <c r="AP160" s="350">
        <v>32215404.088141385</v>
      </c>
      <c r="AQ160" s="350">
        <v>40071228.855413951</v>
      </c>
      <c r="AR160" s="348">
        <v>119541600.6156311</v>
      </c>
      <c r="AS160" s="369"/>
      <c r="AT160" s="350">
        <f t="shared" si="99"/>
        <v>1239900.1566752642</v>
      </c>
      <c r="AU160" s="350">
        <f t="shared" si="82"/>
        <v>3662035.6262027435</v>
      </c>
      <c r="AV160" s="350">
        <f t="shared" si="83"/>
        <v>5818185.9218233489</v>
      </c>
      <c r="AW160" s="350">
        <f t="shared" si="84"/>
        <v>7703253.4267660342</v>
      </c>
      <c r="AX160" s="350">
        <f t="shared" si="85"/>
        <v>9313936.3003427126</v>
      </c>
      <c r="AY160" s="350">
        <f t="shared" si="86"/>
        <v>27737311.431810096</v>
      </c>
      <c r="AZ160" s="365"/>
      <c r="BA160" s="377">
        <f t="shared" si="87"/>
        <v>0</v>
      </c>
      <c r="BB160" s="377">
        <f t="shared" si="88"/>
        <v>0</v>
      </c>
      <c r="BC160" s="377">
        <f t="shared" si="89"/>
        <v>0</v>
      </c>
      <c r="BD160" s="377">
        <f t="shared" si="90"/>
        <v>0</v>
      </c>
      <c r="BE160" s="377">
        <f t="shared" si="91"/>
        <v>0</v>
      </c>
      <c r="BF160" s="377">
        <f t="shared" si="92"/>
        <v>0</v>
      </c>
      <c r="BG160" s="328"/>
    </row>
    <row r="161" spans="2:59">
      <c r="B161" s="332">
        <v>146</v>
      </c>
      <c r="C161" s="350">
        <v>6041812.2537242668</v>
      </c>
      <c r="D161" s="350">
        <v>11190027.101330919</v>
      </c>
      <c r="E161" s="350">
        <v>16376935.604300097</v>
      </c>
      <c r="F161" s="350">
        <v>21602953.573642932</v>
      </c>
      <c r="G161" s="350">
        <v>26868940.802051105</v>
      </c>
      <c r="H161" s="348">
        <v>82080669.335049316</v>
      </c>
      <c r="I161" s="369"/>
      <c r="J161" s="350">
        <v>7059169.8539934624</v>
      </c>
      <c r="K161" s="350">
        <v>14194533.134043671</v>
      </c>
      <c r="L161" s="350">
        <v>21171679.04283395</v>
      </c>
      <c r="M161" s="350">
        <v>27985695.111630589</v>
      </c>
      <c r="N161" s="350">
        <v>34633548.347837001</v>
      </c>
      <c r="O161" s="348">
        <v>105044625.49033867</v>
      </c>
      <c r="P161" s="369"/>
      <c r="Q161" s="350">
        <f t="shared" si="93"/>
        <v>1017357.6002691956</v>
      </c>
      <c r="R161" s="350">
        <f t="shared" si="94"/>
        <v>3004506.032712752</v>
      </c>
      <c r="S161" s="350">
        <f t="shared" si="95"/>
        <v>4794743.4385338537</v>
      </c>
      <c r="T161" s="350">
        <f t="shared" si="96"/>
        <v>6382741.5379876569</v>
      </c>
      <c r="U161" s="350">
        <f t="shared" si="97"/>
        <v>7764607.5457858965</v>
      </c>
      <c r="V161" s="350">
        <f t="shared" si="98"/>
        <v>22963956.155289352</v>
      </c>
      <c r="W161" s="365"/>
      <c r="X161" s="377">
        <f t="shared" si="76"/>
        <v>0</v>
      </c>
      <c r="Y161" s="377">
        <f t="shared" si="77"/>
        <v>0</v>
      </c>
      <c r="Z161" s="377">
        <f t="shared" si="78"/>
        <v>0</v>
      </c>
      <c r="AA161" s="377">
        <f t="shared" si="79"/>
        <v>0</v>
      </c>
      <c r="AB161" s="377">
        <f t="shared" si="80"/>
        <v>0</v>
      </c>
      <c r="AC161" s="377">
        <f t="shared" si="81"/>
        <v>0</v>
      </c>
      <c r="AD161" s="376"/>
      <c r="AE161" s="332">
        <v>146</v>
      </c>
      <c r="AF161" s="350">
        <v>6646026.4971019523</v>
      </c>
      <c r="AG161" s="350">
        <v>13344245.387170006</v>
      </c>
      <c r="AH161" s="350">
        <v>20093156.755912736</v>
      </c>
      <c r="AI161" s="350">
        <v>26892984.377985172</v>
      </c>
      <c r="AJ161" s="350">
        <v>33744708.884154662</v>
      </c>
      <c r="AK161" s="348">
        <v>100721121.90232453</v>
      </c>
      <c r="AL161" s="369"/>
      <c r="AM161" s="350">
        <v>8130560.7049367633</v>
      </c>
      <c r="AN161" s="350">
        <v>17730322.840671204</v>
      </c>
      <c r="AO161" s="350">
        <v>27092677.435995642</v>
      </c>
      <c r="AP161" s="350">
        <v>36212220.394284867</v>
      </c>
      <c r="AQ161" s="350">
        <v>45086435.591749549</v>
      </c>
      <c r="AR161" s="348">
        <v>134252216.96763802</v>
      </c>
      <c r="AS161" s="369"/>
      <c r="AT161" s="350">
        <f t="shared" si="99"/>
        <v>1484534.2078348109</v>
      </c>
      <c r="AU161" s="350">
        <f t="shared" si="82"/>
        <v>4386077.4535011984</v>
      </c>
      <c r="AV161" s="350">
        <f t="shared" si="83"/>
        <v>6999520.680082906</v>
      </c>
      <c r="AW161" s="350">
        <f t="shared" si="84"/>
        <v>9319236.0162996948</v>
      </c>
      <c r="AX161" s="350">
        <f t="shared" si="85"/>
        <v>11341726.707594886</v>
      </c>
      <c r="AY161" s="350">
        <f t="shared" si="86"/>
        <v>33531095.065313488</v>
      </c>
      <c r="AZ161" s="365"/>
      <c r="BA161" s="377">
        <f t="shared" si="87"/>
        <v>0</v>
      </c>
      <c r="BB161" s="377">
        <f t="shared" si="88"/>
        <v>0</v>
      </c>
      <c r="BC161" s="377">
        <f t="shared" si="89"/>
        <v>0</v>
      </c>
      <c r="BD161" s="377">
        <f t="shared" si="90"/>
        <v>0</v>
      </c>
      <c r="BE161" s="377">
        <f t="shared" si="91"/>
        <v>0</v>
      </c>
      <c r="BF161" s="377">
        <f t="shared" si="92"/>
        <v>0</v>
      </c>
      <c r="BG161" s="328"/>
    </row>
    <row r="162" spans="2:59">
      <c r="B162" s="332">
        <v>147</v>
      </c>
      <c r="C162" s="350">
        <v>5942605.8465678347</v>
      </c>
      <c r="D162" s="350">
        <v>11015942.540162353</v>
      </c>
      <c r="E162" s="350">
        <v>16127413.365828266</v>
      </c>
      <c r="F162" s="350">
        <v>21277425.127881519</v>
      </c>
      <c r="G162" s="350">
        <v>26466823.826340944</v>
      </c>
      <c r="H162" s="348">
        <v>80830210.70678091</v>
      </c>
      <c r="I162" s="369"/>
      <c r="J162" s="350">
        <v>6867307.8544083126</v>
      </c>
      <c r="K162" s="350">
        <v>13745843.443730339</v>
      </c>
      <c r="L162" s="350">
        <v>20465182.670876559</v>
      </c>
      <c r="M162" s="350">
        <v>27020541.230920851</v>
      </c>
      <c r="N162" s="350">
        <v>33408889.226800438</v>
      </c>
      <c r="O162" s="348">
        <v>101507764.4267365</v>
      </c>
      <c r="P162" s="369"/>
      <c r="Q162" s="350">
        <f t="shared" si="93"/>
        <v>924702.00784047786</v>
      </c>
      <c r="R162" s="350">
        <f t="shared" si="94"/>
        <v>2729900.9035679866</v>
      </c>
      <c r="S162" s="350">
        <f t="shared" si="95"/>
        <v>4337769.3050482925</v>
      </c>
      <c r="T162" s="350">
        <f t="shared" si="96"/>
        <v>5743116.1030393317</v>
      </c>
      <c r="U162" s="350">
        <f t="shared" si="97"/>
        <v>6942065.4004594944</v>
      </c>
      <c r="V162" s="350">
        <f t="shared" si="98"/>
        <v>20677553.719955593</v>
      </c>
      <c r="W162" s="365"/>
      <c r="X162" s="377">
        <f t="shared" si="76"/>
        <v>0</v>
      </c>
      <c r="Y162" s="377">
        <f t="shared" si="77"/>
        <v>0</v>
      </c>
      <c r="Z162" s="377">
        <f t="shared" si="78"/>
        <v>0</v>
      </c>
      <c r="AA162" s="377">
        <f t="shared" si="79"/>
        <v>0</v>
      </c>
      <c r="AB162" s="377">
        <f t="shared" si="80"/>
        <v>0</v>
      </c>
      <c r="AC162" s="377">
        <f t="shared" si="81"/>
        <v>0</v>
      </c>
      <c r="AD162" s="376"/>
      <c r="AE162" s="332">
        <v>147</v>
      </c>
      <c r="AF162" s="350">
        <v>4521967.1127907168</v>
      </c>
      <c r="AG162" s="350">
        <v>9079446.0136601403</v>
      </c>
      <c r="AH162" s="350">
        <v>13671416.158513121</v>
      </c>
      <c r="AI162" s="350">
        <v>18298029.803984687</v>
      </c>
      <c r="AJ162" s="350">
        <v>22959954.172825396</v>
      </c>
      <c r="AK162" s="348">
        <v>68530813.261774063</v>
      </c>
      <c r="AL162" s="369"/>
      <c r="AM162" s="350">
        <v>5326100.6276635854</v>
      </c>
      <c r="AN162" s="350">
        <v>11452964.963271417</v>
      </c>
      <c r="AO162" s="350">
        <v>17412128.680670805</v>
      </c>
      <c r="AP162" s="350">
        <v>23199973.072983339</v>
      </c>
      <c r="AQ162" s="350">
        <v>28814577.590574402</v>
      </c>
      <c r="AR162" s="348">
        <v>86205744.935163543</v>
      </c>
      <c r="AS162" s="369"/>
      <c r="AT162" s="350">
        <f t="shared" si="99"/>
        <v>804133.51487286855</v>
      </c>
      <c r="AU162" s="350">
        <f t="shared" si="82"/>
        <v>2373518.9496112764</v>
      </c>
      <c r="AV162" s="350">
        <f t="shared" si="83"/>
        <v>3740712.522157684</v>
      </c>
      <c r="AW162" s="350">
        <f t="shared" si="84"/>
        <v>4901943.2689986527</v>
      </c>
      <c r="AX162" s="350">
        <f t="shared" si="85"/>
        <v>5854623.4177490063</v>
      </c>
      <c r="AY162" s="350">
        <f t="shared" si="86"/>
        <v>17674931.67338948</v>
      </c>
      <c r="AZ162" s="365"/>
      <c r="BA162" s="377">
        <f t="shared" si="87"/>
        <v>0</v>
      </c>
      <c r="BB162" s="377">
        <f t="shared" si="88"/>
        <v>0</v>
      </c>
      <c r="BC162" s="377">
        <f t="shared" si="89"/>
        <v>0</v>
      </c>
      <c r="BD162" s="377">
        <f t="shared" si="90"/>
        <v>0</v>
      </c>
      <c r="BE162" s="377">
        <f t="shared" si="91"/>
        <v>0</v>
      </c>
      <c r="BF162" s="377">
        <f t="shared" si="92"/>
        <v>0</v>
      </c>
      <c r="BG162" s="328"/>
    </row>
    <row r="163" spans="2:59">
      <c r="B163" s="332">
        <v>148</v>
      </c>
      <c r="C163" s="350">
        <v>5265443.5067748539</v>
      </c>
      <c r="D163" s="350">
        <v>9696679.2814430352</v>
      </c>
      <c r="E163" s="350">
        <v>14161201.247006748</v>
      </c>
      <c r="F163" s="350">
        <v>18659384.294389986</v>
      </c>
      <c r="G163" s="350">
        <v>23191975.866923209</v>
      </c>
      <c r="H163" s="348">
        <v>70974684.196537837</v>
      </c>
      <c r="I163" s="369"/>
      <c r="J163" s="350">
        <v>6520859.2488575988</v>
      </c>
      <c r="K163" s="350">
        <v>13408979.438163543</v>
      </c>
      <c r="L163" s="350">
        <v>20178699.374052785</v>
      </c>
      <c r="M163" s="350">
        <v>26825460.614276599</v>
      </c>
      <c r="N163" s="350">
        <v>33346795.158261091</v>
      </c>
      <c r="O163" s="348">
        <v>100280793.83361162</v>
      </c>
      <c r="P163" s="369"/>
      <c r="Q163" s="350">
        <f t="shared" si="93"/>
        <v>1255415.7420827448</v>
      </c>
      <c r="R163" s="350">
        <f t="shared" si="94"/>
        <v>3712300.1567205079</v>
      </c>
      <c r="S163" s="350">
        <f t="shared" si="95"/>
        <v>6017498.1270460375</v>
      </c>
      <c r="T163" s="350">
        <f t="shared" si="96"/>
        <v>8166076.3198866136</v>
      </c>
      <c r="U163" s="350">
        <f t="shared" si="97"/>
        <v>10154819.291337881</v>
      </c>
      <c r="V163" s="350">
        <f t="shared" si="98"/>
        <v>29306109.637073785</v>
      </c>
      <c r="W163" s="365"/>
      <c r="X163" s="377">
        <f t="shared" si="76"/>
        <v>0</v>
      </c>
      <c r="Y163" s="377">
        <f t="shared" si="77"/>
        <v>0</v>
      </c>
      <c r="Z163" s="377">
        <f t="shared" si="78"/>
        <v>0</v>
      </c>
      <c r="AA163" s="377">
        <f t="shared" si="79"/>
        <v>0</v>
      </c>
      <c r="AB163" s="377">
        <f t="shared" si="80"/>
        <v>0</v>
      </c>
      <c r="AC163" s="377">
        <f t="shared" si="81"/>
        <v>0</v>
      </c>
      <c r="AD163" s="376"/>
      <c r="AE163" s="332">
        <v>148</v>
      </c>
      <c r="AF163" s="350">
        <v>5777476.5349996211</v>
      </c>
      <c r="AG163" s="350">
        <v>11600324.590229955</v>
      </c>
      <c r="AH163" s="350">
        <v>17467240.270855948</v>
      </c>
      <c r="AI163" s="350">
        <v>23378418.107070811</v>
      </c>
      <c r="AJ163" s="350">
        <v>29334710.573845915</v>
      </c>
      <c r="AK163" s="348">
        <v>87558170.077002257</v>
      </c>
      <c r="AL163" s="369"/>
      <c r="AM163" s="350">
        <v>6554268.3147564139</v>
      </c>
      <c r="AN163" s="350">
        <v>13889617.208964992</v>
      </c>
      <c r="AO163" s="350">
        <v>21003198.203015927</v>
      </c>
      <c r="AP163" s="350">
        <v>27890458.748761237</v>
      </c>
      <c r="AQ163" s="350">
        <v>34548691.256302603</v>
      </c>
      <c r="AR163" s="348">
        <v>103886233.73180118</v>
      </c>
      <c r="AS163" s="369"/>
      <c r="AT163" s="350">
        <f t="shared" si="99"/>
        <v>776791.77975679282</v>
      </c>
      <c r="AU163" s="350">
        <f t="shared" si="82"/>
        <v>2289292.6187350377</v>
      </c>
      <c r="AV163" s="350">
        <f t="shared" si="83"/>
        <v>3535957.9321599789</v>
      </c>
      <c r="AW163" s="350">
        <f t="shared" si="84"/>
        <v>4512040.6416904256</v>
      </c>
      <c r="AX163" s="350">
        <f t="shared" si="85"/>
        <v>5213980.6824566871</v>
      </c>
      <c r="AY163" s="350">
        <f t="shared" si="86"/>
        <v>16328063.654798925</v>
      </c>
      <c r="AZ163" s="365"/>
      <c r="BA163" s="377">
        <f t="shared" si="87"/>
        <v>0</v>
      </c>
      <c r="BB163" s="377">
        <f t="shared" si="88"/>
        <v>0</v>
      </c>
      <c r="BC163" s="377">
        <f t="shared" si="89"/>
        <v>0</v>
      </c>
      <c r="BD163" s="377">
        <f t="shared" si="90"/>
        <v>0</v>
      </c>
      <c r="BE163" s="377">
        <f t="shared" si="91"/>
        <v>0</v>
      </c>
      <c r="BF163" s="377">
        <f t="shared" si="92"/>
        <v>0</v>
      </c>
      <c r="BG163" s="328"/>
    </row>
    <row r="164" spans="2:59">
      <c r="B164" s="332">
        <v>149</v>
      </c>
      <c r="C164" s="350">
        <v>6077533.9667038023</v>
      </c>
      <c r="D164" s="350">
        <v>11472552.711097371</v>
      </c>
      <c r="E164" s="350">
        <v>16908193.039518248</v>
      </c>
      <c r="F164" s="350">
        <v>22384824.390787944</v>
      </c>
      <c r="G164" s="350">
        <v>27903318.926173326</v>
      </c>
      <c r="H164" s="348">
        <v>84746423.034280688</v>
      </c>
      <c r="I164" s="369"/>
      <c r="J164" s="350">
        <v>7265657.154306978</v>
      </c>
      <c r="K164" s="350">
        <v>14982891.087868031</v>
      </c>
      <c r="L164" s="350">
        <v>22534361.261553776</v>
      </c>
      <c r="M164" s="350">
        <v>29914964.39170216</v>
      </c>
      <c r="N164" s="350">
        <v>37121767.975893952</v>
      </c>
      <c r="O164" s="348">
        <v>111819641.8713249</v>
      </c>
      <c r="P164" s="369"/>
      <c r="Q164" s="350">
        <f t="shared" si="93"/>
        <v>1188123.1876031756</v>
      </c>
      <c r="R164" s="350">
        <f t="shared" si="94"/>
        <v>3510338.3767706603</v>
      </c>
      <c r="S164" s="350">
        <f t="shared" si="95"/>
        <v>5626168.2220355272</v>
      </c>
      <c r="T164" s="350">
        <f t="shared" si="96"/>
        <v>7530140.000914216</v>
      </c>
      <c r="U164" s="350">
        <f t="shared" si="97"/>
        <v>9218449.0497206263</v>
      </c>
      <c r="V164" s="350">
        <f t="shared" si="98"/>
        <v>27073218.837044209</v>
      </c>
      <c r="W164" s="365"/>
      <c r="X164" s="377">
        <f t="shared" si="76"/>
        <v>0</v>
      </c>
      <c r="Y164" s="377">
        <f t="shared" si="77"/>
        <v>0</v>
      </c>
      <c r="Z164" s="377">
        <f t="shared" si="78"/>
        <v>0</v>
      </c>
      <c r="AA164" s="377">
        <f t="shared" si="79"/>
        <v>0</v>
      </c>
      <c r="AB164" s="377">
        <f t="shared" si="80"/>
        <v>0</v>
      </c>
      <c r="AC164" s="377">
        <f t="shared" si="81"/>
        <v>0</v>
      </c>
      <c r="AD164" s="376"/>
      <c r="AE164" s="332">
        <v>149</v>
      </c>
      <c r="AF164" s="350">
        <v>8104697.5520961657</v>
      </c>
      <c r="AG164" s="350">
        <v>16273042.692671679</v>
      </c>
      <c r="AH164" s="350">
        <v>24503206.305984773</v>
      </c>
      <c r="AI164" s="350">
        <v>32795461.280790806</v>
      </c>
      <c r="AJ164" s="350">
        <v>41151003.476869009</v>
      </c>
      <c r="AK164" s="348">
        <v>122827411.30841243</v>
      </c>
      <c r="AL164" s="369"/>
      <c r="AM164" s="350">
        <v>9599159.0554333739</v>
      </c>
      <c r="AN164" s="350">
        <v>20684914.911796872</v>
      </c>
      <c r="AO164" s="350">
        <v>31471695.718717285</v>
      </c>
      <c r="AP164" s="350">
        <v>41953000.63532187</v>
      </c>
      <c r="AQ164" s="350">
        <v>52125441.367377847</v>
      </c>
      <c r="AR164" s="348">
        <v>155834211.68864724</v>
      </c>
      <c r="AS164" s="369"/>
      <c r="AT164" s="350">
        <f t="shared" si="99"/>
        <v>1494461.5033372082</v>
      </c>
      <c r="AU164" s="350">
        <f t="shared" si="82"/>
        <v>4411872.2191251926</v>
      </c>
      <c r="AV164" s="350">
        <f t="shared" si="83"/>
        <v>6968489.4127325118</v>
      </c>
      <c r="AW164" s="350">
        <f t="shared" si="84"/>
        <v>9157539.3545310646</v>
      </c>
      <c r="AX164" s="350">
        <f t="shared" si="85"/>
        <v>10974437.890508838</v>
      </c>
      <c r="AY164" s="350">
        <f t="shared" si="86"/>
        <v>33006800.380234808</v>
      </c>
      <c r="AZ164" s="365"/>
      <c r="BA164" s="377">
        <f t="shared" si="87"/>
        <v>0</v>
      </c>
      <c r="BB164" s="377">
        <f t="shared" si="88"/>
        <v>0</v>
      </c>
      <c r="BC164" s="377">
        <f t="shared" si="89"/>
        <v>0</v>
      </c>
      <c r="BD164" s="377">
        <f t="shared" si="90"/>
        <v>0</v>
      </c>
      <c r="BE164" s="377">
        <f t="shared" si="91"/>
        <v>0</v>
      </c>
      <c r="BF164" s="377">
        <f t="shared" si="92"/>
        <v>0</v>
      </c>
      <c r="BG164" s="328"/>
    </row>
    <row r="165" spans="2:59">
      <c r="B165" s="332">
        <v>150</v>
      </c>
      <c r="C165" s="350">
        <v>9822182.2851765901</v>
      </c>
      <c r="D165" s="350">
        <v>18221341.816028573</v>
      </c>
      <c r="E165" s="350">
        <v>26683638.911547739</v>
      </c>
      <c r="F165" s="350">
        <v>35209742.853439212</v>
      </c>
      <c r="G165" s="350">
        <v>43801052.407838821</v>
      </c>
      <c r="H165" s="348">
        <v>133737958.27403094</v>
      </c>
      <c r="I165" s="369"/>
      <c r="J165" s="350">
        <v>11487520.00287186</v>
      </c>
      <c r="K165" s="350">
        <v>23139563.275160532</v>
      </c>
      <c r="L165" s="350">
        <v>34531238.732314788</v>
      </c>
      <c r="M165" s="350">
        <v>45654619.46483317</v>
      </c>
      <c r="N165" s="350">
        <v>56504860.982884705</v>
      </c>
      <c r="O165" s="348">
        <v>171317802.45806506</v>
      </c>
      <c r="P165" s="369"/>
      <c r="Q165" s="350">
        <f t="shared" si="93"/>
        <v>1665337.7176952697</v>
      </c>
      <c r="R165" s="350">
        <f t="shared" si="94"/>
        <v>4918221.4591319598</v>
      </c>
      <c r="S165" s="350">
        <f t="shared" si="95"/>
        <v>7847599.8207670487</v>
      </c>
      <c r="T165" s="350">
        <f t="shared" si="96"/>
        <v>10444876.611393958</v>
      </c>
      <c r="U165" s="350">
        <f t="shared" si="97"/>
        <v>12703808.575045884</v>
      </c>
      <c r="V165" s="350">
        <f t="shared" si="98"/>
        <v>37579844.184034124</v>
      </c>
      <c r="W165" s="365"/>
      <c r="X165" s="377">
        <f t="shared" si="76"/>
        <v>0</v>
      </c>
      <c r="Y165" s="377">
        <f t="shared" si="77"/>
        <v>0</v>
      </c>
      <c r="Z165" s="377">
        <f t="shared" si="78"/>
        <v>0</v>
      </c>
      <c r="AA165" s="377">
        <f t="shared" si="79"/>
        <v>0</v>
      </c>
      <c r="AB165" s="377">
        <f t="shared" si="80"/>
        <v>0</v>
      </c>
      <c r="AC165" s="377">
        <f t="shared" si="81"/>
        <v>0</v>
      </c>
      <c r="AD165" s="376"/>
      <c r="AE165" s="332">
        <v>150</v>
      </c>
      <c r="AF165" s="350">
        <v>4808703.5697303852</v>
      </c>
      <c r="AG165" s="350">
        <v>9655170.7184170522</v>
      </c>
      <c r="AH165" s="350">
        <v>14538316.189597271</v>
      </c>
      <c r="AI165" s="350">
        <v>19458301.894449539</v>
      </c>
      <c r="AJ165" s="350">
        <v>24415837.364101</v>
      </c>
      <c r="AK165" s="348">
        <v>72876329.736295253</v>
      </c>
      <c r="AL165" s="369"/>
      <c r="AM165" s="350">
        <v>5831137.2401244994</v>
      </c>
      <c r="AN165" s="350">
        <v>12675386.983259045</v>
      </c>
      <c r="AO165" s="350">
        <v>19346313.263401803</v>
      </c>
      <c r="AP165" s="350">
        <v>25840020.591091305</v>
      </c>
      <c r="AQ165" s="350">
        <v>32154636.08139129</v>
      </c>
      <c r="AR165" s="348">
        <v>95847494.159267947</v>
      </c>
      <c r="AS165" s="369"/>
      <c r="AT165" s="350">
        <f t="shared" si="99"/>
        <v>1022433.6703941142</v>
      </c>
      <c r="AU165" s="350">
        <f t="shared" si="82"/>
        <v>3020216.2648419924</v>
      </c>
      <c r="AV165" s="350">
        <f t="shared" si="83"/>
        <v>4807997.0738045312</v>
      </c>
      <c r="AW165" s="350">
        <f t="shared" si="84"/>
        <v>6381718.6966417655</v>
      </c>
      <c r="AX165" s="350">
        <f t="shared" si="85"/>
        <v>7738798.7172902897</v>
      </c>
      <c r="AY165" s="350">
        <f t="shared" si="86"/>
        <v>22971164.422972694</v>
      </c>
      <c r="AZ165" s="365"/>
      <c r="BA165" s="377">
        <f t="shared" si="87"/>
        <v>0</v>
      </c>
      <c r="BB165" s="377">
        <f t="shared" si="88"/>
        <v>0</v>
      </c>
      <c r="BC165" s="377">
        <f t="shared" si="89"/>
        <v>0</v>
      </c>
      <c r="BD165" s="377">
        <f t="shared" si="90"/>
        <v>0</v>
      </c>
      <c r="BE165" s="377">
        <f t="shared" si="91"/>
        <v>0</v>
      </c>
      <c r="BF165" s="377">
        <f t="shared" si="92"/>
        <v>0</v>
      </c>
      <c r="BG165" s="328"/>
    </row>
    <row r="166" spans="2:59">
      <c r="B166" s="332">
        <v>151</v>
      </c>
      <c r="C166" s="350">
        <v>9411819.6614799704</v>
      </c>
      <c r="D166" s="350">
        <v>17657568.812762246</v>
      </c>
      <c r="E166" s="350">
        <v>25965368.69158911</v>
      </c>
      <c r="F166" s="350">
        <v>34335816.044776693</v>
      </c>
      <c r="G166" s="350">
        <v>42770257.849069372</v>
      </c>
      <c r="H166" s="348">
        <v>130140831.05967739</v>
      </c>
      <c r="I166" s="369"/>
      <c r="J166" s="350">
        <v>10821736.338033458</v>
      </c>
      <c r="K166" s="350">
        <v>21818643.521095783</v>
      </c>
      <c r="L166" s="350">
        <v>32547434.803898919</v>
      </c>
      <c r="M166" s="350">
        <v>43000544.17988506</v>
      </c>
      <c r="N166" s="350">
        <v>53173183.0226316</v>
      </c>
      <c r="O166" s="348">
        <v>161361541.86554483</v>
      </c>
      <c r="P166" s="369"/>
      <c r="Q166" s="350">
        <f t="shared" si="93"/>
        <v>1409916.6765534878</v>
      </c>
      <c r="R166" s="350">
        <f t="shared" si="94"/>
        <v>4161074.708333537</v>
      </c>
      <c r="S166" s="350">
        <f t="shared" si="95"/>
        <v>6582066.1123098098</v>
      </c>
      <c r="T166" s="350">
        <f t="shared" si="96"/>
        <v>8664728.1351083666</v>
      </c>
      <c r="U166" s="350">
        <f t="shared" si="97"/>
        <v>10402925.173562229</v>
      </c>
      <c r="V166" s="350">
        <f t="shared" si="98"/>
        <v>31220710.805867434</v>
      </c>
      <c r="W166" s="365"/>
      <c r="X166" s="377">
        <f t="shared" si="76"/>
        <v>0</v>
      </c>
      <c r="Y166" s="377">
        <f t="shared" si="77"/>
        <v>0</v>
      </c>
      <c r="Z166" s="377">
        <f t="shared" si="78"/>
        <v>0</v>
      </c>
      <c r="AA166" s="377">
        <f t="shared" si="79"/>
        <v>0</v>
      </c>
      <c r="AB166" s="377">
        <f t="shared" si="80"/>
        <v>0</v>
      </c>
      <c r="AC166" s="377">
        <f t="shared" si="81"/>
        <v>0</v>
      </c>
      <c r="AD166" s="376"/>
      <c r="AE166" s="332">
        <v>151</v>
      </c>
      <c r="AF166" s="350">
        <v>6675556.8640406057</v>
      </c>
      <c r="AG166" s="350">
        <v>13403538.028114844</v>
      </c>
      <c r="AH166" s="350">
        <v>20182436.913344655</v>
      </c>
      <c r="AI166" s="350">
        <v>27012478.288685597</v>
      </c>
      <c r="AJ166" s="350">
        <v>33894647.142153129</v>
      </c>
      <c r="AK166" s="348">
        <v>101168657.23633884</v>
      </c>
      <c r="AL166" s="369"/>
      <c r="AM166" s="350">
        <v>7946811.534361288</v>
      </c>
      <c r="AN166" s="350">
        <v>17157017.178005837</v>
      </c>
      <c r="AO166" s="350">
        <v>26122175.056423739</v>
      </c>
      <c r="AP166" s="350">
        <v>34836919.249932498</v>
      </c>
      <c r="AQ166" s="350">
        <v>43298499.772195965</v>
      </c>
      <c r="AR166" s="348">
        <v>129361422.79091933</v>
      </c>
      <c r="AS166" s="369"/>
      <c r="AT166" s="350">
        <f t="shared" si="99"/>
        <v>1271254.6703206822</v>
      </c>
      <c r="AU166" s="350">
        <f t="shared" si="82"/>
        <v>3753479.1498909928</v>
      </c>
      <c r="AV166" s="350">
        <f t="shared" si="83"/>
        <v>5939738.1430790834</v>
      </c>
      <c r="AW166" s="350">
        <f t="shared" si="84"/>
        <v>7824440.9612469003</v>
      </c>
      <c r="AX166" s="350">
        <f t="shared" si="85"/>
        <v>9403852.6300428361</v>
      </c>
      <c r="AY166" s="350">
        <f t="shared" si="86"/>
        <v>28192765.554580495</v>
      </c>
      <c r="AZ166" s="365"/>
      <c r="BA166" s="377">
        <f t="shared" si="87"/>
        <v>0</v>
      </c>
      <c r="BB166" s="377">
        <f t="shared" si="88"/>
        <v>0</v>
      </c>
      <c r="BC166" s="377">
        <f t="shared" si="89"/>
        <v>0</v>
      </c>
      <c r="BD166" s="377">
        <f t="shared" si="90"/>
        <v>0</v>
      </c>
      <c r="BE166" s="377">
        <f t="shared" si="91"/>
        <v>0</v>
      </c>
      <c r="BF166" s="377">
        <f t="shared" si="92"/>
        <v>0</v>
      </c>
      <c r="BG166" s="328"/>
    </row>
    <row r="167" spans="2:59">
      <c r="B167" s="332">
        <v>152</v>
      </c>
      <c r="C167" s="350">
        <v>6007095.0171395019</v>
      </c>
      <c r="D167" s="350">
        <v>11398760.804394059</v>
      </c>
      <c r="E167" s="350">
        <v>16831042.085534122</v>
      </c>
      <c r="F167" s="350">
        <v>22304290.662467327</v>
      </c>
      <c r="G167" s="350">
        <v>27819370.580532767</v>
      </c>
      <c r="H167" s="348">
        <v>84360559.150067776</v>
      </c>
      <c r="I167" s="369"/>
      <c r="J167" s="350">
        <v>6865145.6803068947</v>
      </c>
      <c r="K167" s="350">
        <v>13930197.827588229</v>
      </c>
      <c r="L167" s="350">
        <v>20816935.54496783</v>
      </c>
      <c r="M167" s="350">
        <v>27520435.841526017</v>
      </c>
      <c r="N167" s="350">
        <v>34037532.48087889</v>
      </c>
      <c r="O167" s="348">
        <v>103170247.37526786</v>
      </c>
      <c r="P167" s="369"/>
      <c r="Q167" s="350">
        <f t="shared" si="93"/>
        <v>858050.66316739284</v>
      </c>
      <c r="R167" s="350">
        <f t="shared" si="94"/>
        <v>2531437.0231941696</v>
      </c>
      <c r="S167" s="350">
        <f t="shared" si="95"/>
        <v>3985893.4594337083</v>
      </c>
      <c r="T167" s="350">
        <f t="shared" si="96"/>
        <v>5216145.1790586896</v>
      </c>
      <c r="U167" s="350">
        <f t="shared" si="97"/>
        <v>6218161.9003461227</v>
      </c>
      <c r="V167" s="350">
        <f t="shared" si="98"/>
        <v>18809688.225200087</v>
      </c>
      <c r="W167" s="365"/>
      <c r="X167" s="377">
        <f t="shared" si="76"/>
        <v>0</v>
      </c>
      <c r="Y167" s="377">
        <f t="shared" si="77"/>
        <v>0</v>
      </c>
      <c r="Z167" s="377">
        <f t="shared" si="78"/>
        <v>0</v>
      </c>
      <c r="AA167" s="377">
        <f t="shared" si="79"/>
        <v>0</v>
      </c>
      <c r="AB167" s="377">
        <f t="shared" si="80"/>
        <v>0</v>
      </c>
      <c r="AC167" s="377">
        <f t="shared" si="81"/>
        <v>0</v>
      </c>
      <c r="AD167" s="376"/>
      <c r="AE167" s="332">
        <v>152</v>
      </c>
      <c r="AF167" s="350">
        <v>4691547.6755520999</v>
      </c>
      <c r="AG167" s="350">
        <v>9419938.8846062683</v>
      </c>
      <c r="AH167" s="350">
        <v>14184114.811130019</v>
      </c>
      <c r="AI167" s="350">
        <v>18984233.421611015</v>
      </c>
      <c r="AJ167" s="350">
        <v>23820986.960655734</v>
      </c>
      <c r="AK167" s="348">
        <v>71100821.753555134</v>
      </c>
      <c r="AL167" s="369"/>
      <c r="AM167" s="350">
        <v>5796526.2072632387</v>
      </c>
      <c r="AN167" s="350">
        <v>12685251.858149795</v>
      </c>
      <c r="AO167" s="350">
        <v>19408095.080587246</v>
      </c>
      <c r="AP167" s="350">
        <v>25961224.899916794</v>
      </c>
      <c r="AQ167" s="350">
        <v>32342922.887303647</v>
      </c>
      <c r="AR167" s="348">
        <v>96194020.933220729</v>
      </c>
      <c r="AS167" s="369"/>
      <c r="AT167" s="350">
        <f t="shared" si="99"/>
        <v>1104978.5317111388</v>
      </c>
      <c r="AU167" s="350">
        <f t="shared" si="82"/>
        <v>3265312.9735435266</v>
      </c>
      <c r="AV167" s="350">
        <f t="shared" si="83"/>
        <v>5223980.2694572266</v>
      </c>
      <c r="AW167" s="350">
        <f t="shared" si="84"/>
        <v>6976991.4783057794</v>
      </c>
      <c r="AX167" s="350">
        <f t="shared" si="85"/>
        <v>8521935.9266479127</v>
      </c>
      <c r="AY167" s="350">
        <f t="shared" si="86"/>
        <v>25093199.179665595</v>
      </c>
      <c r="AZ167" s="365"/>
      <c r="BA167" s="377">
        <f t="shared" si="87"/>
        <v>0</v>
      </c>
      <c r="BB167" s="377">
        <f t="shared" si="88"/>
        <v>0</v>
      </c>
      <c r="BC167" s="377">
        <f t="shared" si="89"/>
        <v>0</v>
      </c>
      <c r="BD167" s="377">
        <f t="shared" si="90"/>
        <v>0</v>
      </c>
      <c r="BE167" s="377">
        <f t="shared" si="91"/>
        <v>0</v>
      </c>
      <c r="BF167" s="377">
        <f t="shared" si="92"/>
        <v>0</v>
      </c>
      <c r="BG167" s="328"/>
    </row>
    <row r="168" spans="2:59">
      <c r="B168" s="332">
        <v>153</v>
      </c>
      <c r="C168" s="350">
        <v>5142936.4023600845</v>
      </c>
      <c r="D168" s="350">
        <v>9685786.8476106599</v>
      </c>
      <c r="E168" s="350">
        <v>14262835.216445917</v>
      </c>
      <c r="F168" s="350">
        <v>18874399.21981876</v>
      </c>
      <c r="G168" s="350">
        <v>23521216.140337348</v>
      </c>
      <c r="H168" s="348">
        <v>71487173.826572776</v>
      </c>
      <c r="I168" s="369"/>
      <c r="J168" s="350">
        <v>5990876.8494077846</v>
      </c>
      <c r="K168" s="350">
        <v>12189338.84271612</v>
      </c>
      <c r="L168" s="350">
        <v>18245135.152037054</v>
      </c>
      <c r="M168" s="350">
        <v>24153956.489419747</v>
      </c>
      <c r="N168" s="350">
        <v>29913117.772296879</v>
      </c>
      <c r="O168" s="348">
        <v>90492425.105877578</v>
      </c>
      <c r="P168" s="369"/>
      <c r="Q168" s="350">
        <f t="shared" si="93"/>
        <v>847940.44704770017</v>
      </c>
      <c r="R168" s="350">
        <f t="shared" si="94"/>
        <v>2503551.9951054603</v>
      </c>
      <c r="S168" s="350">
        <f t="shared" si="95"/>
        <v>3982299.935591137</v>
      </c>
      <c r="T168" s="350">
        <f t="shared" si="96"/>
        <v>5279557.2696009874</v>
      </c>
      <c r="U168" s="350">
        <f t="shared" si="97"/>
        <v>6391901.6319595315</v>
      </c>
      <c r="V168" s="350">
        <f t="shared" si="98"/>
        <v>19005251.279304802</v>
      </c>
      <c r="W168" s="365"/>
      <c r="X168" s="377">
        <f t="shared" si="76"/>
        <v>0</v>
      </c>
      <c r="Y168" s="377">
        <f t="shared" si="77"/>
        <v>0</v>
      </c>
      <c r="Z168" s="377">
        <f t="shared" si="78"/>
        <v>0</v>
      </c>
      <c r="AA168" s="377">
        <f t="shared" si="79"/>
        <v>0</v>
      </c>
      <c r="AB168" s="377">
        <f t="shared" si="80"/>
        <v>0</v>
      </c>
      <c r="AC168" s="377">
        <f t="shared" si="81"/>
        <v>0</v>
      </c>
      <c r="AD168" s="376"/>
      <c r="AE168" s="332">
        <v>153</v>
      </c>
      <c r="AF168" s="350">
        <v>7210672.0055156704</v>
      </c>
      <c r="AG168" s="350">
        <v>14477970.662614154</v>
      </c>
      <c r="AH168" s="350">
        <v>21800268.624489568</v>
      </c>
      <c r="AI168" s="350">
        <v>29177808.677661248</v>
      </c>
      <c r="AJ168" s="350">
        <v>36611654.767153323</v>
      </c>
      <c r="AK168" s="348">
        <v>109278374.73743397</v>
      </c>
      <c r="AL168" s="369"/>
      <c r="AM168" s="350">
        <v>8542275.9285268933</v>
      </c>
      <c r="AN168" s="350">
        <v>18409090.186279878</v>
      </c>
      <c r="AO168" s="350">
        <v>28009968.972747859</v>
      </c>
      <c r="AP168" s="350">
        <v>37339127.987409398</v>
      </c>
      <c r="AQ168" s="350">
        <v>46393554.718520924</v>
      </c>
      <c r="AR168" s="348">
        <v>138694017.79348496</v>
      </c>
      <c r="AS168" s="369"/>
      <c r="AT168" s="350">
        <f t="shared" si="99"/>
        <v>1331603.9230112229</v>
      </c>
      <c r="AU168" s="350">
        <f t="shared" si="82"/>
        <v>3931119.5236657243</v>
      </c>
      <c r="AV168" s="350">
        <f t="shared" si="83"/>
        <v>6209700.3482582904</v>
      </c>
      <c r="AW168" s="350">
        <f t="shared" si="84"/>
        <v>8161319.3097481504</v>
      </c>
      <c r="AX168" s="350">
        <f t="shared" si="85"/>
        <v>9781899.9513676018</v>
      </c>
      <c r="AY168" s="350">
        <f t="shared" si="86"/>
        <v>29415643.056050986</v>
      </c>
      <c r="AZ168" s="365"/>
      <c r="BA168" s="377">
        <f t="shared" si="87"/>
        <v>0</v>
      </c>
      <c r="BB168" s="377">
        <f t="shared" si="88"/>
        <v>0</v>
      </c>
      <c r="BC168" s="377">
        <f t="shared" si="89"/>
        <v>0</v>
      </c>
      <c r="BD168" s="377">
        <f t="shared" si="90"/>
        <v>0</v>
      </c>
      <c r="BE168" s="377">
        <f t="shared" si="91"/>
        <v>0</v>
      </c>
      <c r="BF168" s="377">
        <f t="shared" si="92"/>
        <v>0</v>
      </c>
      <c r="BG168" s="328"/>
    </row>
    <row r="169" spans="2:59">
      <c r="B169" s="332">
        <v>154</v>
      </c>
      <c r="C169" s="350">
        <v>6628258.0610330505</v>
      </c>
      <c r="D169" s="350">
        <v>12512204.731051441</v>
      </c>
      <c r="E169" s="350">
        <v>18440454.365389675</v>
      </c>
      <c r="F169" s="350">
        <v>24413409.868591551</v>
      </c>
      <c r="G169" s="350">
        <v>30432022.435729347</v>
      </c>
      <c r="H169" s="348">
        <v>92426349.461795062</v>
      </c>
      <c r="I169" s="369"/>
      <c r="J169" s="350">
        <v>7342011.7058110479</v>
      </c>
      <c r="K169" s="350">
        <v>14614492.230735052</v>
      </c>
      <c r="L169" s="350">
        <v>21690513.695730366</v>
      </c>
      <c r="M169" s="350">
        <v>28564599.374017287</v>
      </c>
      <c r="N169" s="350">
        <v>35232883.140713438</v>
      </c>
      <c r="O169" s="348">
        <v>107444500.1470072</v>
      </c>
      <c r="P169" s="369"/>
      <c r="Q169" s="350">
        <f t="shared" si="93"/>
        <v>713753.6447779974</v>
      </c>
      <c r="R169" s="350">
        <f t="shared" si="94"/>
        <v>2102287.4996836111</v>
      </c>
      <c r="S169" s="350">
        <f t="shared" si="95"/>
        <v>3250059.3303406909</v>
      </c>
      <c r="T169" s="350">
        <f t="shared" si="96"/>
        <v>4151189.5054257363</v>
      </c>
      <c r="U169" s="350">
        <f t="shared" si="97"/>
        <v>4800860.7049840912</v>
      </c>
      <c r="V169" s="350">
        <f t="shared" si="98"/>
        <v>15018150.685212135</v>
      </c>
      <c r="W169" s="365"/>
      <c r="X169" s="377">
        <f t="shared" si="76"/>
        <v>0</v>
      </c>
      <c r="Y169" s="377">
        <f t="shared" si="77"/>
        <v>0</v>
      </c>
      <c r="Z169" s="377">
        <f t="shared" si="78"/>
        <v>0</v>
      </c>
      <c r="AA169" s="377">
        <f t="shared" si="79"/>
        <v>0</v>
      </c>
      <c r="AB169" s="377">
        <f t="shared" si="80"/>
        <v>0</v>
      </c>
      <c r="AC169" s="377">
        <f t="shared" si="81"/>
        <v>0</v>
      </c>
      <c r="AD169" s="376"/>
      <c r="AE169" s="332">
        <v>154</v>
      </c>
      <c r="AF169" s="350">
        <v>5958052.4242595658</v>
      </c>
      <c r="AG169" s="350">
        <v>11962894.46236963</v>
      </c>
      <c r="AH169" s="350">
        <v>18013181.466067944</v>
      </c>
      <c r="AI169" s="350">
        <v>24109114.045617867</v>
      </c>
      <c r="AJ169" s="350">
        <v>30251571.320222922</v>
      </c>
      <c r="AK169" s="348">
        <v>90294813.718537927</v>
      </c>
      <c r="AL169" s="369"/>
      <c r="AM169" s="350">
        <v>6966654.3000597619</v>
      </c>
      <c r="AN169" s="350">
        <v>14939216.314083524</v>
      </c>
      <c r="AO169" s="350">
        <v>22689294.668698747</v>
      </c>
      <c r="AP169" s="350">
        <v>30212135.827622466</v>
      </c>
      <c r="AQ169" s="350">
        <v>37505157.755439676</v>
      </c>
      <c r="AR169" s="348">
        <v>112312458.86590418</v>
      </c>
      <c r="AS169" s="369"/>
      <c r="AT169" s="350">
        <f t="shared" si="99"/>
        <v>1008601.8758001961</v>
      </c>
      <c r="AU169" s="350">
        <f t="shared" si="82"/>
        <v>2976321.8517138939</v>
      </c>
      <c r="AV169" s="350">
        <f t="shared" si="83"/>
        <v>4676113.202630803</v>
      </c>
      <c r="AW169" s="350">
        <f t="shared" si="84"/>
        <v>6103021.7820045985</v>
      </c>
      <c r="AX169" s="350">
        <f t="shared" si="85"/>
        <v>7253586.4352167547</v>
      </c>
      <c r="AY169" s="350">
        <f t="shared" si="86"/>
        <v>22017645.147366256</v>
      </c>
      <c r="AZ169" s="365"/>
      <c r="BA169" s="377">
        <f t="shared" si="87"/>
        <v>0</v>
      </c>
      <c r="BB169" s="377">
        <f t="shared" si="88"/>
        <v>0</v>
      </c>
      <c r="BC169" s="377">
        <f t="shared" si="89"/>
        <v>0</v>
      </c>
      <c r="BD169" s="377">
        <f t="shared" si="90"/>
        <v>0</v>
      </c>
      <c r="BE169" s="377">
        <f t="shared" si="91"/>
        <v>0</v>
      </c>
      <c r="BF169" s="377">
        <f t="shared" si="92"/>
        <v>0</v>
      </c>
      <c r="BG169" s="328"/>
    </row>
    <row r="170" spans="2:59">
      <c r="B170" s="332">
        <v>155</v>
      </c>
      <c r="C170" s="350">
        <v>8352454.9346432881</v>
      </c>
      <c r="D170" s="350">
        <v>15478192.300065728</v>
      </c>
      <c r="E170" s="350">
        <v>22657489.164334279</v>
      </c>
      <c r="F170" s="350">
        <v>29890918.414604902</v>
      </c>
      <c r="G170" s="350">
        <v>37179668.954936728</v>
      </c>
      <c r="H170" s="348">
        <v>113558723.76858492</v>
      </c>
      <c r="I170" s="369"/>
      <c r="J170" s="350">
        <v>10025042.069945525</v>
      </c>
      <c r="K170" s="350">
        <v>20421068.02640814</v>
      </c>
      <c r="L170" s="350">
        <v>30600204.415345121</v>
      </c>
      <c r="M170" s="350">
        <v>40555825.274199709</v>
      </c>
      <c r="N170" s="350">
        <v>50284259.506218314</v>
      </c>
      <c r="O170" s="348">
        <v>151886399.29211682</v>
      </c>
      <c r="P170" s="369"/>
      <c r="Q170" s="350">
        <f t="shared" si="93"/>
        <v>1672587.1353022372</v>
      </c>
      <c r="R170" s="350">
        <f t="shared" si="94"/>
        <v>4942875.7263424117</v>
      </c>
      <c r="S170" s="350">
        <f t="shared" si="95"/>
        <v>7942715.2510108426</v>
      </c>
      <c r="T170" s="350">
        <f t="shared" si="96"/>
        <v>10664906.859594807</v>
      </c>
      <c r="U170" s="350">
        <f t="shared" si="97"/>
        <v>13104590.551281586</v>
      </c>
      <c r="V170" s="350">
        <f t="shared" si="98"/>
        <v>38327675.523531899</v>
      </c>
      <c r="W170" s="365"/>
      <c r="X170" s="377">
        <f t="shared" si="76"/>
        <v>0</v>
      </c>
      <c r="Y170" s="377">
        <f t="shared" si="77"/>
        <v>0</v>
      </c>
      <c r="Z170" s="377">
        <f t="shared" si="78"/>
        <v>0</v>
      </c>
      <c r="AA170" s="377">
        <f t="shared" si="79"/>
        <v>0</v>
      </c>
      <c r="AB170" s="377">
        <f t="shared" si="80"/>
        <v>0</v>
      </c>
      <c r="AC170" s="377">
        <f t="shared" si="81"/>
        <v>0</v>
      </c>
      <c r="AD170" s="376"/>
      <c r="AE170" s="332">
        <v>155</v>
      </c>
      <c r="AF170" s="350">
        <v>8671246.1499369871</v>
      </c>
      <c r="AG170" s="350">
        <v>17410589.092259716</v>
      </c>
      <c r="AH170" s="350">
        <v>26216071.849211566</v>
      </c>
      <c r="AI170" s="350">
        <v>35087986.385490052</v>
      </c>
      <c r="AJ170" s="350">
        <v>44027612.155934781</v>
      </c>
      <c r="AK170" s="348">
        <v>131413505.63283309</v>
      </c>
      <c r="AL170" s="369"/>
      <c r="AM170" s="350">
        <v>9799914.3297965098</v>
      </c>
      <c r="AN170" s="350">
        <v>20736209.359444935</v>
      </c>
      <c r="AO170" s="350">
        <v>31338545.380223706</v>
      </c>
      <c r="AP170" s="350">
        <v>41600100.12569721</v>
      </c>
      <c r="AQ170" s="350">
        <v>51516772.182307556</v>
      </c>
      <c r="AR170" s="348">
        <v>154991541.3774699</v>
      </c>
      <c r="AS170" s="369"/>
      <c r="AT170" s="350">
        <f t="shared" si="99"/>
        <v>1128668.1798595227</v>
      </c>
      <c r="AU170" s="350">
        <f t="shared" si="82"/>
        <v>3325620.2671852186</v>
      </c>
      <c r="AV170" s="350">
        <f t="shared" si="83"/>
        <v>5122473.5310121402</v>
      </c>
      <c r="AW170" s="350">
        <f t="shared" si="84"/>
        <v>6512113.740207158</v>
      </c>
      <c r="AX170" s="350">
        <f t="shared" si="85"/>
        <v>7489160.0263727754</v>
      </c>
      <c r="AY170" s="350">
        <f t="shared" si="86"/>
        <v>23578035.744636804</v>
      </c>
      <c r="AZ170" s="365"/>
      <c r="BA170" s="377">
        <f t="shared" si="87"/>
        <v>0</v>
      </c>
      <c r="BB170" s="377">
        <f t="shared" si="88"/>
        <v>0</v>
      </c>
      <c r="BC170" s="377">
        <f t="shared" si="89"/>
        <v>0</v>
      </c>
      <c r="BD170" s="377">
        <f t="shared" si="90"/>
        <v>0</v>
      </c>
      <c r="BE170" s="377">
        <f t="shared" si="91"/>
        <v>0</v>
      </c>
      <c r="BF170" s="377">
        <f t="shared" si="92"/>
        <v>0</v>
      </c>
      <c r="BG170" s="328"/>
    </row>
    <row r="171" spans="2:59">
      <c r="B171" s="332">
        <v>156</v>
      </c>
      <c r="C171" s="350">
        <v>11775802.654185645</v>
      </c>
      <c r="D171" s="350">
        <v>22284087.002420448</v>
      </c>
      <c r="E171" s="350">
        <v>32871510.847660888</v>
      </c>
      <c r="F171" s="350">
        <v>43538777.618217066</v>
      </c>
      <c r="G171" s="350">
        <v>54287579.059047505</v>
      </c>
      <c r="H171" s="348">
        <v>164757757.18153155</v>
      </c>
      <c r="I171" s="369"/>
      <c r="J171" s="350">
        <v>13093676.543097937</v>
      </c>
      <c r="K171" s="350">
        <v>26166607.857436247</v>
      </c>
      <c r="L171" s="350">
        <v>38880389.586346477</v>
      </c>
      <c r="M171" s="350">
        <v>51225579.37091431</v>
      </c>
      <c r="N171" s="350">
        <v>63195690.913152978</v>
      </c>
      <c r="O171" s="348">
        <v>192561944.27094793</v>
      </c>
      <c r="P171" s="369"/>
      <c r="Q171" s="350">
        <f t="shared" si="93"/>
        <v>1317873.8889122922</v>
      </c>
      <c r="R171" s="350">
        <f t="shared" si="94"/>
        <v>3882520.8550157994</v>
      </c>
      <c r="S171" s="350">
        <f t="shared" si="95"/>
        <v>6008878.7386855893</v>
      </c>
      <c r="T171" s="350">
        <f t="shared" si="96"/>
        <v>7686801.7526972443</v>
      </c>
      <c r="U171" s="350">
        <f t="shared" si="97"/>
        <v>8908111.8541054726</v>
      </c>
      <c r="V171" s="350">
        <f t="shared" si="98"/>
        <v>27804187.089416385</v>
      </c>
      <c r="W171" s="365"/>
      <c r="X171" s="377">
        <f t="shared" si="76"/>
        <v>0</v>
      </c>
      <c r="Y171" s="377">
        <f t="shared" si="77"/>
        <v>0</v>
      </c>
      <c r="Z171" s="377">
        <f t="shared" si="78"/>
        <v>0</v>
      </c>
      <c r="AA171" s="377">
        <f t="shared" si="79"/>
        <v>0</v>
      </c>
      <c r="AB171" s="377">
        <f t="shared" si="80"/>
        <v>0</v>
      </c>
      <c r="AC171" s="377">
        <f t="shared" si="81"/>
        <v>0</v>
      </c>
      <c r="AD171" s="376"/>
      <c r="AE171" s="332">
        <v>156</v>
      </c>
      <c r="AF171" s="350">
        <v>6768234.2879553242</v>
      </c>
      <c r="AG171" s="350">
        <v>13589620.687747344</v>
      </c>
      <c r="AH171" s="350">
        <v>20462631.704512678</v>
      </c>
      <c r="AI171" s="350">
        <v>27387495.227696791</v>
      </c>
      <c r="AJ171" s="350">
        <v>34365209.920002311</v>
      </c>
      <c r="AK171" s="348">
        <v>102573191.82791445</v>
      </c>
      <c r="AL171" s="369"/>
      <c r="AM171" s="350">
        <v>7852792.5329378769</v>
      </c>
      <c r="AN171" s="350">
        <v>16789181.370839447</v>
      </c>
      <c r="AO171" s="350">
        <v>25471000.21225588</v>
      </c>
      <c r="AP171" s="350">
        <v>33892866.438358508</v>
      </c>
      <c r="AQ171" s="350">
        <v>42051784.930509955</v>
      </c>
      <c r="AR171" s="348">
        <v>126057625.48490167</v>
      </c>
      <c r="AS171" s="369"/>
      <c r="AT171" s="350">
        <f t="shared" si="99"/>
        <v>1084558.2449825527</v>
      </c>
      <c r="AU171" s="350">
        <f t="shared" si="82"/>
        <v>3199560.6830921024</v>
      </c>
      <c r="AV171" s="350">
        <f t="shared" si="83"/>
        <v>5008368.5077432021</v>
      </c>
      <c r="AW171" s="350">
        <f t="shared" si="84"/>
        <v>6505371.2106617168</v>
      </c>
      <c r="AX171" s="350">
        <f t="shared" si="85"/>
        <v>7686575.0105076432</v>
      </c>
      <c r="AY171" s="350">
        <f t="shared" si="86"/>
        <v>23484433.65698722</v>
      </c>
      <c r="AZ171" s="365"/>
      <c r="BA171" s="377">
        <f t="shared" si="87"/>
        <v>0</v>
      </c>
      <c r="BB171" s="377">
        <f t="shared" si="88"/>
        <v>0</v>
      </c>
      <c r="BC171" s="377">
        <f t="shared" si="89"/>
        <v>0</v>
      </c>
      <c r="BD171" s="377">
        <f t="shared" si="90"/>
        <v>0</v>
      </c>
      <c r="BE171" s="377">
        <f t="shared" si="91"/>
        <v>0</v>
      </c>
      <c r="BF171" s="377">
        <f t="shared" si="92"/>
        <v>0</v>
      </c>
      <c r="BG171" s="328"/>
    </row>
    <row r="172" spans="2:59">
      <c r="B172" s="332">
        <v>157</v>
      </c>
      <c r="C172" s="350">
        <v>6757321.2982756058</v>
      </c>
      <c r="D172" s="350">
        <v>12817713.762260113</v>
      </c>
      <c r="E172" s="350">
        <v>18923757.762454644</v>
      </c>
      <c r="F172" s="350">
        <v>25075850.084190909</v>
      </c>
      <c r="G172" s="350">
        <v>31274962.527272243</v>
      </c>
      <c r="H172" s="348">
        <v>94849605.434453502</v>
      </c>
      <c r="I172" s="369"/>
      <c r="J172" s="350">
        <v>7542679.2751885969</v>
      </c>
      <c r="K172" s="350">
        <v>15131916.688148741</v>
      </c>
      <c r="L172" s="350">
        <v>22509913.59160237</v>
      </c>
      <c r="M172" s="350">
        <v>29671404.752359167</v>
      </c>
      <c r="N172" s="350">
        <v>36612875.181273349</v>
      </c>
      <c r="O172" s="348">
        <v>111468789.48857221</v>
      </c>
      <c r="P172" s="369"/>
      <c r="Q172" s="350">
        <f t="shared" si="93"/>
        <v>785357.97691299114</v>
      </c>
      <c r="R172" s="350">
        <f t="shared" si="94"/>
        <v>2314202.9258886278</v>
      </c>
      <c r="S172" s="350">
        <f t="shared" si="95"/>
        <v>3586155.8291477263</v>
      </c>
      <c r="T172" s="350">
        <f t="shared" si="96"/>
        <v>4595554.6681682579</v>
      </c>
      <c r="U172" s="350">
        <f t="shared" si="97"/>
        <v>5337912.6540011056</v>
      </c>
      <c r="V172" s="350">
        <f t="shared" si="98"/>
        <v>16619184.054118708</v>
      </c>
      <c r="W172" s="365"/>
      <c r="X172" s="377">
        <f t="shared" si="76"/>
        <v>0</v>
      </c>
      <c r="Y172" s="377">
        <f t="shared" si="77"/>
        <v>0</v>
      </c>
      <c r="Z172" s="377">
        <f t="shared" si="78"/>
        <v>0</v>
      </c>
      <c r="AA172" s="377">
        <f t="shared" si="79"/>
        <v>0</v>
      </c>
      <c r="AB172" s="377">
        <f t="shared" si="80"/>
        <v>0</v>
      </c>
      <c r="AC172" s="377">
        <f t="shared" si="81"/>
        <v>0</v>
      </c>
      <c r="AD172" s="376"/>
      <c r="AE172" s="332">
        <v>157</v>
      </c>
      <c r="AF172" s="350">
        <v>9670151.9172349907</v>
      </c>
      <c r="AG172" s="350">
        <v>19416245.206224412</v>
      </c>
      <c r="AH172" s="350">
        <v>29236097.450291589</v>
      </c>
      <c r="AI172" s="350">
        <v>39130034.247733533</v>
      </c>
      <c r="AJ172" s="350">
        <v>49099482.443372354</v>
      </c>
      <c r="AK172" s="348">
        <v>146552011.26485687</v>
      </c>
      <c r="AL172" s="369"/>
      <c r="AM172" s="350">
        <v>11068615.333363108</v>
      </c>
      <c r="AN172" s="350">
        <v>23539501.653080046</v>
      </c>
      <c r="AO172" s="350">
        <v>35642144.045531794</v>
      </c>
      <c r="AP172" s="350">
        <v>47368894.80263675</v>
      </c>
      <c r="AQ172" s="350">
        <v>58715321.598112777</v>
      </c>
      <c r="AR172" s="348">
        <v>176334477.43272448</v>
      </c>
      <c r="AS172" s="369"/>
      <c r="AT172" s="350">
        <f t="shared" si="99"/>
        <v>1398463.4161281176</v>
      </c>
      <c r="AU172" s="350">
        <f t="shared" si="82"/>
        <v>4123256.4468556345</v>
      </c>
      <c r="AV172" s="350">
        <f t="shared" si="83"/>
        <v>6406046.5952402055</v>
      </c>
      <c r="AW172" s="350">
        <f t="shared" si="84"/>
        <v>8238860.5549032167</v>
      </c>
      <c r="AX172" s="350">
        <f t="shared" si="85"/>
        <v>9615839.154740423</v>
      </c>
      <c r="AY172" s="350">
        <f t="shared" si="86"/>
        <v>29782466.167867601</v>
      </c>
      <c r="AZ172" s="365"/>
      <c r="BA172" s="377">
        <f t="shared" si="87"/>
        <v>0</v>
      </c>
      <c r="BB172" s="377">
        <f t="shared" si="88"/>
        <v>0</v>
      </c>
      <c r="BC172" s="377">
        <f t="shared" si="89"/>
        <v>0</v>
      </c>
      <c r="BD172" s="377">
        <f t="shared" si="90"/>
        <v>0</v>
      </c>
      <c r="BE172" s="377">
        <f t="shared" si="91"/>
        <v>0</v>
      </c>
      <c r="BF172" s="377">
        <f t="shared" si="92"/>
        <v>0</v>
      </c>
      <c r="BG172" s="328"/>
    </row>
    <row r="173" spans="2:59">
      <c r="B173" s="332">
        <v>158</v>
      </c>
      <c r="C173" s="350">
        <v>8059766.8101033764</v>
      </c>
      <c r="D173" s="350">
        <v>15130689.626255587</v>
      </c>
      <c r="E173" s="350">
        <v>22254825.579469681</v>
      </c>
      <c r="F173" s="350">
        <v>29432683.498511553</v>
      </c>
      <c r="G173" s="350">
        <v>36665417.18758779</v>
      </c>
      <c r="H173" s="348">
        <v>111543382.70192799</v>
      </c>
      <c r="I173" s="369"/>
      <c r="J173" s="350">
        <v>9259352.3769304529</v>
      </c>
      <c r="K173" s="350">
        <v>18670887.144192021</v>
      </c>
      <c r="L173" s="350">
        <v>27851199.583162602</v>
      </c>
      <c r="M173" s="350">
        <v>36793848.9779796</v>
      </c>
      <c r="N173" s="350">
        <v>45494767.375207633</v>
      </c>
      <c r="O173" s="348">
        <v>138070055.45747232</v>
      </c>
      <c r="P173" s="369"/>
      <c r="Q173" s="350">
        <f t="shared" si="93"/>
        <v>1199585.5668270765</v>
      </c>
      <c r="R173" s="350">
        <f t="shared" si="94"/>
        <v>3540197.5179364346</v>
      </c>
      <c r="S173" s="350">
        <f t="shared" si="95"/>
        <v>5596374.0036929213</v>
      </c>
      <c r="T173" s="350">
        <f t="shared" si="96"/>
        <v>7361165.4794680476</v>
      </c>
      <c r="U173" s="350">
        <f t="shared" si="97"/>
        <v>8829350.1876198426</v>
      </c>
      <c r="V173" s="350">
        <f t="shared" si="98"/>
        <v>26526672.755544335</v>
      </c>
      <c r="W173" s="365"/>
      <c r="X173" s="377">
        <f t="shared" si="76"/>
        <v>0</v>
      </c>
      <c r="Y173" s="377">
        <f t="shared" si="77"/>
        <v>0</v>
      </c>
      <c r="Z173" s="377">
        <f t="shared" si="78"/>
        <v>0</v>
      </c>
      <c r="AA173" s="377">
        <f t="shared" si="79"/>
        <v>0</v>
      </c>
      <c r="AB173" s="377">
        <f t="shared" si="80"/>
        <v>0</v>
      </c>
      <c r="AC173" s="377">
        <f t="shared" si="81"/>
        <v>0</v>
      </c>
      <c r="AD173" s="376"/>
      <c r="AE173" s="332">
        <v>158</v>
      </c>
      <c r="AF173" s="350">
        <v>7083759.716567209</v>
      </c>
      <c r="AG173" s="350">
        <v>14223149.420611253</v>
      </c>
      <c r="AH173" s="350">
        <v>21416570.40763697</v>
      </c>
      <c r="AI173" s="350">
        <v>28664261.190970723</v>
      </c>
      <c r="AJ173" s="350">
        <v>35967266.989545897</v>
      </c>
      <c r="AK173" s="348">
        <v>107355007.72533205</v>
      </c>
      <c r="AL173" s="369"/>
      <c r="AM173" s="350">
        <v>8311614.2092143064</v>
      </c>
      <c r="AN173" s="350">
        <v>17846895.881064437</v>
      </c>
      <c r="AO173" s="350">
        <v>27118517.329441074</v>
      </c>
      <c r="AP173" s="350">
        <v>36120818.776410446</v>
      </c>
      <c r="AQ173" s="350">
        <v>44850759.394689292</v>
      </c>
      <c r="AR173" s="348">
        <v>134248605.59081954</v>
      </c>
      <c r="AS173" s="369"/>
      <c r="AT173" s="350">
        <f t="shared" si="99"/>
        <v>1227854.4926470974</v>
      </c>
      <c r="AU173" s="350">
        <f t="shared" si="82"/>
        <v>3623746.4604531843</v>
      </c>
      <c r="AV173" s="350">
        <f t="shared" si="83"/>
        <v>5701946.921804104</v>
      </c>
      <c r="AW173" s="350">
        <f t="shared" si="84"/>
        <v>7456557.585439723</v>
      </c>
      <c r="AX173" s="350">
        <f t="shared" si="85"/>
        <v>8883492.4051433951</v>
      </c>
      <c r="AY173" s="350">
        <f t="shared" si="86"/>
        <v>26893597.865487486</v>
      </c>
      <c r="AZ173" s="365"/>
      <c r="BA173" s="377">
        <f t="shared" si="87"/>
        <v>0</v>
      </c>
      <c r="BB173" s="377">
        <f t="shared" si="88"/>
        <v>0</v>
      </c>
      <c r="BC173" s="377">
        <f t="shared" si="89"/>
        <v>0</v>
      </c>
      <c r="BD173" s="377">
        <f t="shared" si="90"/>
        <v>0</v>
      </c>
      <c r="BE173" s="377">
        <f t="shared" si="91"/>
        <v>0</v>
      </c>
      <c r="BF173" s="377">
        <f t="shared" si="92"/>
        <v>0</v>
      </c>
      <c r="BG173" s="328"/>
    </row>
    <row r="174" spans="2:59">
      <c r="B174" s="332">
        <v>159</v>
      </c>
      <c r="C174" s="350">
        <v>7846858.0125099309</v>
      </c>
      <c r="D174" s="350">
        <v>14736397.073624222</v>
      </c>
      <c r="E174" s="350">
        <v>21677786.014958441</v>
      </c>
      <c r="F174" s="350">
        <v>28671519.00443932</v>
      </c>
      <c r="G174" s="350">
        <v>35718719.549033612</v>
      </c>
      <c r="H174" s="348">
        <v>108651279.65456553</v>
      </c>
      <c r="I174" s="369"/>
      <c r="J174" s="350">
        <v>9138780.6935721468</v>
      </c>
      <c r="K174" s="350">
        <v>18550870.931204736</v>
      </c>
      <c r="L174" s="350">
        <v>27737805.456352994</v>
      </c>
      <c r="M174" s="350">
        <v>36693400.147850953</v>
      </c>
      <c r="N174" s="350">
        <v>45413948.463296533</v>
      </c>
      <c r="O174" s="348">
        <v>137534805.69227737</v>
      </c>
      <c r="P174" s="369"/>
      <c r="Q174" s="350">
        <f t="shared" si="93"/>
        <v>1291922.6810622159</v>
      </c>
      <c r="R174" s="350">
        <f t="shared" si="94"/>
        <v>3814473.8575805146</v>
      </c>
      <c r="S174" s="350">
        <f t="shared" si="95"/>
        <v>6060019.4413945526</v>
      </c>
      <c r="T174" s="350">
        <f t="shared" si="96"/>
        <v>8021881.1434116326</v>
      </c>
      <c r="U174" s="350">
        <f t="shared" si="97"/>
        <v>9695228.9142629206</v>
      </c>
      <c r="V174" s="350">
        <f t="shared" si="98"/>
        <v>28883526.037711844</v>
      </c>
      <c r="W174" s="365"/>
      <c r="X174" s="377">
        <f t="shared" si="76"/>
        <v>0</v>
      </c>
      <c r="Y174" s="377">
        <f t="shared" si="77"/>
        <v>0</v>
      </c>
      <c r="Z174" s="377">
        <f t="shared" si="78"/>
        <v>0</v>
      </c>
      <c r="AA174" s="377">
        <f t="shared" si="79"/>
        <v>0</v>
      </c>
      <c r="AB174" s="377">
        <f t="shared" si="80"/>
        <v>0</v>
      </c>
      <c r="AC174" s="377">
        <f t="shared" si="81"/>
        <v>0</v>
      </c>
      <c r="AD174" s="376"/>
      <c r="AE174" s="332">
        <v>159</v>
      </c>
      <c r="AF174" s="350">
        <v>6392778.9518130468</v>
      </c>
      <c r="AG174" s="350">
        <v>12835761.499916889</v>
      </c>
      <c r="AH174" s="350">
        <v>19327504.884413421</v>
      </c>
      <c r="AI174" s="350">
        <v>25868224.353000697</v>
      </c>
      <c r="AJ174" s="350">
        <v>32458863.169406552</v>
      </c>
      <c r="AK174" s="348">
        <v>96883132.858550608</v>
      </c>
      <c r="AL174" s="369"/>
      <c r="AM174" s="350">
        <v>7785643.4652989451</v>
      </c>
      <c r="AN174" s="350">
        <v>16950606.67809426</v>
      </c>
      <c r="AO174" s="350">
        <v>25886157.493187748</v>
      </c>
      <c r="AP174" s="350">
        <v>34587107.665596724</v>
      </c>
      <c r="AQ174" s="350">
        <v>43051001.399246477</v>
      </c>
      <c r="AR174" s="348">
        <v>128260516.70142415</v>
      </c>
      <c r="AS174" s="369"/>
      <c r="AT174" s="350">
        <f t="shared" si="99"/>
        <v>1392864.5134858983</v>
      </c>
      <c r="AU174" s="350">
        <f t="shared" si="82"/>
        <v>4114845.1781773716</v>
      </c>
      <c r="AV174" s="350">
        <f t="shared" si="83"/>
        <v>6558652.6087743267</v>
      </c>
      <c r="AW174" s="350">
        <f t="shared" si="84"/>
        <v>8718883.3125960268</v>
      </c>
      <c r="AX174" s="350">
        <f t="shared" si="85"/>
        <v>10592138.229839925</v>
      </c>
      <c r="AY174" s="350">
        <f t="shared" si="86"/>
        <v>31377383.842873544</v>
      </c>
      <c r="AZ174" s="365"/>
      <c r="BA174" s="377">
        <f t="shared" si="87"/>
        <v>0</v>
      </c>
      <c r="BB174" s="377">
        <f t="shared" si="88"/>
        <v>0</v>
      </c>
      <c r="BC174" s="377">
        <f t="shared" si="89"/>
        <v>0</v>
      </c>
      <c r="BD174" s="377">
        <f t="shared" si="90"/>
        <v>0</v>
      </c>
      <c r="BE174" s="377">
        <f t="shared" si="91"/>
        <v>0</v>
      </c>
      <c r="BF174" s="377">
        <f t="shared" si="92"/>
        <v>0</v>
      </c>
      <c r="BG174" s="328"/>
    </row>
    <row r="175" spans="2:59">
      <c r="B175" s="332">
        <v>160</v>
      </c>
      <c r="C175" s="350">
        <v>6668405.6585870404</v>
      </c>
      <c r="D175" s="350">
        <v>12506399.682311617</v>
      </c>
      <c r="E175" s="350">
        <v>18388324.259553723</v>
      </c>
      <c r="F175" s="350">
        <v>24314603.14940884</v>
      </c>
      <c r="G175" s="350">
        <v>30286190.561135851</v>
      </c>
      <c r="H175" s="348">
        <v>92163923.310997069</v>
      </c>
      <c r="I175" s="369"/>
      <c r="J175" s="350">
        <v>7735984.9955499778</v>
      </c>
      <c r="K175" s="350">
        <v>15658144.034291118</v>
      </c>
      <c r="L175" s="350">
        <v>23395156.656040236</v>
      </c>
      <c r="M175" s="350">
        <v>30941550.353156675</v>
      </c>
      <c r="N175" s="350">
        <v>38293904.223531015</v>
      </c>
      <c r="O175" s="348">
        <v>116024740.26256901</v>
      </c>
      <c r="P175" s="369"/>
      <c r="Q175" s="350">
        <f t="shared" si="93"/>
        <v>1067579.3369629374</v>
      </c>
      <c r="R175" s="350">
        <f t="shared" si="94"/>
        <v>3151744.3519795015</v>
      </c>
      <c r="S175" s="350">
        <f t="shared" si="95"/>
        <v>5006832.3964865133</v>
      </c>
      <c r="T175" s="350">
        <f t="shared" si="96"/>
        <v>6626947.203747835</v>
      </c>
      <c r="U175" s="350">
        <f t="shared" si="97"/>
        <v>8007713.6623951644</v>
      </c>
      <c r="V175" s="350">
        <f t="shared" si="98"/>
        <v>23860816.951571941</v>
      </c>
      <c r="W175" s="365"/>
      <c r="X175" s="377">
        <f t="shared" si="76"/>
        <v>0</v>
      </c>
      <c r="Y175" s="377">
        <f t="shared" si="77"/>
        <v>0</v>
      </c>
      <c r="Z175" s="377">
        <f t="shared" si="78"/>
        <v>0</v>
      </c>
      <c r="AA175" s="377">
        <f t="shared" si="79"/>
        <v>0</v>
      </c>
      <c r="AB175" s="377">
        <f t="shared" si="80"/>
        <v>0</v>
      </c>
      <c r="AC175" s="377">
        <f t="shared" si="81"/>
        <v>0</v>
      </c>
      <c r="AD175" s="376"/>
      <c r="AE175" s="332">
        <v>160</v>
      </c>
      <c r="AF175" s="350">
        <v>7196121.7851825887</v>
      </c>
      <c r="AG175" s="350">
        <v>14448755.956556827</v>
      </c>
      <c r="AH175" s="350">
        <v>21756278.451096017</v>
      </c>
      <c r="AI175" s="350">
        <v>29118931.56540712</v>
      </c>
      <c r="AJ175" s="350">
        <v>36537777.097608335</v>
      </c>
      <c r="AK175" s="348">
        <v>109057864.85585088</v>
      </c>
      <c r="AL175" s="369"/>
      <c r="AM175" s="350">
        <v>8661208.6383171044</v>
      </c>
      <c r="AN175" s="350">
        <v>18775783.028607093</v>
      </c>
      <c r="AO175" s="350">
        <v>28629036.904200375</v>
      </c>
      <c r="AP175" s="350">
        <v>38215159.122649908</v>
      </c>
      <c r="AQ175" s="350">
        <v>47531281.159302399</v>
      </c>
      <c r="AR175" s="348">
        <v>141812468.85307688</v>
      </c>
      <c r="AS175" s="369"/>
      <c r="AT175" s="350">
        <f t="shared" si="99"/>
        <v>1465086.8531345157</v>
      </c>
      <c r="AU175" s="350">
        <f t="shared" si="82"/>
        <v>4327027.072050266</v>
      </c>
      <c r="AV175" s="350">
        <f t="shared" si="83"/>
        <v>6872758.4531043582</v>
      </c>
      <c r="AW175" s="350">
        <f t="shared" si="84"/>
        <v>9096227.5572427884</v>
      </c>
      <c r="AX175" s="350">
        <f t="shared" si="85"/>
        <v>10993504.061694063</v>
      </c>
      <c r="AY175" s="350">
        <f t="shared" si="86"/>
        <v>32754603.997226</v>
      </c>
      <c r="AZ175" s="365"/>
      <c r="BA175" s="377">
        <f t="shared" si="87"/>
        <v>0</v>
      </c>
      <c r="BB175" s="377">
        <f t="shared" si="88"/>
        <v>0</v>
      </c>
      <c r="BC175" s="377">
        <f t="shared" si="89"/>
        <v>0</v>
      </c>
      <c r="BD175" s="377">
        <f t="shared" si="90"/>
        <v>0</v>
      </c>
      <c r="BE175" s="377">
        <f t="shared" si="91"/>
        <v>0</v>
      </c>
      <c r="BF175" s="377">
        <f t="shared" si="92"/>
        <v>0</v>
      </c>
      <c r="BG175" s="328"/>
    </row>
    <row r="176" spans="2:59">
      <c r="B176" s="332">
        <v>161</v>
      </c>
      <c r="C176" s="350">
        <v>7657807.1881502159</v>
      </c>
      <c r="D176" s="350">
        <v>14358461.517548814</v>
      </c>
      <c r="E176" s="350">
        <v>21109536.708077062</v>
      </c>
      <c r="F176" s="350">
        <v>27911520.189687703</v>
      </c>
      <c r="G176" s="350">
        <v>34765507.63020768</v>
      </c>
      <c r="H176" s="348">
        <v>105802833.23367149</v>
      </c>
      <c r="I176" s="369"/>
      <c r="J176" s="350">
        <v>8826213.6745812353</v>
      </c>
      <c r="K176" s="350">
        <v>17807112.72226344</v>
      </c>
      <c r="L176" s="350">
        <v>26581811.293894105</v>
      </c>
      <c r="M176" s="350">
        <v>35143733.731541194</v>
      </c>
      <c r="N176" s="350">
        <v>43488572.50809668</v>
      </c>
      <c r="O176" s="348">
        <v>131847443.93037666</v>
      </c>
      <c r="P176" s="369"/>
      <c r="Q176" s="350">
        <f t="shared" si="93"/>
        <v>1168406.4864310194</v>
      </c>
      <c r="R176" s="350">
        <f t="shared" si="94"/>
        <v>3448651.2047146261</v>
      </c>
      <c r="S176" s="350">
        <f t="shared" si="95"/>
        <v>5472274.5858170427</v>
      </c>
      <c r="T176" s="350">
        <f t="shared" si="96"/>
        <v>7232213.5418534912</v>
      </c>
      <c r="U176" s="350">
        <f t="shared" si="97"/>
        <v>8723064.8778889999</v>
      </c>
      <c r="V176" s="350">
        <f t="shared" si="98"/>
        <v>26044610.696705177</v>
      </c>
      <c r="W176" s="365"/>
      <c r="X176" s="377">
        <f t="shared" si="76"/>
        <v>0</v>
      </c>
      <c r="Y176" s="377">
        <f t="shared" si="77"/>
        <v>0</v>
      </c>
      <c r="Z176" s="377">
        <f t="shared" si="78"/>
        <v>0</v>
      </c>
      <c r="AA176" s="377">
        <f t="shared" si="79"/>
        <v>0</v>
      </c>
      <c r="AB176" s="377">
        <f t="shared" si="80"/>
        <v>0</v>
      </c>
      <c r="AC176" s="377">
        <f t="shared" si="81"/>
        <v>0</v>
      </c>
      <c r="AD176" s="376"/>
      <c r="AE176" s="332">
        <v>161</v>
      </c>
      <c r="AF176" s="350">
        <v>5254062.7602110142</v>
      </c>
      <c r="AG176" s="350">
        <v>10549386.58195542</v>
      </c>
      <c r="AH176" s="350">
        <v>15884785.697492823</v>
      </c>
      <c r="AI176" s="350">
        <v>21260437.013442874</v>
      </c>
      <c r="AJ176" s="350">
        <v>26677115.774321742</v>
      </c>
      <c r="AK176" s="348">
        <v>79625787.827423871</v>
      </c>
      <c r="AL176" s="369"/>
      <c r="AM176" s="350">
        <v>6588143.1286980212</v>
      </c>
      <c r="AN176" s="350">
        <v>14492742.038795315</v>
      </c>
      <c r="AO176" s="350">
        <v>22214462.9271622</v>
      </c>
      <c r="AP176" s="350">
        <v>29748988.160108864</v>
      </c>
      <c r="AQ176" s="350">
        <v>37094491.118334271</v>
      </c>
      <c r="AR176" s="348">
        <v>110138827.37309867</v>
      </c>
      <c r="AS176" s="369"/>
      <c r="AT176" s="350">
        <f t="shared" si="99"/>
        <v>1334080.368487007</v>
      </c>
      <c r="AU176" s="350">
        <f t="shared" si="82"/>
        <v>3943355.4568398949</v>
      </c>
      <c r="AV176" s="350">
        <f t="shared" si="83"/>
        <v>6329677.2296693772</v>
      </c>
      <c r="AW176" s="350">
        <f t="shared" si="84"/>
        <v>8488551.1466659904</v>
      </c>
      <c r="AX176" s="350">
        <f t="shared" si="85"/>
        <v>10417375.344012529</v>
      </c>
      <c r="AY176" s="350">
        <f t="shared" si="86"/>
        <v>30513039.545674801</v>
      </c>
      <c r="AZ176" s="365"/>
      <c r="BA176" s="377">
        <f t="shared" si="87"/>
        <v>0</v>
      </c>
      <c r="BB176" s="377">
        <f t="shared" si="88"/>
        <v>0</v>
      </c>
      <c r="BC176" s="377">
        <f t="shared" si="89"/>
        <v>0</v>
      </c>
      <c r="BD176" s="377">
        <f t="shared" si="90"/>
        <v>0</v>
      </c>
      <c r="BE176" s="377">
        <f t="shared" si="91"/>
        <v>0</v>
      </c>
      <c r="BF176" s="377">
        <f t="shared" si="92"/>
        <v>0</v>
      </c>
      <c r="BG176" s="328"/>
    </row>
    <row r="177" spans="2:59">
      <c r="B177" s="332">
        <v>162</v>
      </c>
      <c r="C177" s="350">
        <v>9262257.7246172614</v>
      </c>
      <c r="D177" s="350">
        <v>17500963.011202689</v>
      </c>
      <c r="E177" s="350">
        <v>25801706.686495513</v>
      </c>
      <c r="F177" s="350">
        <v>34165048.032103583</v>
      </c>
      <c r="G177" s="350">
        <v>42592316.794886149</v>
      </c>
      <c r="H177" s="348">
        <v>129322292.24930519</v>
      </c>
      <c r="I177" s="369"/>
      <c r="J177" s="350">
        <v>10557367.476532176</v>
      </c>
      <c r="K177" s="350">
        <v>21321564.249126166</v>
      </c>
      <c r="L177" s="350">
        <v>31812700.241067931</v>
      </c>
      <c r="M177" s="350">
        <v>42023276.224673145</v>
      </c>
      <c r="N177" s="350">
        <v>51948444.361744016</v>
      </c>
      <c r="O177" s="348">
        <v>157663352.55314344</v>
      </c>
      <c r="P177" s="369"/>
      <c r="Q177" s="350">
        <f t="shared" si="93"/>
        <v>1295109.7519149147</v>
      </c>
      <c r="R177" s="350">
        <f t="shared" si="94"/>
        <v>3820601.2379234768</v>
      </c>
      <c r="S177" s="350">
        <f t="shared" si="95"/>
        <v>6010993.5545724183</v>
      </c>
      <c r="T177" s="350">
        <f t="shared" si="96"/>
        <v>7858228.1925695613</v>
      </c>
      <c r="U177" s="350">
        <f t="shared" si="97"/>
        <v>9356127.5668578669</v>
      </c>
      <c r="V177" s="350">
        <f t="shared" si="98"/>
        <v>28341060.303838253</v>
      </c>
      <c r="W177" s="365"/>
      <c r="X177" s="377">
        <f t="shared" si="76"/>
        <v>0</v>
      </c>
      <c r="Y177" s="377">
        <f t="shared" si="77"/>
        <v>0</v>
      </c>
      <c r="Z177" s="377">
        <f t="shared" si="78"/>
        <v>0</v>
      </c>
      <c r="AA177" s="377">
        <f t="shared" si="79"/>
        <v>0</v>
      </c>
      <c r="AB177" s="377">
        <f t="shared" si="80"/>
        <v>0</v>
      </c>
      <c r="AC177" s="377">
        <f t="shared" si="81"/>
        <v>0</v>
      </c>
      <c r="AD177" s="376"/>
      <c r="AE177" s="332">
        <v>162</v>
      </c>
      <c r="AF177" s="350">
        <v>5232131.8222971689</v>
      </c>
      <c r="AG177" s="350">
        <v>10505352.478687737</v>
      </c>
      <c r="AH177" s="350">
        <v>15818481.150934178</v>
      </c>
      <c r="AI177" s="350">
        <v>21171694.00723175</v>
      </c>
      <c r="AJ177" s="350">
        <v>26565763.056155194</v>
      </c>
      <c r="AK177" s="348">
        <v>79293422.515306026</v>
      </c>
      <c r="AL177" s="369"/>
      <c r="AM177" s="350">
        <v>6204629.6191406548</v>
      </c>
      <c r="AN177" s="350">
        <v>13376415.03585941</v>
      </c>
      <c r="AO177" s="350">
        <v>20355423.048882451</v>
      </c>
      <c r="AP177" s="350">
        <v>27137454.740682002</v>
      </c>
      <c r="AQ177" s="350">
        <v>33720330.557714038</v>
      </c>
      <c r="AR177" s="348">
        <v>100794253.00227857</v>
      </c>
      <c r="AS177" s="369"/>
      <c r="AT177" s="350">
        <f t="shared" si="99"/>
        <v>972497.79684348591</v>
      </c>
      <c r="AU177" s="350">
        <f t="shared" si="82"/>
        <v>2871062.5571716726</v>
      </c>
      <c r="AV177" s="350">
        <f t="shared" si="83"/>
        <v>4536941.8979482725</v>
      </c>
      <c r="AW177" s="350">
        <f t="shared" si="84"/>
        <v>5965760.7334502526</v>
      </c>
      <c r="AX177" s="350">
        <f t="shared" si="85"/>
        <v>7154567.501558844</v>
      </c>
      <c r="AY177" s="350">
        <f t="shared" si="86"/>
        <v>21500830.486972541</v>
      </c>
      <c r="AZ177" s="365"/>
      <c r="BA177" s="377">
        <f t="shared" si="87"/>
        <v>0</v>
      </c>
      <c r="BB177" s="377">
        <f t="shared" si="88"/>
        <v>0</v>
      </c>
      <c r="BC177" s="377">
        <f t="shared" si="89"/>
        <v>0</v>
      </c>
      <c r="BD177" s="377">
        <f t="shared" si="90"/>
        <v>0</v>
      </c>
      <c r="BE177" s="377">
        <f t="shared" si="91"/>
        <v>0</v>
      </c>
      <c r="BF177" s="377">
        <f t="shared" si="92"/>
        <v>0</v>
      </c>
      <c r="BG177" s="328"/>
    </row>
    <row r="178" spans="2:59">
      <c r="B178" s="332">
        <v>163</v>
      </c>
      <c r="C178" s="350">
        <v>9678364.281432936</v>
      </c>
      <c r="D178" s="350">
        <v>18083239.925454844</v>
      </c>
      <c r="E178" s="350">
        <v>26551339.351048645</v>
      </c>
      <c r="F178" s="350">
        <v>35083292.994870037</v>
      </c>
      <c r="G178" s="350">
        <v>43680483.475409813</v>
      </c>
      <c r="H178" s="348">
        <v>133076720.02821627</v>
      </c>
      <c r="I178" s="369"/>
      <c r="J178" s="350">
        <v>11139127.344821071</v>
      </c>
      <c r="K178" s="350">
        <v>22394717.68948156</v>
      </c>
      <c r="L178" s="350">
        <v>33378904.964760561</v>
      </c>
      <c r="M178" s="350">
        <v>44083944.87872304</v>
      </c>
      <c r="N178" s="350">
        <v>54504940.354622543</v>
      </c>
      <c r="O178" s="348">
        <v>165501635.23240876</v>
      </c>
      <c r="P178" s="369"/>
      <c r="Q178" s="350">
        <f t="shared" si="93"/>
        <v>1460763.0633881353</v>
      </c>
      <c r="R178" s="350">
        <f t="shared" si="94"/>
        <v>4311477.7640267164</v>
      </c>
      <c r="S178" s="350">
        <f t="shared" si="95"/>
        <v>6827565.6137119159</v>
      </c>
      <c r="T178" s="350">
        <f t="shared" si="96"/>
        <v>9000651.8838530034</v>
      </c>
      <c r="U178" s="350">
        <f t="shared" si="97"/>
        <v>10824456.87921273</v>
      </c>
      <c r="V178" s="350">
        <f t="shared" si="98"/>
        <v>32424915.204192489</v>
      </c>
      <c r="W178" s="365"/>
      <c r="X178" s="377">
        <f t="shared" si="76"/>
        <v>0</v>
      </c>
      <c r="Y178" s="377">
        <f t="shared" si="77"/>
        <v>0</v>
      </c>
      <c r="Z178" s="377">
        <f t="shared" si="78"/>
        <v>0</v>
      </c>
      <c r="AA178" s="377">
        <f t="shared" si="79"/>
        <v>0</v>
      </c>
      <c r="AB178" s="377">
        <f t="shared" si="80"/>
        <v>0</v>
      </c>
      <c r="AC178" s="377">
        <f t="shared" si="81"/>
        <v>0</v>
      </c>
      <c r="AD178" s="376"/>
      <c r="AE178" s="332">
        <v>163</v>
      </c>
      <c r="AF178" s="350">
        <v>6634113.6360676177</v>
      </c>
      <c r="AG178" s="350">
        <v>13320326.111347867</v>
      </c>
      <c r="AH178" s="350">
        <v>20057140.200113766</v>
      </c>
      <c r="AI178" s="350">
        <v>26844779.27590904</v>
      </c>
      <c r="AJ178" s="350">
        <v>33684222.211741254</v>
      </c>
      <c r="AK178" s="348">
        <v>100540581.43517955</v>
      </c>
      <c r="AL178" s="369"/>
      <c r="AM178" s="350">
        <v>7932640.4902273994</v>
      </c>
      <c r="AN178" s="350">
        <v>17154790.157966062</v>
      </c>
      <c r="AO178" s="350">
        <v>26134466.552018337</v>
      </c>
      <c r="AP178" s="350">
        <v>34866327.11963813</v>
      </c>
      <c r="AQ178" s="350">
        <v>43347674.560256563</v>
      </c>
      <c r="AR178" s="348">
        <v>129435898.88010651</v>
      </c>
      <c r="AS178" s="369"/>
      <c r="AT178" s="350">
        <f t="shared" si="99"/>
        <v>1298526.8541597817</v>
      </c>
      <c r="AU178" s="350">
        <f t="shared" si="82"/>
        <v>3834464.0466181953</v>
      </c>
      <c r="AV178" s="350">
        <f t="shared" si="83"/>
        <v>6077326.3519045711</v>
      </c>
      <c r="AW178" s="350">
        <f t="shared" si="84"/>
        <v>8021547.8437290899</v>
      </c>
      <c r="AX178" s="350">
        <f t="shared" si="85"/>
        <v>9663452.3485153094</v>
      </c>
      <c r="AY178" s="350">
        <f t="shared" si="86"/>
        <v>28895317.444926962</v>
      </c>
      <c r="AZ178" s="365"/>
      <c r="BA178" s="377">
        <f t="shared" si="87"/>
        <v>0</v>
      </c>
      <c r="BB178" s="377">
        <f t="shared" si="88"/>
        <v>0</v>
      </c>
      <c r="BC178" s="377">
        <f t="shared" si="89"/>
        <v>0</v>
      </c>
      <c r="BD178" s="377">
        <f t="shared" si="90"/>
        <v>0</v>
      </c>
      <c r="BE178" s="377">
        <f t="shared" si="91"/>
        <v>0</v>
      </c>
      <c r="BF178" s="377">
        <f t="shared" si="92"/>
        <v>0</v>
      </c>
      <c r="BG178" s="328"/>
    </row>
    <row r="179" spans="2:59">
      <c r="B179" s="332">
        <v>164</v>
      </c>
      <c r="C179" s="350">
        <v>4883272.0864192862</v>
      </c>
      <c r="D179" s="350">
        <v>9149788.4757114612</v>
      </c>
      <c r="E179" s="350">
        <v>13448407.306229187</v>
      </c>
      <c r="F179" s="350">
        <v>17779440.847821619</v>
      </c>
      <c r="G179" s="350">
        <v>22143587.576636538</v>
      </c>
      <c r="H179" s="348">
        <v>67404496.292818099</v>
      </c>
      <c r="I179" s="369"/>
      <c r="J179" s="350">
        <v>5709227.5063245157</v>
      </c>
      <c r="K179" s="350">
        <v>11588822.653182749</v>
      </c>
      <c r="L179" s="350">
        <v>17337663.199016705</v>
      </c>
      <c r="M179" s="350">
        <v>22951615.960275844</v>
      </c>
      <c r="N179" s="350">
        <v>28428100.042628743</v>
      </c>
      <c r="O179" s="348">
        <v>86015429.361428559</v>
      </c>
      <c r="P179" s="369"/>
      <c r="Q179" s="350">
        <f t="shared" si="93"/>
        <v>825955.41990522947</v>
      </c>
      <c r="R179" s="350">
        <f t="shared" si="94"/>
        <v>2439034.1774712875</v>
      </c>
      <c r="S179" s="350">
        <f t="shared" si="95"/>
        <v>3889255.892787518</v>
      </c>
      <c r="T179" s="350">
        <f t="shared" si="96"/>
        <v>5172175.1124542244</v>
      </c>
      <c r="U179" s="350">
        <f t="shared" si="97"/>
        <v>6284512.4659922048</v>
      </c>
      <c r="V179" s="350">
        <f t="shared" si="98"/>
        <v>18610933.06861046</v>
      </c>
      <c r="W179" s="365"/>
      <c r="X179" s="377">
        <f t="shared" si="76"/>
        <v>0</v>
      </c>
      <c r="Y179" s="377">
        <f t="shared" si="77"/>
        <v>0</v>
      </c>
      <c r="Z179" s="377">
        <f t="shared" si="78"/>
        <v>0</v>
      </c>
      <c r="AA179" s="377">
        <f t="shared" si="79"/>
        <v>0</v>
      </c>
      <c r="AB179" s="377">
        <f t="shared" si="80"/>
        <v>0</v>
      </c>
      <c r="AC179" s="377">
        <f t="shared" si="81"/>
        <v>0</v>
      </c>
      <c r="AD179" s="376"/>
      <c r="AE179" s="332">
        <v>164</v>
      </c>
      <c r="AF179" s="350">
        <v>8259111.3617151603</v>
      </c>
      <c r="AG179" s="350">
        <v>16583082.950203322</v>
      </c>
      <c r="AH179" s="350">
        <v>24970050.800707303</v>
      </c>
      <c r="AI179" s="350">
        <v>33420293.001163807</v>
      </c>
      <c r="AJ179" s="350">
        <v>41935028.195331737</v>
      </c>
      <c r="AK179" s="348">
        <v>125167566.30912133</v>
      </c>
      <c r="AL179" s="369"/>
      <c r="AM179" s="350">
        <v>9401018.0451720003</v>
      </c>
      <c r="AN179" s="350">
        <v>19948995.068477735</v>
      </c>
      <c r="AO179" s="350">
        <v>30180888.949897733</v>
      </c>
      <c r="AP179" s="350">
        <v>40090182.76085946</v>
      </c>
      <c r="AQ179" s="350">
        <v>49673037.760136403</v>
      </c>
      <c r="AR179" s="348">
        <v>149294122.58454332</v>
      </c>
      <c r="AS179" s="369"/>
      <c r="AT179" s="350">
        <f t="shared" si="99"/>
        <v>1141906.68345684</v>
      </c>
      <c r="AU179" s="350">
        <f t="shared" si="82"/>
        <v>3365912.118274413</v>
      </c>
      <c r="AV179" s="350">
        <f t="shared" si="83"/>
        <v>5210838.1491904296</v>
      </c>
      <c r="AW179" s="350">
        <f t="shared" si="84"/>
        <v>6669889.7596956529</v>
      </c>
      <c r="AX179" s="350">
        <f t="shared" si="85"/>
        <v>7738009.5648046657</v>
      </c>
      <c r="AY179" s="350">
        <f t="shared" si="86"/>
        <v>24126556.275421992</v>
      </c>
      <c r="AZ179" s="365"/>
      <c r="BA179" s="377">
        <f t="shared" si="87"/>
        <v>0</v>
      </c>
      <c r="BB179" s="377">
        <f t="shared" si="88"/>
        <v>0</v>
      </c>
      <c r="BC179" s="377">
        <f t="shared" si="89"/>
        <v>0</v>
      </c>
      <c r="BD179" s="377">
        <f t="shared" si="90"/>
        <v>0</v>
      </c>
      <c r="BE179" s="377">
        <f t="shared" si="91"/>
        <v>0</v>
      </c>
      <c r="BF179" s="377">
        <f t="shared" si="92"/>
        <v>0</v>
      </c>
      <c r="BG179" s="328"/>
    </row>
    <row r="180" spans="2:59">
      <c r="B180" s="332">
        <v>165</v>
      </c>
      <c r="C180" s="350">
        <v>9837162.347029293</v>
      </c>
      <c r="D180" s="350">
        <v>18656609.491188422</v>
      </c>
      <c r="E180" s="350">
        <v>27542490.486526281</v>
      </c>
      <c r="F180" s="350">
        <v>36495383.673494674</v>
      </c>
      <c r="G180" s="350">
        <v>45516703.671482801</v>
      </c>
      <c r="H180" s="348">
        <v>138048349.66972148</v>
      </c>
      <c r="I180" s="369"/>
      <c r="J180" s="350">
        <v>11298524.721665971</v>
      </c>
      <c r="K180" s="350">
        <v>22968844.047188416</v>
      </c>
      <c r="L180" s="350">
        <v>34349590.285515346</v>
      </c>
      <c r="M180" s="350">
        <v>45432682.952375174</v>
      </c>
      <c r="N180" s="350">
        <v>56212987.874731585</v>
      </c>
      <c r="O180" s="348">
        <v>170262629.88147649</v>
      </c>
      <c r="P180" s="369"/>
      <c r="Q180" s="350">
        <f t="shared" si="93"/>
        <v>1461362.374636678</v>
      </c>
      <c r="R180" s="350">
        <f t="shared" si="94"/>
        <v>4312234.5559999943</v>
      </c>
      <c r="S180" s="350">
        <f t="shared" si="95"/>
        <v>6807099.798989065</v>
      </c>
      <c r="T180" s="350">
        <f t="shared" si="96"/>
        <v>8937299.2788804993</v>
      </c>
      <c r="U180" s="350">
        <f t="shared" si="97"/>
        <v>10696284.203248784</v>
      </c>
      <c r="V180" s="350">
        <f t="shared" si="98"/>
        <v>32214280.211755008</v>
      </c>
      <c r="W180" s="365"/>
      <c r="X180" s="377">
        <f t="shared" si="76"/>
        <v>0</v>
      </c>
      <c r="Y180" s="377">
        <f t="shared" si="77"/>
        <v>0</v>
      </c>
      <c r="Z180" s="377">
        <f t="shared" si="78"/>
        <v>0</v>
      </c>
      <c r="AA180" s="377">
        <f t="shared" si="79"/>
        <v>0</v>
      </c>
      <c r="AB180" s="377">
        <f t="shared" si="80"/>
        <v>0</v>
      </c>
      <c r="AC180" s="377">
        <f t="shared" si="81"/>
        <v>0</v>
      </c>
      <c r="AD180" s="376"/>
      <c r="AE180" s="332">
        <v>165</v>
      </c>
      <c r="AF180" s="350">
        <v>6790522.0147393923</v>
      </c>
      <c r="AG180" s="350">
        <v>13634371.170680039</v>
      </c>
      <c r="AH180" s="350">
        <v>20530014.942933485</v>
      </c>
      <c r="AI180" s="350">
        <v>27477681.971382823</v>
      </c>
      <c r="AJ180" s="350">
        <v>34478374.207316831</v>
      </c>
      <c r="AK180" s="348">
        <v>102910964.30705257</v>
      </c>
      <c r="AL180" s="369"/>
      <c r="AM180" s="350">
        <v>8222482.698586232</v>
      </c>
      <c r="AN180" s="350">
        <v>17864169.751709968</v>
      </c>
      <c r="AO180" s="350">
        <v>27260746.358814057</v>
      </c>
      <c r="AP180" s="350">
        <v>36406714.928000033</v>
      </c>
      <c r="AQ180" s="350">
        <v>45299418.697932452</v>
      </c>
      <c r="AR180" s="348">
        <v>135053532.43504274</v>
      </c>
      <c r="AS180" s="369"/>
      <c r="AT180" s="350">
        <f t="shared" si="99"/>
        <v>1431960.6838468397</v>
      </c>
      <c r="AU180" s="350">
        <f t="shared" si="82"/>
        <v>4229798.5810299292</v>
      </c>
      <c r="AV180" s="350">
        <f t="shared" si="83"/>
        <v>6730731.4158805721</v>
      </c>
      <c r="AW180" s="350">
        <f t="shared" si="84"/>
        <v>8929032.9566172101</v>
      </c>
      <c r="AX180" s="350">
        <f t="shared" si="85"/>
        <v>10821044.490615621</v>
      </c>
      <c r="AY180" s="350">
        <f t="shared" si="86"/>
        <v>32142568.127990171</v>
      </c>
      <c r="AZ180" s="365"/>
      <c r="BA180" s="377">
        <f t="shared" si="87"/>
        <v>0</v>
      </c>
      <c r="BB180" s="377">
        <f t="shared" si="88"/>
        <v>0</v>
      </c>
      <c r="BC180" s="377">
        <f t="shared" si="89"/>
        <v>0</v>
      </c>
      <c r="BD180" s="377">
        <f t="shared" si="90"/>
        <v>0</v>
      </c>
      <c r="BE180" s="377">
        <f t="shared" si="91"/>
        <v>0</v>
      </c>
      <c r="BF180" s="377">
        <f t="shared" si="92"/>
        <v>0</v>
      </c>
      <c r="BG180" s="328"/>
    </row>
    <row r="181" spans="2:59">
      <c r="B181" s="332">
        <v>166</v>
      </c>
      <c r="C181" s="350">
        <v>9782486.994892709</v>
      </c>
      <c r="D181" s="350">
        <v>18519285.766250461</v>
      </c>
      <c r="E181" s="350">
        <v>27321885.048263315</v>
      </c>
      <c r="F181" s="350">
        <v>36190867.556651473</v>
      </c>
      <c r="G181" s="350">
        <v>45127638.915970556</v>
      </c>
      <c r="H181" s="348">
        <v>136942164.28202853</v>
      </c>
      <c r="I181" s="369"/>
      <c r="J181" s="350">
        <v>11456499.468200674</v>
      </c>
      <c r="K181" s="350">
        <v>23462372.515831254</v>
      </c>
      <c r="L181" s="350">
        <v>35193526.166831762</v>
      </c>
      <c r="M181" s="350">
        <v>46641679.203435913</v>
      </c>
      <c r="N181" s="350">
        <v>57801748.366000876</v>
      </c>
      <c r="O181" s="348">
        <v>174555825.7203005</v>
      </c>
      <c r="P181" s="369"/>
      <c r="Q181" s="350">
        <f t="shared" si="93"/>
        <v>1674012.4733079653</v>
      </c>
      <c r="R181" s="350">
        <f t="shared" si="94"/>
        <v>4943086.7495807931</v>
      </c>
      <c r="S181" s="350">
        <f t="shared" si="95"/>
        <v>7871641.1185684465</v>
      </c>
      <c r="T181" s="350">
        <f t="shared" si="96"/>
        <v>10450811.64678444</v>
      </c>
      <c r="U181" s="350">
        <f t="shared" si="97"/>
        <v>12674109.450030319</v>
      </c>
      <c r="V181" s="350">
        <f t="shared" si="98"/>
        <v>37613661.43827197</v>
      </c>
      <c r="W181" s="365"/>
      <c r="X181" s="377">
        <f t="shared" si="76"/>
        <v>0</v>
      </c>
      <c r="Y181" s="377">
        <f t="shared" si="77"/>
        <v>0</v>
      </c>
      <c r="Z181" s="377">
        <f t="shared" si="78"/>
        <v>0</v>
      </c>
      <c r="AA181" s="377">
        <f t="shared" si="79"/>
        <v>0</v>
      </c>
      <c r="AB181" s="377">
        <f t="shared" si="80"/>
        <v>0</v>
      </c>
      <c r="AC181" s="377">
        <f t="shared" si="81"/>
        <v>0</v>
      </c>
      <c r="AD181" s="376"/>
      <c r="AE181" s="332">
        <v>166</v>
      </c>
      <c r="AF181" s="350">
        <v>5413298.0654220255</v>
      </c>
      <c r="AG181" s="350">
        <v>10869107.694708012</v>
      </c>
      <c r="AH181" s="350">
        <v>16366207.182958709</v>
      </c>
      <c r="AI181" s="350">
        <v>21904778.798317</v>
      </c>
      <c r="AJ181" s="350">
        <v>27485621.280697342</v>
      </c>
      <c r="AK181" s="348">
        <v>82039013.022103086</v>
      </c>
      <c r="AL181" s="369"/>
      <c r="AM181" s="350">
        <v>6528913.4449737901</v>
      </c>
      <c r="AN181" s="350">
        <v>14164162.059410036</v>
      </c>
      <c r="AO181" s="350">
        <v>21603236.1041946</v>
      </c>
      <c r="AP181" s="350">
        <v>28841760.316459097</v>
      </c>
      <c r="AQ181" s="350">
        <v>35877590.515365049</v>
      </c>
      <c r="AR181" s="348">
        <v>107015662.44040258</v>
      </c>
      <c r="AS181" s="369"/>
      <c r="AT181" s="350">
        <f t="shared" si="99"/>
        <v>1115615.3795517646</v>
      </c>
      <c r="AU181" s="350">
        <f t="shared" si="82"/>
        <v>3295054.3647020236</v>
      </c>
      <c r="AV181" s="350">
        <f t="shared" si="83"/>
        <v>5237028.9212358911</v>
      </c>
      <c r="AW181" s="350">
        <f t="shared" si="84"/>
        <v>6936981.5181420967</v>
      </c>
      <c r="AX181" s="350">
        <f t="shared" si="85"/>
        <v>8391969.2346677072</v>
      </c>
      <c r="AY181" s="350">
        <f t="shared" si="86"/>
        <v>24976649.418299496</v>
      </c>
      <c r="AZ181" s="365"/>
      <c r="BA181" s="377">
        <f t="shared" si="87"/>
        <v>0</v>
      </c>
      <c r="BB181" s="377">
        <f t="shared" si="88"/>
        <v>0</v>
      </c>
      <c r="BC181" s="377">
        <f t="shared" si="89"/>
        <v>0</v>
      </c>
      <c r="BD181" s="377">
        <f t="shared" si="90"/>
        <v>0</v>
      </c>
      <c r="BE181" s="377">
        <f t="shared" si="91"/>
        <v>0</v>
      </c>
      <c r="BF181" s="377">
        <f t="shared" si="92"/>
        <v>0</v>
      </c>
      <c r="BG181" s="328"/>
    </row>
    <row r="182" spans="2:59">
      <c r="B182" s="332">
        <v>167</v>
      </c>
      <c r="C182" s="350">
        <v>6438869.2377428142</v>
      </c>
      <c r="D182" s="350">
        <v>11929117.720945772</v>
      </c>
      <c r="E182" s="350">
        <v>17460631.811098125</v>
      </c>
      <c r="F182" s="350">
        <v>23033853.810011882</v>
      </c>
      <c r="G182" s="350">
        <v>28649700.139057498</v>
      </c>
      <c r="H182" s="348">
        <v>87512172.718856096</v>
      </c>
      <c r="I182" s="369"/>
      <c r="J182" s="350">
        <v>7618233.3177413372</v>
      </c>
      <c r="K182" s="350">
        <v>15413256.30487949</v>
      </c>
      <c r="L182" s="350">
        <v>23044072.70106639</v>
      </c>
      <c r="M182" s="350">
        <v>30505358.403168775</v>
      </c>
      <c r="N182" s="350">
        <v>37793914.163852215</v>
      </c>
      <c r="O182" s="348">
        <v>114374834.89070821</v>
      </c>
      <c r="P182" s="369"/>
      <c r="Q182" s="350">
        <f t="shared" si="93"/>
        <v>1179364.079998523</v>
      </c>
      <c r="R182" s="350">
        <f t="shared" si="94"/>
        <v>3484138.5839337185</v>
      </c>
      <c r="S182" s="350">
        <f t="shared" si="95"/>
        <v>5583440.8899682648</v>
      </c>
      <c r="T182" s="350">
        <f t="shared" si="96"/>
        <v>7471504.5931568928</v>
      </c>
      <c r="U182" s="350">
        <f t="shared" si="97"/>
        <v>9144214.0247947164</v>
      </c>
      <c r="V182" s="350">
        <f t="shared" si="98"/>
        <v>26862662.171852112</v>
      </c>
      <c r="W182" s="365"/>
      <c r="X182" s="377">
        <f t="shared" si="76"/>
        <v>0</v>
      </c>
      <c r="Y182" s="377">
        <f t="shared" si="77"/>
        <v>0</v>
      </c>
      <c r="Z182" s="377">
        <f t="shared" si="78"/>
        <v>0</v>
      </c>
      <c r="AA182" s="377">
        <f t="shared" si="79"/>
        <v>0</v>
      </c>
      <c r="AB182" s="377">
        <f t="shared" si="80"/>
        <v>0</v>
      </c>
      <c r="AC182" s="377">
        <f t="shared" si="81"/>
        <v>0</v>
      </c>
      <c r="AD182" s="376"/>
      <c r="AE182" s="332">
        <v>167</v>
      </c>
      <c r="AF182" s="350">
        <v>6378879.1743040318</v>
      </c>
      <c r="AG182" s="350">
        <v>12807852.787547439</v>
      </c>
      <c r="AH182" s="350">
        <v>19285481.216815542</v>
      </c>
      <c r="AI182" s="350">
        <v>25811979.24179472</v>
      </c>
      <c r="AJ182" s="350">
        <v>32388288.075280655</v>
      </c>
      <c r="AK182" s="348">
        <v>96672480.495742381</v>
      </c>
      <c r="AL182" s="369"/>
      <c r="AM182" s="350">
        <v>7325245.4769571405</v>
      </c>
      <c r="AN182" s="350">
        <v>15598550.13821087</v>
      </c>
      <c r="AO182" s="350">
        <v>23629659.153820459</v>
      </c>
      <c r="AP182" s="350">
        <v>31413520.989255615</v>
      </c>
      <c r="AQ182" s="350">
        <v>38947236.057206079</v>
      </c>
      <c r="AR182" s="348">
        <v>116914211.81545018</v>
      </c>
      <c r="AS182" s="369"/>
      <c r="AT182" s="350">
        <f t="shared" si="99"/>
        <v>946366.30265310872</v>
      </c>
      <c r="AU182" s="350">
        <f t="shared" si="82"/>
        <v>2790697.350663431</v>
      </c>
      <c r="AV182" s="350">
        <f t="shared" si="83"/>
        <v>4344177.9370049164</v>
      </c>
      <c r="AW182" s="350">
        <f t="shared" si="84"/>
        <v>5601541.7474608943</v>
      </c>
      <c r="AX182" s="350">
        <f t="shared" si="85"/>
        <v>6558947.9819254242</v>
      </c>
      <c r="AY182" s="350">
        <f t="shared" si="86"/>
        <v>20241731.319707796</v>
      </c>
      <c r="AZ182" s="365"/>
      <c r="BA182" s="377">
        <f t="shared" si="87"/>
        <v>0</v>
      </c>
      <c r="BB182" s="377">
        <f t="shared" si="88"/>
        <v>0</v>
      </c>
      <c r="BC182" s="377">
        <f t="shared" si="89"/>
        <v>0</v>
      </c>
      <c r="BD182" s="377">
        <f t="shared" si="90"/>
        <v>0</v>
      </c>
      <c r="BE182" s="377">
        <f t="shared" si="91"/>
        <v>0</v>
      </c>
      <c r="BF182" s="377">
        <f t="shared" si="92"/>
        <v>0</v>
      </c>
      <c r="BG182" s="328"/>
    </row>
    <row r="183" spans="2:59">
      <c r="B183" s="332">
        <v>168</v>
      </c>
      <c r="C183" s="350">
        <v>6372686.560466364</v>
      </c>
      <c r="D183" s="350">
        <v>11965740.914795032</v>
      </c>
      <c r="E183" s="350">
        <v>17600887.246454436</v>
      </c>
      <c r="F183" s="350">
        <v>23278527.373229608</v>
      </c>
      <c r="G183" s="350">
        <v>28999573.658561055</v>
      </c>
      <c r="H183" s="348">
        <v>88217415.753506497</v>
      </c>
      <c r="I183" s="369"/>
      <c r="J183" s="350">
        <v>7403936.9329241179</v>
      </c>
      <c r="K183" s="350">
        <v>15010349.828188458</v>
      </c>
      <c r="L183" s="350">
        <v>22438586.342153292</v>
      </c>
      <c r="M183" s="350">
        <v>29683440.985140689</v>
      </c>
      <c r="N183" s="350">
        <v>36741688.779171221</v>
      </c>
      <c r="O183" s="348">
        <v>111278002.86757779</v>
      </c>
      <c r="P183" s="369"/>
      <c r="Q183" s="350">
        <f t="shared" si="93"/>
        <v>1031250.3724577539</v>
      </c>
      <c r="R183" s="350">
        <f t="shared" si="94"/>
        <v>3044608.9133934267</v>
      </c>
      <c r="S183" s="350">
        <f t="shared" si="95"/>
        <v>4837699.0956988558</v>
      </c>
      <c r="T183" s="350">
        <f t="shared" si="96"/>
        <v>6404913.6119110808</v>
      </c>
      <c r="U183" s="350">
        <f t="shared" si="97"/>
        <v>7742115.1206101663</v>
      </c>
      <c r="V183" s="350">
        <f t="shared" si="98"/>
        <v>23060587.114071295</v>
      </c>
      <c r="W183" s="365"/>
      <c r="X183" s="377">
        <f t="shared" si="76"/>
        <v>0</v>
      </c>
      <c r="Y183" s="377">
        <f t="shared" si="77"/>
        <v>0</v>
      </c>
      <c r="Z183" s="377">
        <f t="shared" si="78"/>
        <v>0</v>
      </c>
      <c r="AA183" s="377">
        <f t="shared" si="79"/>
        <v>0</v>
      </c>
      <c r="AB183" s="377">
        <f t="shared" si="80"/>
        <v>0</v>
      </c>
      <c r="AC183" s="377">
        <f t="shared" si="81"/>
        <v>0</v>
      </c>
      <c r="AD183" s="376"/>
      <c r="AE183" s="332">
        <v>168</v>
      </c>
      <c r="AF183" s="350">
        <v>4776504.3661744595</v>
      </c>
      <c r="AG183" s="350">
        <v>9590519.4454031587</v>
      </c>
      <c r="AH183" s="350">
        <v>14440967.248128729</v>
      </c>
      <c r="AI183" s="350">
        <v>19328008.601368226</v>
      </c>
      <c r="AJ183" s="350">
        <v>24252348.285210006</v>
      </c>
      <c r="AK183" s="348">
        <v>72388347.946284577</v>
      </c>
      <c r="AL183" s="369"/>
      <c r="AM183" s="350">
        <v>5925706.4853477385</v>
      </c>
      <c r="AN183" s="350">
        <v>12986774.201161185</v>
      </c>
      <c r="AO183" s="350">
        <v>19879680.834516201</v>
      </c>
      <c r="AP183" s="350">
        <v>26600519.189058661</v>
      </c>
      <c r="AQ183" s="350">
        <v>33147564.241096672</v>
      </c>
      <c r="AR183" s="348">
        <v>98540244.951180458</v>
      </c>
      <c r="AS183" s="369"/>
      <c r="AT183" s="350">
        <f t="shared" si="99"/>
        <v>1149202.119173279</v>
      </c>
      <c r="AU183" s="350">
        <f t="shared" si="82"/>
        <v>3396254.7557580266</v>
      </c>
      <c r="AV183" s="350">
        <f t="shared" si="83"/>
        <v>5438713.5863874722</v>
      </c>
      <c r="AW183" s="350">
        <f t="shared" si="84"/>
        <v>7272510.5876904353</v>
      </c>
      <c r="AX183" s="350">
        <f t="shared" si="85"/>
        <v>8895215.9558866657</v>
      </c>
      <c r="AY183" s="350">
        <f t="shared" si="86"/>
        <v>26151897.004895881</v>
      </c>
      <c r="AZ183" s="365"/>
      <c r="BA183" s="377">
        <f t="shared" si="87"/>
        <v>0</v>
      </c>
      <c r="BB183" s="377">
        <f t="shared" si="88"/>
        <v>0</v>
      </c>
      <c r="BC183" s="377">
        <f t="shared" si="89"/>
        <v>0</v>
      </c>
      <c r="BD183" s="377">
        <f t="shared" si="90"/>
        <v>0</v>
      </c>
      <c r="BE183" s="377">
        <f t="shared" si="91"/>
        <v>0</v>
      </c>
      <c r="BF183" s="377">
        <f t="shared" si="92"/>
        <v>0</v>
      </c>
      <c r="BG183" s="328"/>
    </row>
    <row r="184" spans="2:59">
      <c r="B184" s="332">
        <v>169</v>
      </c>
      <c r="C184" s="350">
        <v>5630122.6869204268</v>
      </c>
      <c r="D184" s="350">
        <v>10575035.277653338</v>
      </c>
      <c r="E184" s="350">
        <v>15557163.258411996</v>
      </c>
      <c r="F184" s="350">
        <v>20576860.818707533</v>
      </c>
      <c r="G184" s="350">
        <v>25634934.131195866</v>
      </c>
      <c r="H184" s="348">
        <v>77974116.172889158</v>
      </c>
      <c r="I184" s="369"/>
      <c r="J184" s="350">
        <v>6721168.5677841464</v>
      </c>
      <c r="K184" s="350">
        <v>13798583.962412478</v>
      </c>
      <c r="L184" s="350">
        <v>20724318.510136016</v>
      </c>
      <c r="M184" s="350">
        <v>27493705.774489749</v>
      </c>
      <c r="N184" s="350">
        <v>34104062.598305643</v>
      </c>
      <c r="O184" s="348">
        <v>102841839.41312803</v>
      </c>
      <c r="P184" s="369"/>
      <c r="Q184" s="350">
        <f t="shared" si="93"/>
        <v>1091045.8808637196</v>
      </c>
      <c r="R184" s="350">
        <f t="shared" si="94"/>
        <v>3223548.68475914</v>
      </c>
      <c r="S184" s="350">
        <f t="shared" si="95"/>
        <v>5167155.2517240196</v>
      </c>
      <c r="T184" s="350">
        <f t="shared" si="96"/>
        <v>6916844.955782216</v>
      </c>
      <c r="U184" s="350">
        <f t="shared" si="97"/>
        <v>8469128.467109777</v>
      </c>
      <c r="V184" s="350">
        <f t="shared" si="98"/>
        <v>24867723.240238875</v>
      </c>
      <c r="W184" s="365"/>
      <c r="X184" s="377">
        <f t="shared" si="76"/>
        <v>0</v>
      </c>
      <c r="Y184" s="377">
        <f t="shared" si="77"/>
        <v>0</v>
      </c>
      <c r="Z184" s="377">
        <f t="shared" si="78"/>
        <v>0</v>
      </c>
      <c r="AA184" s="377">
        <f t="shared" si="79"/>
        <v>0</v>
      </c>
      <c r="AB184" s="377">
        <f t="shared" si="80"/>
        <v>0</v>
      </c>
      <c r="AC184" s="377">
        <f t="shared" si="81"/>
        <v>0</v>
      </c>
      <c r="AD184" s="376"/>
      <c r="AE184" s="332">
        <v>169</v>
      </c>
      <c r="AF184" s="350">
        <v>7628438.8088544393</v>
      </c>
      <c r="AG184" s="350">
        <v>15316785.064091042</v>
      </c>
      <c r="AH184" s="350">
        <v>23063317.134838242</v>
      </c>
      <c r="AI184" s="350">
        <v>30868291.874008626</v>
      </c>
      <c r="AJ184" s="350">
        <v>38732834.868718952</v>
      </c>
      <c r="AK184" s="348">
        <v>115609667.7505113</v>
      </c>
      <c r="AL184" s="369"/>
      <c r="AM184" s="350">
        <v>8471664.5785199739</v>
      </c>
      <c r="AN184" s="350">
        <v>17798473.982546359</v>
      </c>
      <c r="AO184" s="350">
        <v>26827002.602157071</v>
      </c>
      <c r="AP184" s="350">
        <v>35551290.962332003</v>
      </c>
      <c r="AQ184" s="350">
        <v>43967579.267598726</v>
      </c>
      <c r="AR184" s="348">
        <v>132616011.39315411</v>
      </c>
      <c r="AS184" s="369"/>
      <c r="AT184" s="350">
        <f t="shared" si="99"/>
        <v>843225.76966553461</v>
      </c>
      <c r="AU184" s="350">
        <f t="shared" si="82"/>
        <v>2481688.9184553176</v>
      </c>
      <c r="AV184" s="350">
        <f t="shared" si="83"/>
        <v>3763685.4673188291</v>
      </c>
      <c r="AW184" s="350">
        <f t="shared" si="84"/>
        <v>4682999.0883233771</v>
      </c>
      <c r="AX184" s="350">
        <f t="shared" si="85"/>
        <v>5234744.3988797739</v>
      </c>
      <c r="AY184" s="350">
        <f t="shared" si="86"/>
        <v>17006343.642642811</v>
      </c>
      <c r="AZ184" s="365"/>
      <c r="BA184" s="377">
        <f t="shared" si="87"/>
        <v>0</v>
      </c>
      <c r="BB184" s="377">
        <f t="shared" si="88"/>
        <v>0</v>
      </c>
      <c r="BC184" s="377">
        <f t="shared" si="89"/>
        <v>0</v>
      </c>
      <c r="BD184" s="377">
        <f t="shared" si="90"/>
        <v>0</v>
      </c>
      <c r="BE184" s="377">
        <f t="shared" si="91"/>
        <v>0</v>
      </c>
      <c r="BF184" s="377">
        <f t="shared" si="92"/>
        <v>0</v>
      </c>
      <c r="BG184" s="328"/>
    </row>
    <row r="185" spans="2:59">
      <c r="B185" s="332">
        <v>170</v>
      </c>
      <c r="C185" s="350">
        <v>9265908.229881186</v>
      </c>
      <c r="D185" s="350">
        <v>17636165.906680565</v>
      </c>
      <c r="E185" s="350">
        <v>26069494.02680669</v>
      </c>
      <c r="F185" s="350">
        <v>34566423.135602959</v>
      </c>
      <c r="G185" s="350">
        <v>43128287.824113756</v>
      </c>
      <c r="H185" s="348">
        <v>130666279.12308516</v>
      </c>
      <c r="I185" s="369"/>
      <c r="J185" s="350">
        <v>10544454.062215675</v>
      </c>
      <c r="K185" s="350">
        <v>21407316.18369418</v>
      </c>
      <c r="L185" s="350">
        <v>31993277.351866759</v>
      </c>
      <c r="M185" s="350">
        <v>42294624.758995451</v>
      </c>
      <c r="N185" s="350">
        <v>52306309.824941993</v>
      </c>
      <c r="O185" s="348">
        <v>158545982.18171406</v>
      </c>
      <c r="P185" s="369"/>
      <c r="Q185" s="350">
        <f t="shared" si="93"/>
        <v>1278545.8323344886</v>
      </c>
      <c r="R185" s="350">
        <f t="shared" si="94"/>
        <v>3771150.2770136148</v>
      </c>
      <c r="S185" s="350">
        <f t="shared" si="95"/>
        <v>5923783.3250600696</v>
      </c>
      <c r="T185" s="350">
        <f t="shared" si="96"/>
        <v>7728201.6233924925</v>
      </c>
      <c r="U185" s="350">
        <f t="shared" si="97"/>
        <v>9178022.0008282363</v>
      </c>
      <c r="V185" s="350">
        <f t="shared" si="98"/>
        <v>27879703.058628902</v>
      </c>
      <c r="W185" s="365"/>
      <c r="X185" s="377">
        <f t="shared" si="76"/>
        <v>0</v>
      </c>
      <c r="Y185" s="377">
        <f t="shared" si="77"/>
        <v>0</v>
      </c>
      <c r="Z185" s="377">
        <f t="shared" si="78"/>
        <v>0</v>
      </c>
      <c r="AA185" s="377">
        <f t="shared" si="79"/>
        <v>0</v>
      </c>
      <c r="AB185" s="377">
        <f t="shared" si="80"/>
        <v>0</v>
      </c>
      <c r="AC185" s="377">
        <f t="shared" si="81"/>
        <v>0</v>
      </c>
      <c r="AD185" s="376"/>
      <c r="AE185" s="332">
        <v>170</v>
      </c>
      <c r="AF185" s="350">
        <v>7260279.9681972805</v>
      </c>
      <c r="AG185" s="350">
        <v>14577576.167869003</v>
      </c>
      <c r="AH185" s="350">
        <v>21950250.05639293</v>
      </c>
      <c r="AI185" s="350">
        <v>29378546.090610459</v>
      </c>
      <c r="AJ185" s="350">
        <v>36863535.535271958</v>
      </c>
      <c r="AK185" s="348">
        <v>110030187.81834163</v>
      </c>
      <c r="AL185" s="369"/>
      <c r="AM185" s="350">
        <v>8621716.8671214059</v>
      </c>
      <c r="AN185" s="350">
        <v>18597047.51758714</v>
      </c>
      <c r="AO185" s="350">
        <v>28305232.241847284</v>
      </c>
      <c r="AP185" s="350">
        <v>37740441.097809725</v>
      </c>
      <c r="AQ185" s="350">
        <v>46899661.78395842</v>
      </c>
      <c r="AR185" s="348">
        <v>140164099.50832397</v>
      </c>
      <c r="AS185" s="369"/>
      <c r="AT185" s="350">
        <f t="shared" si="99"/>
        <v>1361436.8989241254</v>
      </c>
      <c r="AU185" s="350">
        <f t="shared" si="82"/>
        <v>4019471.3497181367</v>
      </c>
      <c r="AV185" s="350">
        <f t="shared" si="83"/>
        <v>6354982.1854543537</v>
      </c>
      <c r="AW185" s="350">
        <f t="shared" si="84"/>
        <v>8361895.0071992651</v>
      </c>
      <c r="AX185" s="350">
        <f t="shared" si="85"/>
        <v>10036126.248686463</v>
      </c>
      <c r="AY185" s="350">
        <f t="shared" si="86"/>
        <v>30133911.68998234</v>
      </c>
      <c r="AZ185" s="365"/>
      <c r="BA185" s="377">
        <f t="shared" si="87"/>
        <v>0</v>
      </c>
      <c r="BB185" s="377">
        <f t="shared" si="88"/>
        <v>0</v>
      </c>
      <c r="BC185" s="377">
        <f t="shared" si="89"/>
        <v>0</v>
      </c>
      <c r="BD185" s="377">
        <f t="shared" si="90"/>
        <v>0</v>
      </c>
      <c r="BE185" s="377">
        <f t="shared" si="91"/>
        <v>0</v>
      </c>
      <c r="BF185" s="377">
        <f t="shared" si="92"/>
        <v>0</v>
      </c>
      <c r="BG185" s="328"/>
    </row>
    <row r="186" spans="2:59">
      <c r="B186" s="332">
        <v>171</v>
      </c>
      <c r="C186" s="350">
        <v>7900608.6394650787</v>
      </c>
      <c r="D186" s="350">
        <v>15010394.335371435</v>
      </c>
      <c r="E186" s="350">
        <v>22173744.100645036</v>
      </c>
      <c r="F186" s="350">
        <v>29391116.432488076</v>
      </c>
      <c r="G186" s="350">
        <v>36663648.360631205</v>
      </c>
      <c r="H186" s="348">
        <v>111139511.86860082</v>
      </c>
      <c r="I186" s="369"/>
      <c r="J186" s="350">
        <v>8977663.1678339466</v>
      </c>
      <c r="K186" s="350">
        <v>18187096.667701587</v>
      </c>
      <c r="L186" s="350">
        <v>27154404.106332891</v>
      </c>
      <c r="M186" s="350">
        <v>35873316.479850404</v>
      </c>
      <c r="N186" s="350">
        <v>44339822.191355273</v>
      </c>
      <c r="O186" s="348">
        <v>134532302.61307412</v>
      </c>
      <c r="P186" s="369"/>
      <c r="Q186" s="350">
        <f t="shared" si="93"/>
        <v>1077054.5283688679</v>
      </c>
      <c r="R186" s="350">
        <f t="shared" si="94"/>
        <v>3176702.3323301524</v>
      </c>
      <c r="S186" s="350">
        <f t="shared" si="95"/>
        <v>4980660.0056878552</v>
      </c>
      <c r="T186" s="350">
        <f t="shared" si="96"/>
        <v>6482200.0473623276</v>
      </c>
      <c r="U186" s="350">
        <f t="shared" si="97"/>
        <v>7676173.830724068</v>
      </c>
      <c r="V186" s="350">
        <f t="shared" si="98"/>
        <v>23392790.744473308</v>
      </c>
      <c r="W186" s="365"/>
      <c r="X186" s="377">
        <f t="shared" si="76"/>
        <v>0</v>
      </c>
      <c r="Y186" s="377">
        <f t="shared" si="77"/>
        <v>0</v>
      </c>
      <c r="Z186" s="377">
        <f t="shared" si="78"/>
        <v>0</v>
      </c>
      <c r="AA186" s="377">
        <f t="shared" si="79"/>
        <v>0</v>
      </c>
      <c r="AB186" s="377">
        <f t="shared" si="80"/>
        <v>0</v>
      </c>
      <c r="AC186" s="377">
        <f t="shared" si="81"/>
        <v>0</v>
      </c>
      <c r="AD186" s="376"/>
      <c r="AE186" s="332">
        <v>171</v>
      </c>
      <c r="AF186" s="350">
        <v>6756373.5141700068</v>
      </c>
      <c r="AG186" s="350">
        <v>13565805.995473394</v>
      </c>
      <c r="AH186" s="350">
        <v>20426772.625855871</v>
      </c>
      <c r="AI186" s="350">
        <v>27339500.895405389</v>
      </c>
      <c r="AJ186" s="350">
        <v>34304987.716750354</v>
      </c>
      <c r="AK186" s="348">
        <v>102393440.747655</v>
      </c>
      <c r="AL186" s="369"/>
      <c r="AM186" s="350">
        <v>8101543.6747967433</v>
      </c>
      <c r="AN186" s="350">
        <v>17538294.742343403</v>
      </c>
      <c r="AO186" s="350">
        <v>26728784.258992001</v>
      </c>
      <c r="AP186" s="350">
        <v>35667564.790233836</v>
      </c>
      <c r="AQ186" s="350">
        <v>44351912.329766333</v>
      </c>
      <c r="AR186" s="348">
        <v>132388099.79613233</v>
      </c>
      <c r="AS186" s="369"/>
      <c r="AT186" s="350">
        <f t="shared" si="99"/>
        <v>1345170.1606267365</v>
      </c>
      <c r="AU186" s="350">
        <f t="shared" si="82"/>
        <v>3972488.7468700092</v>
      </c>
      <c r="AV186" s="350">
        <f t="shared" si="83"/>
        <v>6302011.6331361309</v>
      </c>
      <c r="AW186" s="350">
        <f t="shared" si="84"/>
        <v>8328063.8948284462</v>
      </c>
      <c r="AX186" s="350">
        <f t="shared" si="85"/>
        <v>10046924.61301598</v>
      </c>
      <c r="AY186" s="350">
        <f t="shared" si="86"/>
        <v>29994659.048477322</v>
      </c>
      <c r="AZ186" s="365"/>
      <c r="BA186" s="377">
        <f t="shared" si="87"/>
        <v>0</v>
      </c>
      <c r="BB186" s="377">
        <f t="shared" si="88"/>
        <v>0</v>
      </c>
      <c r="BC186" s="377">
        <f t="shared" si="89"/>
        <v>0</v>
      </c>
      <c r="BD186" s="377">
        <f t="shared" si="90"/>
        <v>0</v>
      </c>
      <c r="BE186" s="377">
        <f t="shared" si="91"/>
        <v>0</v>
      </c>
      <c r="BF186" s="377">
        <f t="shared" si="92"/>
        <v>0</v>
      </c>
      <c r="BG186" s="328"/>
    </row>
    <row r="187" spans="2:59">
      <c r="B187" s="332">
        <v>172</v>
      </c>
      <c r="C187" s="350">
        <v>7117903.8502931427</v>
      </c>
      <c r="D187" s="350">
        <v>13539615.286562074</v>
      </c>
      <c r="E187" s="350">
        <v>20009712.142931763</v>
      </c>
      <c r="F187" s="350">
        <v>26528603.818586994</v>
      </c>
      <c r="G187" s="350">
        <v>33097315.247255635</v>
      </c>
      <c r="H187" s="348">
        <v>100293150.3456296</v>
      </c>
      <c r="I187" s="369"/>
      <c r="J187" s="350">
        <v>7998404.2730289754</v>
      </c>
      <c r="K187" s="350">
        <v>16135075.54475531</v>
      </c>
      <c r="L187" s="350">
        <v>24055550.238650013</v>
      </c>
      <c r="M187" s="350">
        <v>31753963.160405699</v>
      </c>
      <c r="N187" s="350">
        <v>39226362.719820701</v>
      </c>
      <c r="O187" s="348">
        <v>119169355.93666071</v>
      </c>
      <c r="P187" s="369"/>
      <c r="Q187" s="350">
        <f t="shared" si="93"/>
        <v>880500.42273583263</v>
      </c>
      <c r="R187" s="350">
        <f t="shared" si="94"/>
        <v>2595460.2581932358</v>
      </c>
      <c r="S187" s="350">
        <f t="shared" si="95"/>
        <v>4045838.0957182497</v>
      </c>
      <c r="T187" s="350">
        <f t="shared" si="96"/>
        <v>5225359.3418187052</v>
      </c>
      <c r="U187" s="350">
        <f t="shared" si="97"/>
        <v>6129047.4725650661</v>
      </c>
      <c r="V187" s="350">
        <f t="shared" si="98"/>
        <v>18876205.591031104</v>
      </c>
      <c r="W187" s="365"/>
      <c r="X187" s="377">
        <f t="shared" si="76"/>
        <v>0</v>
      </c>
      <c r="Y187" s="377">
        <f t="shared" si="77"/>
        <v>0</v>
      </c>
      <c r="Z187" s="377">
        <f t="shared" si="78"/>
        <v>0</v>
      </c>
      <c r="AA187" s="377">
        <f t="shared" si="79"/>
        <v>0</v>
      </c>
      <c r="AB187" s="377">
        <f t="shared" si="80"/>
        <v>0</v>
      </c>
      <c r="AC187" s="377">
        <f t="shared" si="81"/>
        <v>0</v>
      </c>
      <c r="AD187" s="376"/>
      <c r="AE187" s="332">
        <v>172</v>
      </c>
      <c r="AF187" s="350">
        <v>7180597.4322863175</v>
      </c>
      <c r="AG187" s="350">
        <v>14417585.335342001</v>
      </c>
      <c r="AH187" s="350">
        <v>21709343.149767485</v>
      </c>
      <c r="AI187" s="350">
        <v>29056112.649457894</v>
      </c>
      <c r="AJ187" s="350">
        <v>36458953.341890834</v>
      </c>
      <c r="AK187" s="348">
        <v>108822591.90874454</v>
      </c>
      <c r="AL187" s="369"/>
      <c r="AM187" s="350">
        <v>7986104.7461112104</v>
      </c>
      <c r="AN187" s="350">
        <v>16788531.993423492</v>
      </c>
      <c r="AO187" s="350">
        <v>25310542.526237238</v>
      </c>
      <c r="AP187" s="350">
        <v>33546523.398218557</v>
      </c>
      <c r="AQ187" s="350">
        <v>41492947.474611878</v>
      </c>
      <c r="AR187" s="348">
        <v>125124650.13860238</v>
      </c>
      <c r="AS187" s="369"/>
      <c r="AT187" s="350">
        <f t="shared" si="99"/>
        <v>805507.31382489298</v>
      </c>
      <c r="AU187" s="350">
        <f t="shared" si="82"/>
        <v>2370946.6580814905</v>
      </c>
      <c r="AV187" s="350">
        <f t="shared" si="83"/>
        <v>3601199.3764697537</v>
      </c>
      <c r="AW187" s="350">
        <f t="shared" si="84"/>
        <v>4490410.748760663</v>
      </c>
      <c r="AX187" s="350">
        <f t="shared" si="85"/>
        <v>5033994.1327210441</v>
      </c>
      <c r="AY187" s="350">
        <f t="shared" si="86"/>
        <v>16302058.229857832</v>
      </c>
      <c r="AZ187" s="365"/>
      <c r="BA187" s="377">
        <f t="shared" si="87"/>
        <v>0</v>
      </c>
      <c r="BB187" s="377">
        <f t="shared" si="88"/>
        <v>0</v>
      </c>
      <c r="BC187" s="377">
        <f t="shared" si="89"/>
        <v>0</v>
      </c>
      <c r="BD187" s="377">
        <f t="shared" si="90"/>
        <v>0</v>
      </c>
      <c r="BE187" s="377">
        <f t="shared" si="91"/>
        <v>0</v>
      </c>
      <c r="BF187" s="377">
        <f t="shared" si="92"/>
        <v>0</v>
      </c>
      <c r="BG187" s="328"/>
    </row>
    <row r="188" spans="2:59">
      <c r="B188" s="332">
        <v>173</v>
      </c>
      <c r="C188" s="350">
        <v>7823837.8422647743</v>
      </c>
      <c r="D188" s="350">
        <v>14662636.244143011</v>
      </c>
      <c r="E188" s="350">
        <v>21552892.666122548</v>
      </c>
      <c r="F188" s="350">
        <v>28495106.716353737</v>
      </c>
      <c r="G188" s="350">
        <v>35490397.577869959</v>
      </c>
      <c r="H188" s="348">
        <v>108024871.04675403</v>
      </c>
      <c r="I188" s="369"/>
      <c r="J188" s="350">
        <v>8941266.0883486439</v>
      </c>
      <c r="K188" s="350">
        <v>17959747.622050129</v>
      </c>
      <c r="L188" s="350">
        <v>26751880.111220889</v>
      </c>
      <c r="M188" s="350">
        <v>35311507.681337617</v>
      </c>
      <c r="N188" s="350">
        <v>43634711.838108078</v>
      </c>
      <c r="O188" s="348">
        <v>132599113.34106536</v>
      </c>
      <c r="P188" s="369"/>
      <c r="Q188" s="350">
        <f t="shared" si="93"/>
        <v>1117428.2460838696</v>
      </c>
      <c r="R188" s="350">
        <f t="shared" si="94"/>
        <v>3297111.3779071178</v>
      </c>
      <c r="S188" s="350">
        <f t="shared" si="95"/>
        <v>5198987.4450983405</v>
      </c>
      <c r="T188" s="350">
        <f t="shared" si="96"/>
        <v>6816400.9649838805</v>
      </c>
      <c r="U188" s="350">
        <f t="shared" si="97"/>
        <v>8144314.2602381185</v>
      </c>
      <c r="V188" s="350">
        <f t="shared" si="98"/>
        <v>24574242.29431133</v>
      </c>
      <c r="W188" s="365"/>
      <c r="X188" s="377">
        <f t="shared" si="76"/>
        <v>0</v>
      </c>
      <c r="Y188" s="377">
        <f t="shared" si="77"/>
        <v>0</v>
      </c>
      <c r="Z188" s="377">
        <f t="shared" si="78"/>
        <v>0</v>
      </c>
      <c r="AA188" s="377">
        <f t="shared" si="79"/>
        <v>0</v>
      </c>
      <c r="AB188" s="377">
        <f t="shared" si="80"/>
        <v>0</v>
      </c>
      <c r="AC188" s="377">
        <f t="shared" si="81"/>
        <v>0</v>
      </c>
      <c r="AD188" s="376"/>
      <c r="AE188" s="332">
        <v>173</v>
      </c>
      <c r="AF188" s="350">
        <v>6369160.9847564287</v>
      </c>
      <c r="AG188" s="350">
        <v>12788340.089832678</v>
      </c>
      <c r="AH188" s="350">
        <v>19256099.885572158</v>
      </c>
      <c r="AI188" s="350">
        <v>25772654.824445505</v>
      </c>
      <c r="AJ188" s="350">
        <v>32338944.685315557</v>
      </c>
      <c r="AK188" s="348">
        <v>96525200.469922334</v>
      </c>
      <c r="AL188" s="369"/>
      <c r="AM188" s="350">
        <v>7429569.6957791355</v>
      </c>
      <c r="AN188" s="350">
        <v>15917278.030086035</v>
      </c>
      <c r="AO188" s="350">
        <v>24166618.490556575</v>
      </c>
      <c r="AP188" s="350">
        <v>32172514.575433891</v>
      </c>
      <c r="AQ188" s="350">
        <v>39932188.07332778</v>
      </c>
      <c r="AR188" s="348">
        <v>119618168.86518341</v>
      </c>
      <c r="AS188" s="369"/>
      <c r="AT188" s="350">
        <f t="shared" si="99"/>
        <v>1060408.7110227067</v>
      </c>
      <c r="AU188" s="350">
        <f t="shared" si="82"/>
        <v>3128937.9402533565</v>
      </c>
      <c r="AV188" s="350">
        <f t="shared" si="83"/>
        <v>4910518.6049844176</v>
      </c>
      <c r="AW188" s="350">
        <f t="shared" si="84"/>
        <v>6399859.7509883866</v>
      </c>
      <c r="AX188" s="350">
        <f t="shared" si="85"/>
        <v>7593243.3880122229</v>
      </c>
      <c r="AY188" s="350">
        <f t="shared" si="86"/>
        <v>23092968.395261079</v>
      </c>
      <c r="AZ188" s="365"/>
      <c r="BA188" s="377">
        <f t="shared" si="87"/>
        <v>0</v>
      </c>
      <c r="BB188" s="377">
        <f t="shared" si="88"/>
        <v>0</v>
      </c>
      <c r="BC188" s="377">
        <f t="shared" si="89"/>
        <v>0</v>
      </c>
      <c r="BD188" s="377">
        <f t="shared" si="90"/>
        <v>0</v>
      </c>
      <c r="BE188" s="377">
        <f t="shared" si="91"/>
        <v>0</v>
      </c>
      <c r="BF188" s="377">
        <f t="shared" si="92"/>
        <v>0</v>
      </c>
      <c r="BG188" s="328"/>
    </row>
    <row r="189" spans="2:59">
      <c r="B189" s="332">
        <v>174</v>
      </c>
      <c r="C189" s="350">
        <v>7261816.9201730629</v>
      </c>
      <c r="D189" s="350">
        <v>13492646.183233697</v>
      </c>
      <c r="E189" s="350">
        <v>19770320.481149331</v>
      </c>
      <c r="F189" s="350">
        <v>26095329.872342564</v>
      </c>
      <c r="G189" s="350">
        <v>32468709.21436413</v>
      </c>
      <c r="H189" s="348">
        <v>99088822.671262786</v>
      </c>
      <c r="I189" s="369"/>
      <c r="J189" s="350">
        <v>8151147.9885804467</v>
      </c>
      <c r="K189" s="350">
        <v>16114804.614040289</v>
      </c>
      <c r="L189" s="350">
        <v>23870337.787742712</v>
      </c>
      <c r="M189" s="350">
        <v>31412147.402934507</v>
      </c>
      <c r="N189" s="350">
        <v>38736482.503268957</v>
      </c>
      <c r="O189" s="348">
        <v>118284920.2965669</v>
      </c>
      <c r="P189" s="369"/>
      <c r="Q189" s="350">
        <f t="shared" si="93"/>
        <v>889331.06840738375</v>
      </c>
      <c r="R189" s="350">
        <f t="shared" si="94"/>
        <v>2622158.4308065921</v>
      </c>
      <c r="S189" s="350">
        <f t="shared" si="95"/>
        <v>4100017.3065933809</v>
      </c>
      <c r="T189" s="350">
        <f t="shared" si="96"/>
        <v>5316817.5305919424</v>
      </c>
      <c r="U189" s="350">
        <f t="shared" si="97"/>
        <v>6267773.2889048271</v>
      </c>
      <c r="V189" s="350">
        <f t="shared" si="98"/>
        <v>19196097.625304118</v>
      </c>
      <c r="W189" s="365"/>
      <c r="X189" s="377">
        <f t="shared" si="76"/>
        <v>0</v>
      </c>
      <c r="Y189" s="377">
        <f t="shared" si="77"/>
        <v>0</v>
      </c>
      <c r="Z189" s="377">
        <f t="shared" si="78"/>
        <v>0</v>
      </c>
      <c r="AA189" s="377">
        <f t="shared" si="79"/>
        <v>0</v>
      </c>
      <c r="AB189" s="377">
        <f t="shared" si="80"/>
        <v>0</v>
      </c>
      <c r="AC189" s="377">
        <f t="shared" si="81"/>
        <v>0</v>
      </c>
      <c r="AD189" s="376"/>
      <c r="AE189" s="332">
        <v>174</v>
      </c>
      <c r="AF189" s="350">
        <v>6427866.9420548417</v>
      </c>
      <c r="AG189" s="350">
        <v>12906213.032442871</v>
      </c>
      <c r="AH189" s="350">
        <v>19433587.592402287</v>
      </c>
      <c r="AI189" s="350">
        <v>26010207.051059298</v>
      </c>
      <c r="AJ189" s="350">
        <v>32637019.849425167</v>
      </c>
      <c r="AK189" s="348">
        <v>97414894.467384458</v>
      </c>
      <c r="AL189" s="369"/>
      <c r="AM189" s="350">
        <v>7904386.1940459106</v>
      </c>
      <c r="AN189" s="350">
        <v>17269065.879429933</v>
      </c>
      <c r="AO189" s="350">
        <v>26405350.508820806</v>
      </c>
      <c r="AP189" s="350">
        <v>35308001.862188131</v>
      </c>
      <c r="AQ189" s="350">
        <v>43974627.644393168</v>
      </c>
      <c r="AR189" s="348">
        <v>130861432.08887795</v>
      </c>
      <c r="AS189" s="369"/>
      <c r="AT189" s="350">
        <f t="shared" si="99"/>
        <v>1476519.2519910689</v>
      </c>
      <c r="AU189" s="350">
        <f t="shared" si="82"/>
        <v>4362852.8469870612</v>
      </c>
      <c r="AV189" s="350">
        <f t="shared" si="83"/>
        <v>6971762.9164185189</v>
      </c>
      <c r="AW189" s="350">
        <f t="shared" si="84"/>
        <v>9297794.8111288324</v>
      </c>
      <c r="AX189" s="350">
        <f t="shared" si="85"/>
        <v>11337607.794968002</v>
      </c>
      <c r="AY189" s="350">
        <f t="shared" si="86"/>
        <v>33446537.621493489</v>
      </c>
      <c r="AZ189" s="365"/>
      <c r="BA189" s="377">
        <f t="shared" si="87"/>
        <v>0</v>
      </c>
      <c r="BB189" s="377">
        <f t="shared" si="88"/>
        <v>0</v>
      </c>
      <c r="BC189" s="377">
        <f t="shared" si="89"/>
        <v>0</v>
      </c>
      <c r="BD189" s="377">
        <f t="shared" si="90"/>
        <v>0</v>
      </c>
      <c r="BE189" s="377">
        <f t="shared" si="91"/>
        <v>0</v>
      </c>
      <c r="BF189" s="377">
        <f t="shared" si="92"/>
        <v>0</v>
      </c>
      <c r="BG189" s="328"/>
    </row>
    <row r="190" spans="2:59">
      <c r="B190" s="332">
        <v>175</v>
      </c>
      <c r="C190" s="350">
        <v>9384728.5141322017</v>
      </c>
      <c r="D190" s="350">
        <v>17803996.051902287</v>
      </c>
      <c r="E190" s="350">
        <v>26286684.771912713</v>
      </c>
      <c r="F190" s="350">
        <v>34833345.186055914</v>
      </c>
      <c r="G190" s="350">
        <v>43445327.035513818</v>
      </c>
      <c r="H190" s="348">
        <v>131754081.55951694</v>
      </c>
      <c r="I190" s="369"/>
      <c r="J190" s="350">
        <v>10571732.615404505</v>
      </c>
      <c r="K190" s="350">
        <v>21303535.527377982</v>
      </c>
      <c r="L190" s="350">
        <v>31750937.531594034</v>
      </c>
      <c r="M190" s="350">
        <v>41906337.482024729</v>
      </c>
      <c r="N190" s="350">
        <v>51764680.662345797</v>
      </c>
      <c r="O190" s="348">
        <v>157297223.81874704</v>
      </c>
      <c r="P190" s="369"/>
      <c r="Q190" s="350">
        <f t="shared" si="93"/>
        <v>1187004.1012723036</v>
      </c>
      <c r="R190" s="350">
        <f t="shared" si="94"/>
        <v>3499539.475475695</v>
      </c>
      <c r="S190" s="350">
        <f t="shared" si="95"/>
        <v>5464252.7596813217</v>
      </c>
      <c r="T190" s="350">
        <f t="shared" si="96"/>
        <v>7072992.2959688157</v>
      </c>
      <c r="U190" s="350">
        <f t="shared" si="97"/>
        <v>8319353.6268319786</v>
      </c>
      <c r="V190" s="350">
        <f t="shared" si="98"/>
        <v>25543142.259230107</v>
      </c>
      <c r="W190" s="365"/>
      <c r="X190" s="377">
        <f t="shared" si="76"/>
        <v>0</v>
      </c>
      <c r="Y190" s="377">
        <f t="shared" si="77"/>
        <v>0</v>
      </c>
      <c r="Z190" s="377">
        <f t="shared" si="78"/>
        <v>0</v>
      </c>
      <c r="AA190" s="377">
        <f t="shared" si="79"/>
        <v>0</v>
      </c>
      <c r="AB190" s="377">
        <f t="shared" si="80"/>
        <v>0</v>
      </c>
      <c r="AC190" s="377">
        <f t="shared" si="81"/>
        <v>0</v>
      </c>
      <c r="AD190" s="376"/>
      <c r="AE190" s="332">
        <v>175</v>
      </c>
      <c r="AF190" s="350">
        <v>8189165.0988442749</v>
      </c>
      <c r="AG190" s="350">
        <v>16442641.124388814</v>
      </c>
      <c r="AH190" s="350">
        <v>24758579.897759832</v>
      </c>
      <c r="AI190" s="350">
        <v>33137257.151772387</v>
      </c>
      <c r="AJ190" s="350">
        <v>41579881.209513709</v>
      </c>
      <c r="AK190" s="348">
        <v>124107524.48227902</v>
      </c>
      <c r="AL190" s="369"/>
      <c r="AM190" s="350">
        <v>9979692.464038752</v>
      </c>
      <c r="AN190" s="350">
        <v>21732346.579734758</v>
      </c>
      <c r="AO190" s="350">
        <v>33191310.492987573</v>
      </c>
      <c r="AP190" s="350">
        <v>44349936.277727649</v>
      </c>
      <c r="AQ190" s="350">
        <v>55205084.397889882</v>
      </c>
      <c r="AR190" s="348">
        <v>164458370.21237862</v>
      </c>
      <c r="AS190" s="369"/>
      <c r="AT190" s="350">
        <f t="shared" si="99"/>
        <v>1790527.3651944771</v>
      </c>
      <c r="AU190" s="350">
        <f t="shared" si="82"/>
        <v>5289705.4553459436</v>
      </c>
      <c r="AV190" s="350">
        <f t="shared" si="83"/>
        <v>8432730.5952277407</v>
      </c>
      <c r="AW190" s="350">
        <f t="shared" si="84"/>
        <v>11212679.125955261</v>
      </c>
      <c r="AX190" s="350">
        <f t="shared" si="85"/>
        <v>13625203.188376173</v>
      </c>
      <c r="AY190" s="350">
        <f t="shared" si="86"/>
        <v>40350845.730099604</v>
      </c>
      <c r="AZ190" s="365"/>
      <c r="BA190" s="377">
        <f t="shared" si="87"/>
        <v>0</v>
      </c>
      <c r="BB190" s="377">
        <f t="shared" si="88"/>
        <v>0</v>
      </c>
      <c r="BC190" s="377">
        <f t="shared" si="89"/>
        <v>0</v>
      </c>
      <c r="BD190" s="377">
        <f t="shared" si="90"/>
        <v>0</v>
      </c>
      <c r="BE190" s="377">
        <f t="shared" si="91"/>
        <v>0</v>
      </c>
      <c r="BF190" s="377">
        <f t="shared" si="92"/>
        <v>0</v>
      </c>
      <c r="BG190" s="328"/>
    </row>
    <row r="191" spans="2:59">
      <c r="B191" s="332">
        <v>176</v>
      </c>
      <c r="C191" s="350">
        <v>7750863.3067420386</v>
      </c>
      <c r="D191" s="350">
        <v>14574781.82437576</v>
      </c>
      <c r="E191" s="350">
        <v>21450062.477642644</v>
      </c>
      <c r="F191" s="350">
        <v>28377189.177129604</v>
      </c>
      <c r="G191" s="350">
        <v>35357272.313740909</v>
      </c>
      <c r="H191" s="348">
        <v>107510169.09963095</v>
      </c>
      <c r="I191" s="369"/>
      <c r="J191" s="350">
        <v>8762383.4266461488</v>
      </c>
      <c r="K191" s="350">
        <v>17557856.354289521</v>
      </c>
      <c r="L191" s="350">
        <v>26128859.653782714</v>
      </c>
      <c r="M191" s="350">
        <v>34469104.139043912</v>
      </c>
      <c r="N191" s="350">
        <v>42574400.681284398</v>
      </c>
      <c r="O191" s="348">
        <v>129492604.2550467</v>
      </c>
      <c r="P191" s="369"/>
      <c r="Q191" s="350">
        <f t="shared" si="93"/>
        <v>1011520.1199041102</v>
      </c>
      <c r="R191" s="350">
        <f t="shared" si="94"/>
        <v>2983074.5299137607</v>
      </c>
      <c r="S191" s="350">
        <f t="shared" si="95"/>
        <v>4678797.17614007</v>
      </c>
      <c r="T191" s="350">
        <f t="shared" si="96"/>
        <v>6091914.9619143084</v>
      </c>
      <c r="U191" s="350">
        <f t="shared" si="97"/>
        <v>7217128.3675434887</v>
      </c>
      <c r="V191" s="350">
        <f t="shared" si="98"/>
        <v>21982435.155415744</v>
      </c>
      <c r="W191" s="365"/>
      <c r="X191" s="377">
        <f t="shared" si="76"/>
        <v>0</v>
      </c>
      <c r="Y191" s="377">
        <f t="shared" si="77"/>
        <v>0</v>
      </c>
      <c r="Z191" s="377">
        <f t="shared" si="78"/>
        <v>0</v>
      </c>
      <c r="AA191" s="377">
        <f t="shared" si="79"/>
        <v>0</v>
      </c>
      <c r="AB191" s="377">
        <f t="shared" si="80"/>
        <v>0</v>
      </c>
      <c r="AC191" s="377">
        <f t="shared" si="81"/>
        <v>0</v>
      </c>
      <c r="AD191" s="376"/>
      <c r="AE191" s="332">
        <v>176</v>
      </c>
      <c r="AF191" s="350">
        <v>7050536.2660170756</v>
      </c>
      <c r="AG191" s="350">
        <v>14156441.61002055</v>
      </c>
      <c r="AH191" s="350">
        <v>21316124.825578697</v>
      </c>
      <c r="AI191" s="350">
        <v>28529823.307369586</v>
      </c>
      <c r="AJ191" s="350">
        <v>35798577.372158691</v>
      </c>
      <c r="AK191" s="348">
        <v>106851503.3811446</v>
      </c>
      <c r="AL191" s="369"/>
      <c r="AM191" s="350">
        <v>8269390.0073242811</v>
      </c>
      <c r="AN191" s="350">
        <v>17753577.543740422</v>
      </c>
      <c r="AO191" s="350">
        <v>26975244.346989639</v>
      </c>
      <c r="AP191" s="350">
        <v>35928758.100949772</v>
      </c>
      <c r="AQ191" s="350">
        <v>44611088.95668979</v>
      </c>
      <c r="AR191" s="348">
        <v>133538058.95569392</v>
      </c>
      <c r="AS191" s="369"/>
      <c r="AT191" s="350">
        <f t="shared" si="99"/>
        <v>1218853.7413072055</v>
      </c>
      <c r="AU191" s="350">
        <f t="shared" si="82"/>
        <v>3597135.9337198716</v>
      </c>
      <c r="AV191" s="350">
        <f t="shared" si="83"/>
        <v>5659119.5214109421</v>
      </c>
      <c r="AW191" s="350">
        <f t="shared" si="84"/>
        <v>7398934.7935801856</v>
      </c>
      <c r="AX191" s="350">
        <f t="shared" si="85"/>
        <v>8812511.5845310986</v>
      </c>
      <c r="AY191" s="350">
        <f t="shared" si="86"/>
        <v>26686555.574549317</v>
      </c>
      <c r="AZ191" s="365"/>
      <c r="BA191" s="377">
        <f t="shared" si="87"/>
        <v>0</v>
      </c>
      <c r="BB191" s="377">
        <f t="shared" si="88"/>
        <v>0</v>
      </c>
      <c r="BC191" s="377">
        <f t="shared" si="89"/>
        <v>0</v>
      </c>
      <c r="BD191" s="377">
        <f t="shared" si="90"/>
        <v>0</v>
      </c>
      <c r="BE191" s="377">
        <f t="shared" si="91"/>
        <v>0</v>
      </c>
      <c r="BF191" s="377">
        <f t="shared" si="92"/>
        <v>0</v>
      </c>
      <c r="BG191" s="328"/>
    </row>
    <row r="192" spans="2:59">
      <c r="B192" s="332">
        <v>177</v>
      </c>
      <c r="C192" s="350">
        <v>6493351.5484217219</v>
      </c>
      <c r="D192" s="350">
        <v>12091321.054772668</v>
      </c>
      <c r="E192" s="350">
        <v>17731386.463918563</v>
      </c>
      <c r="F192" s="350">
        <v>23413979.993451379</v>
      </c>
      <c r="G192" s="350">
        <v>29140027.881849684</v>
      </c>
      <c r="H192" s="348">
        <v>88870066.942414016</v>
      </c>
      <c r="I192" s="369"/>
      <c r="J192" s="350">
        <v>7581549.5086555406</v>
      </c>
      <c r="K192" s="350">
        <v>15304808.325743496</v>
      </c>
      <c r="L192" s="350">
        <v>22851169.39807624</v>
      </c>
      <c r="M192" s="350">
        <v>30215446.287659999</v>
      </c>
      <c r="N192" s="350">
        <v>37394490.785468191</v>
      </c>
      <c r="O192" s="348">
        <v>113347464.30560347</v>
      </c>
      <c r="P192" s="369"/>
      <c r="Q192" s="350">
        <f t="shared" si="93"/>
        <v>1088197.9602338187</v>
      </c>
      <c r="R192" s="350">
        <f t="shared" si="94"/>
        <v>3213487.2709708288</v>
      </c>
      <c r="S192" s="350">
        <f t="shared" si="95"/>
        <v>5119782.934157677</v>
      </c>
      <c r="T192" s="350">
        <f t="shared" si="96"/>
        <v>6801466.2942086197</v>
      </c>
      <c r="U192" s="350">
        <f t="shared" si="97"/>
        <v>8254462.9036185071</v>
      </c>
      <c r="V192" s="350">
        <f t="shared" si="98"/>
        <v>24477397.363189459</v>
      </c>
      <c r="W192" s="365"/>
      <c r="X192" s="377">
        <f t="shared" si="76"/>
        <v>0</v>
      </c>
      <c r="Y192" s="377">
        <f t="shared" si="77"/>
        <v>0</v>
      </c>
      <c r="Z192" s="377">
        <f t="shared" si="78"/>
        <v>0</v>
      </c>
      <c r="AA192" s="377">
        <f t="shared" si="79"/>
        <v>0</v>
      </c>
      <c r="AB192" s="377">
        <f t="shared" si="80"/>
        <v>0</v>
      </c>
      <c r="AC192" s="377">
        <f t="shared" si="81"/>
        <v>0</v>
      </c>
      <c r="AD192" s="376"/>
      <c r="AE192" s="332">
        <v>177</v>
      </c>
      <c r="AF192" s="350">
        <v>5717998.3573975237</v>
      </c>
      <c r="AG192" s="350">
        <v>11480901.142633086</v>
      </c>
      <c r="AH192" s="350">
        <v>17287417.884256065</v>
      </c>
      <c r="AI192" s="350">
        <v>23137741.109803095</v>
      </c>
      <c r="AJ192" s="350">
        <v>29032714.518154901</v>
      </c>
      <c r="AK192" s="348">
        <v>86656773.012244672</v>
      </c>
      <c r="AL192" s="369"/>
      <c r="AM192" s="350">
        <v>6843718.1457237732</v>
      </c>
      <c r="AN192" s="350">
        <v>14805160.465821484</v>
      </c>
      <c r="AO192" s="350">
        <v>22557807.965001225</v>
      </c>
      <c r="AP192" s="350">
        <v>30097054.011238471</v>
      </c>
      <c r="AQ192" s="350">
        <v>37420580.370133273</v>
      </c>
      <c r="AR192" s="348">
        <v>111724320.95791823</v>
      </c>
      <c r="AS192" s="369"/>
      <c r="AT192" s="350">
        <f t="shared" si="99"/>
        <v>1125719.7883262495</v>
      </c>
      <c r="AU192" s="350">
        <f t="shared" si="82"/>
        <v>3324259.323188398</v>
      </c>
      <c r="AV192" s="350">
        <f t="shared" si="83"/>
        <v>5270390.0807451606</v>
      </c>
      <c r="AW192" s="350">
        <f t="shared" si="84"/>
        <v>6959312.9014353752</v>
      </c>
      <c r="AX192" s="350">
        <f t="shared" si="85"/>
        <v>8387865.8519783728</v>
      </c>
      <c r="AY192" s="350">
        <f t="shared" si="86"/>
        <v>25067547.945673555</v>
      </c>
      <c r="AZ192" s="365"/>
      <c r="BA192" s="377">
        <f t="shared" si="87"/>
        <v>0</v>
      </c>
      <c r="BB192" s="377">
        <f t="shared" si="88"/>
        <v>0</v>
      </c>
      <c r="BC192" s="377">
        <f t="shared" si="89"/>
        <v>0</v>
      </c>
      <c r="BD192" s="377">
        <f t="shared" si="90"/>
        <v>0</v>
      </c>
      <c r="BE192" s="377">
        <f t="shared" si="91"/>
        <v>0</v>
      </c>
      <c r="BF192" s="377">
        <f t="shared" si="92"/>
        <v>0</v>
      </c>
      <c r="BG192" s="328"/>
    </row>
    <row r="193" spans="2:59">
      <c r="B193" s="332">
        <v>178</v>
      </c>
      <c r="C193" s="350">
        <v>8880053.1596058067</v>
      </c>
      <c r="D193" s="350">
        <v>16402566.397566944</v>
      </c>
      <c r="E193" s="350">
        <v>23981603.474099457</v>
      </c>
      <c r="F193" s="350">
        <v>31617785.500670724</v>
      </c>
      <c r="G193" s="350">
        <v>39312374.684862778</v>
      </c>
      <c r="H193" s="348">
        <v>120194383.21680571</v>
      </c>
      <c r="I193" s="369"/>
      <c r="J193" s="350">
        <v>10088246.767648892</v>
      </c>
      <c r="K193" s="350">
        <v>19967182.699468859</v>
      </c>
      <c r="L193" s="350">
        <v>29605987.717148893</v>
      </c>
      <c r="M193" s="350">
        <v>38997594.148119152</v>
      </c>
      <c r="N193" s="350">
        <v>48137313.129088156</v>
      </c>
      <c r="O193" s="348">
        <v>146796324.46147394</v>
      </c>
      <c r="P193" s="369"/>
      <c r="Q193" s="350">
        <f t="shared" si="93"/>
        <v>1208193.6080430858</v>
      </c>
      <c r="R193" s="350">
        <f t="shared" si="94"/>
        <v>3564616.3019019142</v>
      </c>
      <c r="S193" s="350">
        <f t="shared" si="95"/>
        <v>5624384.2430494353</v>
      </c>
      <c r="T193" s="350">
        <f t="shared" si="96"/>
        <v>7379808.647448428</v>
      </c>
      <c r="U193" s="350">
        <f t="shared" si="97"/>
        <v>8824938.4442253783</v>
      </c>
      <c r="V193" s="350">
        <f t="shared" si="98"/>
        <v>26601941.24466823</v>
      </c>
      <c r="W193" s="365"/>
      <c r="X193" s="377">
        <f t="shared" si="76"/>
        <v>0</v>
      </c>
      <c r="Y193" s="377">
        <f t="shared" si="77"/>
        <v>0</v>
      </c>
      <c r="Z193" s="377">
        <f t="shared" si="78"/>
        <v>0</v>
      </c>
      <c r="AA193" s="377">
        <f t="shared" si="79"/>
        <v>0</v>
      </c>
      <c r="AB193" s="377">
        <f t="shared" si="80"/>
        <v>0</v>
      </c>
      <c r="AC193" s="377">
        <f t="shared" si="81"/>
        <v>0</v>
      </c>
      <c r="AD193" s="376"/>
      <c r="AE193" s="332">
        <v>178</v>
      </c>
      <c r="AF193" s="350">
        <v>5234429.2527817935</v>
      </c>
      <c r="AG193" s="350">
        <v>10509965.381775044</v>
      </c>
      <c r="AH193" s="350">
        <v>15825427.050244618</v>
      </c>
      <c r="AI193" s="350">
        <v>21180990.503741276</v>
      </c>
      <c r="AJ193" s="350">
        <v>26577428.089828931</v>
      </c>
      <c r="AK193" s="348">
        <v>79328240.278371662</v>
      </c>
      <c r="AL193" s="369"/>
      <c r="AM193" s="350">
        <v>6163603.4473996069</v>
      </c>
      <c r="AN193" s="350">
        <v>13252537.113355771</v>
      </c>
      <c r="AO193" s="350">
        <v>20147298.381951265</v>
      </c>
      <c r="AP193" s="350">
        <v>26843698.866212483</v>
      </c>
      <c r="AQ193" s="350">
        <v>33339513.746425033</v>
      </c>
      <c r="AR193" s="348">
        <v>99746651.555344164</v>
      </c>
      <c r="AS193" s="369"/>
      <c r="AT193" s="350">
        <f t="shared" si="99"/>
        <v>929174.19461781345</v>
      </c>
      <c r="AU193" s="350">
        <f t="shared" si="82"/>
        <v>2742571.7315807268</v>
      </c>
      <c r="AV193" s="350">
        <f t="shared" si="83"/>
        <v>4321871.3317066468</v>
      </c>
      <c r="AW193" s="350">
        <f t="shared" si="84"/>
        <v>5662708.362471208</v>
      </c>
      <c r="AX193" s="350">
        <f t="shared" si="85"/>
        <v>6762085.6565961018</v>
      </c>
      <c r="AY193" s="350">
        <f t="shared" si="86"/>
        <v>20418411.276972502</v>
      </c>
      <c r="AZ193" s="365"/>
      <c r="BA193" s="377">
        <f t="shared" si="87"/>
        <v>0</v>
      </c>
      <c r="BB193" s="377">
        <f t="shared" si="88"/>
        <v>0</v>
      </c>
      <c r="BC193" s="377">
        <f t="shared" si="89"/>
        <v>0</v>
      </c>
      <c r="BD193" s="377">
        <f t="shared" si="90"/>
        <v>0</v>
      </c>
      <c r="BE193" s="377">
        <f t="shared" si="91"/>
        <v>0</v>
      </c>
      <c r="BF193" s="377">
        <f t="shared" si="92"/>
        <v>0</v>
      </c>
      <c r="BG193" s="328"/>
    </row>
    <row r="194" spans="2:59">
      <c r="B194" s="332">
        <v>179</v>
      </c>
      <c r="C194" s="350">
        <v>7076837.5963680856</v>
      </c>
      <c r="D194" s="350">
        <v>13283120.987295635</v>
      </c>
      <c r="E194" s="350">
        <v>19536109.805432618</v>
      </c>
      <c r="F194" s="350">
        <v>25836251.345454175</v>
      </c>
      <c r="G194" s="350">
        <v>32184558.621723358</v>
      </c>
      <c r="H194" s="348">
        <v>97916878.35627386</v>
      </c>
      <c r="I194" s="369"/>
      <c r="J194" s="350">
        <v>7976612.2950679585</v>
      </c>
      <c r="K194" s="350">
        <v>15936314.289141789</v>
      </c>
      <c r="L194" s="350">
        <v>23694470.64882382</v>
      </c>
      <c r="M194" s="350">
        <v>31245248.432390518</v>
      </c>
      <c r="N194" s="350">
        <v>38584689.510705784</v>
      </c>
      <c r="O194" s="348">
        <v>117437335.17612986</v>
      </c>
      <c r="P194" s="369"/>
      <c r="Q194" s="350">
        <f t="shared" si="93"/>
        <v>899774.69869987294</v>
      </c>
      <c r="R194" s="350">
        <f t="shared" si="94"/>
        <v>2653193.301846154</v>
      </c>
      <c r="S194" s="350">
        <f t="shared" si="95"/>
        <v>4158360.8433912024</v>
      </c>
      <c r="T194" s="350">
        <f t="shared" si="96"/>
        <v>5408997.0869363435</v>
      </c>
      <c r="U194" s="350">
        <f t="shared" si="97"/>
        <v>6400130.8889824264</v>
      </c>
      <c r="V194" s="350">
        <f t="shared" si="98"/>
        <v>19520456.819856003</v>
      </c>
      <c r="W194" s="365"/>
      <c r="X194" s="377">
        <f t="shared" si="76"/>
        <v>0</v>
      </c>
      <c r="Y194" s="377">
        <f t="shared" si="77"/>
        <v>0</v>
      </c>
      <c r="Z194" s="377">
        <f t="shared" si="78"/>
        <v>0</v>
      </c>
      <c r="AA194" s="377">
        <f t="shared" si="79"/>
        <v>0</v>
      </c>
      <c r="AB194" s="377">
        <f t="shared" si="80"/>
        <v>0</v>
      </c>
      <c r="AC194" s="377">
        <f t="shared" si="81"/>
        <v>0</v>
      </c>
      <c r="AD194" s="376"/>
      <c r="AE194" s="332">
        <v>179</v>
      </c>
      <c r="AF194" s="350">
        <v>6082581.1078380272</v>
      </c>
      <c r="AG194" s="350">
        <v>12212929.774768226</v>
      </c>
      <c r="AH194" s="350">
        <v>18389673.248163689</v>
      </c>
      <c r="AI194" s="350">
        <v>24613016.3312237</v>
      </c>
      <c r="AJ194" s="350">
        <v>30883856.517538119</v>
      </c>
      <c r="AK194" s="348">
        <v>92182056.97953175</v>
      </c>
      <c r="AL194" s="369"/>
      <c r="AM194" s="350">
        <v>7203632.8003719468</v>
      </c>
      <c r="AN194" s="350">
        <v>15522433.439769516</v>
      </c>
      <c r="AO194" s="350">
        <v>23616836.844207402</v>
      </c>
      <c r="AP194" s="350">
        <v>31481964.281617794</v>
      </c>
      <c r="AQ194" s="350">
        <v>39115272.285214655</v>
      </c>
      <c r="AR194" s="348">
        <v>116940139.65118131</v>
      </c>
      <c r="AS194" s="369"/>
      <c r="AT194" s="350">
        <f t="shared" si="99"/>
        <v>1121051.6925339196</v>
      </c>
      <c r="AU194" s="350">
        <f t="shared" si="82"/>
        <v>3309503.6650012899</v>
      </c>
      <c r="AV194" s="350">
        <f t="shared" si="83"/>
        <v>5227163.5960437134</v>
      </c>
      <c r="AW194" s="350">
        <f t="shared" si="84"/>
        <v>6868947.950394094</v>
      </c>
      <c r="AX194" s="350">
        <f t="shared" si="85"/>
        <v>8231415.767676536</v>
      </c>
      <c r="AY194" s="350">
        <f t="shared" si="86"/>
        <v>24758082.67164956</v>
      </c>
      <c r="AZ194" s="365"/>
      <c r="BA194" s="377">
        <f t="shared" si="87"/>
        <v>0</v>
      </c>
      <c r="BB194" s="377">
        <f t="shared" si="88"/>
        <v>0</v>
      </c>
      <c r="BC194" s="377">
        <f t="shared" si="89"/>
        <v>0</v>
      </c>
      <c r="BD194" s="377">
        <f t="shared" si="90"/>
        <v>0</v>
      </c>
      <c r="BE194" s="377">
        <f t="shared" si="91"/>
        <v>0</v>
      </c>
      <c r="BF194" s="377">
        <f t="shared" si="92"/>
        <v>0</v>
      </c>
      <c r="BG194" s="328"/>
    </row>
    <row r="195" spans="2:59">
      <c r="B195" s="332">
        <v>180</v>
      </c>
      <c r="C195" s="350">
        <v>7408783.2405275526</v>
      </c>
      <c r="D195" s="350">
        <v>13868906.13938098</v>
      </c>
      <c r="E195" s="350">
        <v>20377632.523603648</v>
      </c>
      <c r="F195" s="350">
        <v>26935439.080402948</v>
      </c>
      <c r="G195" s="350">
        <v>33543385.085557915</v>
      </c>
      <c r="H195" s="348">
        <v>102134146.06947303</v>
      </c>
      <c r="I195" s="369"/>
      <c r="J195" s="350">
        <v>8334852.4377141204</v>
      </c>
      <c r="K195" s="350">
        <v>16599437.505318061</v>
      </c>
      <c r="L195" s="350">
        <v>24653464.682441868</v>
      </c>
      <c r="M195" s="350">
        <v>32490877.243323956</v>
      </c>
      <c r="N195" s="350">
        <v>40107550.473100685</v>
      </c>
      <c r="O195" s="348">
        <v>122186182.34189868</v>
      </c>
      <c r="P195" s="369"/>
      <c r="Q195" s="350">
        <f t="shared" si="93"/>
        <v>926069.19718656782</v>
      </c>
      <c r="R195" s="350">
        <f t="shared" si="94"/>
        <v>2730531.3659370802</v>
      </c>
      <c r="S195" s="350">
        <f t="shared" si="95"/>
        <v>4275832.1588382199</v>
      </c>
      <c r="T195" s="350">
        <f t="shared" si="96"/>
        <v>5555438.1629210077</v>
      </c>
      <c r="U195" s="350">
        <f t="shared" si="97"/>
        <v>6564165.3875427693</v>
      </c>
      <c r="V195" s="350">
        <f t="shared" si="98"/>
        <v>20052036.272425652</v>
      </c>
      <c r="W195" s="365"/>
      <c r="X195" s="377">
        <f t="shared" si="76"/>
        <v>0</v>
      </c>
      <c r="Y195" s="377">
        <f t="shared" si="77"/>
        <v>0</v>
      </c>
      <c r="Z195" s="377">
        <f t="shared" si="78"/>
        <v>0</v>
      </c>
      <c r="AA195" s="377">
        <f t="shared" si="79"/>
        <v>0</v>
      </c>
      <c r="AB195" s="377">
        <f t="shared" si="80"/>
        <v>0</v>
      </c>
      <c r="AC195" s="377">
        <f t="shared" si="81"/>
        <v>0</v>
      </c>
      <c r="AD195" s="376"/>
      <c r="AE195" s="332">
        <v>180</v>
      </c>
      <c r="AF195" s="350">
        <v>9639029.8692950085</v>
      </c>
      <c r="AG195" s="350">
        <v>19353756.703531336</v>
      </c>
      <c r="AH195" s="350">
        <v>29142005.109838866</v>
      </c>
      <c r="AI195" s="350">
        <v>39004099.638621479</v>
      </c>
      <c r="AJ195" s="350">
        <v>48941462.542598352</v>
      </c>
      <c r="AK195" s="348">
        <v>146080353.86388505</v>
      </c>
      <c r="AL195" s="369"/>
      <c r="AM195" s="350">
        <v>11177681.853568055</v>
      </c>
      <c r="AN195" s="350">
        <v>23892849.081569463</v>
      </c>
      <c r="AO195" s="350">
        <v>36245291.01556053</v>
      </c>
      <c r="AP195" s="350">
        <v>48227343.63704209</v>
      </c>
      <c r="AQ195" s="350">
        <v>59834735.420932531</v>
      </c>
      <c r="AR195" s="348">
        <v>179377901.00867265</v>
      </c>
      <c r="AS195" s="369"/>
      <c r="AT195" s="350">
        <f t="shared" si="99"/>
        <v>1538651.9842730463</v>
      </c>
      <c r="AU195" s="350">
        <f t="shared" si="82"/>
        <v>4539092.378038127</v>
      </c>
      <c r="AV195" s="350">
        <f t="shared" si="83"/>
        <v>7103285.9057216644</v>
      </c>
      <c r="AW195" s="350">
        <f t="shared" si="84"/>
        <v>9223243.998420611</v>
      </c>
      <c r="AX195" s="350">
        <f t="shared" si="85"/>
        <v>10893272.87833418</v>
      </c>
      <c r="AY195" s="350">
        <f t="shared" si="86"/>
        <v>33297547.14478761</v>
      </c>
      <c r="AZ195" s="365"/>
      <c r="BA195" s="377">
        <f t="shared" si="87"/>
        <v>0</v>
      </c>
      <c r="BB195" s="377">
        <f t="shared" si="88"/>
        <v>0</v>
      </c>
      <c r="BC195" s="377">
        <f t="shared" si="89"/>
        <v>0</v>
      </c>
      <c r="BD195" s="377">
        <f t="shared" si="90"/>
        <v>0</v>
      </c>
      <c r="BE195" s="377">
        <f t="shared" si="91"/>
        <v>0</v>
      </c>
      <c r="BF195" s="377">
        <f t="shared" si="92"/>
        <v>0</v>
      </c>
      <c r="BG195" s="328"/>
    </row>
    <row r="196" spans="2:59">
      <c r="B196" s="332">
        <v>181</v>
      </c>
      <c r="C196" s="350">
        <v>6543294.5186714716</v>
      </c>
      <c r="D196" s="350">
        <v>12201302.797545284</v>
      </c>
      <c r="E196" s="350">
        <v>17901864.122533727</v>
      </c>
      <c r="F196" s="350">
        <v>23645410.202867173</v>
      </c>
      <c r="G196" s="350">
        <v>29432874.972905502</v>
      </c>
      <c r="H196" s="348">
        <v>89724746.614523157</v>
      </c>
      <c r="I196" s="369"/>
      <c r="J196" s="350">
        <v>7722128.5458388301</v>
      </c>
      <c r="K196" s="350">
        <v>15683445.91293617</v>
      </c>
      <c r="L196" s="350">
        <v>23469105.667585619</v>
      </c>
      <c r="M196" s="350">
        <v>31073811.024818931</v>
      </c>
      <c r="N196" s="350">
        <v>38494429.369848967</v>
      </c>
      <c r="O196" s="348">
        <v>116442920.52102852</v>
      </c>
      <c r="P196" s="369"/>
      <c r="Q196" s="350">
        <f t="shared" si="93"/>
        <v>1178834.0271673584</v>
      </c>
      <c r="R196" s="350">
        <f t="shared" si="94"/>
        <v>3482143.1153908856</v>
      </c>
      <c r="S196" s="350">
        <f t="shared" si="95"/>
        <v>5567241.5450518914</v>
      </c>
      <c r="T196" s="350">
        <f t="shared" si="96"/>
        <v>7428400.8219517581</v>
      </c>
      <c r="U196" s="350">
        <f t="shared" si="97"/>
        <v>9061554.3969434649</v>
      </c>
      <c r="V196" s="350">
        <f t="shared" si="98"/>
        <v>26718173.906505361</v>
      </c>
      <c r="W196" s="365"/>
      <c r="X196" s="377">
        <f t="shared" si="76"/>
        <v>0</v>
      </c>
      <c r="Y196" s="377">
        <f t="shared" si="77"/>
        <v>0</v>
      </c>
      <c r="Z196" s="377">
        <f t="shared" si="78"/>
        <v>0</v>
      </c>
      <c r="AA196" s="377">
        <f t="shared" si="79"/>
        <v>0</v>
      </c>
      <c r="AB196" s="377">
        <f t="shared" si="80"/>
        <v>0</v>
      </c>
      <c r="AC196" s="377">
        <f t="shared" si="81"/>
        <v>0</v>
      </c>
      <c r="AD196" s="376"/>
      <c r="AE196" s="332">
        <v>181</v>
      </c>
      <c r="AF196" s="350">
        <v>8522055.5957716648</v>
      </c>
      <c r="AG196" s="350">
        <v>17111036.364761852</v>
      </c>
      <c r="AH196" s="350">
        <v>25765018.999414396</v>
      </c>
      <c r="AI196" s="350">
        <v>34484290.441114783</v>
      </c>
      <c r="AJ196" s="350">
        <v>43270108.131421804</v>
      </c>
      <c r="AK196" s="348">
        <v>129152509.5324845</v>
      </c>
      <c r="AL196" s="369"/>
      <c r="AM196" s="350">
        <v>9686249.713760158</v>
      </c>
      <c r="AN196" s="350">
        <v>20542389.108458407</v>
      </c>
      <c r="AO196" s="350">
        <v>31071960.944175906</v>
      </c>
      <c r="AP196" s="350">
        <v>41268244.79250215</v>
      </c>
      <c r="AQ196" s="350">
        <v>51127265.451840565</v>
      </c>
      <c r="AR196" s="348">
        <v>153696110.01073718</v>
      </c>
      <c r="AS196" s="369"/>
      <c r="AT196" s="350">
        <f t="shared" si="99"/>
        <v>1164194.1179884933</v>
      </c>
      <c r="AU196" s="350">
        <f t="shared" si="82"/>
        <v>3431352.7436965555</v>
      </c>
      <c r="AV196" s="350">
        <f t="shared" si="83"/>
        <v>5306941.9447615109</v>
      </c>
      <c r="AW196" s="350">
        <f t="shared" si="84"/>
        <v>6783954.3513873667</v>
      </c>
      <c r="AX196" s="350">
        <f t="shared" si="85"/>
        <v>7857157.3204187602</v>
      </c>
      <c r="AY196" s="350">
        <f t="shared" si="86"/>
        <v>24543600.478252679</v>
      </c>
      <c r="AZ196" s="365"/>
      <c r="BA196" s="377">
        <f t="shared" si="87"/>
        <v>0</v>
      </c>
      <c r="BB196" s="377">
        <f t="shared" si="88"/>
        <v>0</v>
      </c>
      <c r="BC196" s="377">
        <f t="shared" si="89"/>
        <v>0</v>
      </c>
      <c r="BD196" s="377">
        <f t="shared" si="90"/>
        <v>0</v>
      </c>
      <c r="BE196" s="377">
        <f t="shared" si="91"/>
        <v>0</v>
      </c>
      <c r="BF196" s="377">
        <f t="shared" si="92"/>
        <v>0</v>
      </c>
      <c r="BG196" s="328"/>
    </row>
    <row r="197" spans="2:59">
      <c r="B197" s="332">
        <v>182</v>
      </c>
      <c r="C197" s="350">
        <v>10516607.013367167</v>
      </c>
      <c r="D197" s="350">
        <v>20025609.521358095</v>
      </c>
      <c r="E197" s="350">
        <v>29606265.833803292</v>
      </c>
      <c r="F197" s="350">
        <v>39259176.090729587</v>
      </c>
      <c r="G197" s="350">
        <v>48985855.325336844</v>
      </c>
      <c r="H197" s="348">
        <v>148393513.78459498</v>
      </c>
      <c r="I197" s="369"/>
      <c r="J197" s="350">
        <v>11833083.850325268</v>
      </c>
      <c r="K197" s="350">
        <v>23906448.588690005</v>
      </c>
      <c r="L197" s="350">
        <v>35657381.68443051</v>
      </c>
      <c r="M197" s="350">
        <v>47077312.104254112</v>
      </c>
      <c r="N197" s="350">
        <v>58160526.68755655</v>
      </c>
      <c r="O197" s="348">
        <v>176634752.91525644</v>
      </c>
      <c r="P197" s="369"/>
      <c r="Q197" s="350">
        <f t="shared" si="93"/>
        <v>1316476.836958101</v>
      </c>
      <c r="R197" s="350">
        <f t="shared" si="94"/>
        <v>3880839.0673319101</v>
      </c>
      <c r="S197" s="350">
        <f t="shared" si="95"/>
        <v>6051115.8506272174</v>
      </c>
      <c r="T197" s="350">
        <f t="shared" si="96"/>
        <v>7818136.0135245249</v>
      </c>
      <c r="U197" s="350">
        <f t="shared" si="97"/>
        <v>9174671.3622197062</v>
      </c>
      <c r="V197" s="350">
        <f t="shared" si="98"/>
        <v>28241239.130661458</v>
      </c>
      <c r="W197" s="365"/>
      <c r="X197" s="377">
        <f t="shared" si="76"/>
        <v>0</v>
      </c>
      <c r="Y197" s="377">
        <f t="shared" si="77"/>
        <v>0</v>
      </c>
      <c r="Z197" s="377">
        <f t="shared" si="78"/>
        <v>0</v>
      </c>
      <c r="AA197" s="377">
        <f t="shared" si="79"/>
        <v>0</v>
      </c>
      <c r="AB197" s="377">
        <f t="shared" si="80"/>
        <v>0</v>
      </c>
      <c r="AC197" s="377">
        <f t="shared" si="81"/>
        <v>0</v>
      </c>
      <c r="AD197" s="376"/>
      <c r="AE197" s="332">
        <v>182</v>
      </c>
      <c r="AF197" s="350">
        <v>8252017.4291996369</v>
      </c>
      <c r="AG197" s="350">
        <v>16568839.375296053</v>
      </c>
      <c r="AH197" s="350">
        <v>24948603.474532418</v>
      </c>
      <c r="AI197" s="350">
        <v>33391587.575989589</v>
      </c>
      <c r="AJ197" s="350">
        <v>41899009.276706532</v>
      </c>
      <c r="AK197" s="348">
        <v>125060057.13172422</v>
      </c>
      <c r="AL197" s="369"/>
      <c r="AM197" s="350">
        <v>9520221.2057750821</v>
      </c>
      <c r="AN197" s="350">
        <v>20309329.318835564</v>
      </c>
      <c r="AO197" s="350">
        <v>30786437.794081621</v>
      </c>
      <c r="AP197" s="350">
        <v>40944999.301562235</v>
      </c>
      <c r="AQ197" s="350">
        <v>50781307.299906686</v>
      </c>
      <c r="AR197" s="348">
        <v>152342294.92016119</v>
      </c>
      <c r="AS197" s="369"/>
      <c r="AT197" s="350">
        <f t="shared" si="99"/>
        <v>1268203.7765754452</v>
      </c>
      <c r="AU197" s="350">
        <f t="shared" si="82"/>
        <v>3740489.9435395114</v>
      </c>
      <c r="AV197" s="350">
        <f t="shared" si="83"/>
        <v>5837834.3195492029</v>
      </c>
      <c r="AW197" s="350">
        <f t="shared" si="84"/>
        <v>7553411.7255726457</v>
      </c>
      <c r="AX197" s="350">
        <f t="shared" si="85"/>
        <v>8882298.0232001543</v>
      </c>
      <c r="AY197" s="350">
        <f t="shared" si="86"/>
        <v>27282237.788436964</v>
      </c>
      <c r="AZ197" s="365"/>
      <c r="BA197" s="377">
        <f t="shared" si="87"/>
        <v>0</v>
      </c>
      <c r="BB197" s="377">
        <f t="shared" si="88"/>
        <v>0</v>
      </c>
      <c r="BC197" s="377">
        <f t="shared" si="89"/>
        <v>0</v>
      </c>
      <c r="BD197" s="377">
        <f t="shared" si="90"/>
        <v>0</v>
      </c>
      <c r="BE197" s="377">
        <f t="shared" si="91"/>
        <v>0</v>
      </c>
      <c r="BF197" s="377">
        <f t="shared" si="92"/>
        <v>0</v>
      </c>
      <c r="BG197" s="328"/>
    </row>
    <row r="198" spans="2:59">
      <c r="B198" s="332">
        <v>183</v>
      </c>
      <c r="C198" s="350">
        <v>8705162.4497340787</v>
      </c>
      <c r="D198" s="350">
        <v>16374385.923313554</v>
      </c>
      <c r="E198" s="350">
        <v>24101335.632540286</v>
      </c>
      <c r="F198" s="350">
        <v>31886553.909476336</v>
      </c>
      <c r="G198" s="350">
        <v>39731288.031018779</v>
      </c>
      <c r="H198" s="348">
        <v>120798725.94608304</v>
      </c>
      <c r="I198" s="369"/>
      <c r="J198" s="350">
        <v>10001552.110774618</v>
      </c>
      <c r="K198" s="350">
        <v>20200197.681281418</v>
      </c>
      <c r="L198" s="350">
        <v>30148304.999357779</v>
      </c>
      <c r="M198" s="350">
        <v>39838861.107803926</v>
      </c>
      <c r="N198" s="350">
        <v>49267425.23633375</v>
      </c>
      <c r="O198" s="348">
        <v>149456341.13555148</v>
      </c>
      <c r="P198" s="369"/>
      <c r="Q198" s="350">
        <f t="shared" si="93"/>
        <v>1296389.6610405389</v>
      </c>
      <c r="R198" s="350">
        <f t="shared" si="94"/>
        <v>3825811.7579678632</v>
      </c>
      <c r="S198" s="350">
        <f t="shared" si="95"/>
        <v>6046969.366817493</v>
      </c>
      <c r="T198" s="350">
        <f t="shared" si="96"/>
        <v>7952307.1983275898</v>
      </c>
      <c r="U198" s="350">
        <f t="shared" si="97"/>
        <v>9536137.2053149715</v>
      </c>
      <c r="V198" s="350">
        <f t="shared" si="98"/>
        <v>28657615.189468443</v>
      </c>
      <c r="W198" s="365"/>
      <c r="X198" s="377">
        <f t="shared" si="76"/>
        <v>0</v>
      </c>
      <c r="Y198" s="377">
        <f t="shared" si="77"/>
        <v>0</v>
      </c>
      <c r="Z198" s="377">
        <f t="shared" si="78"/>
        <v>0</v>
      </c>
      <c r="AA198" s="377">
        <f t="shared" si="79"/>
        <v>0</v>
      </c>
      <c r="AB198" s="377">
        <f t="shared" si="80"/>
        <v>0</v>
      </c>
      <c r="AC198" s="377">
        <f t="shared" si="81"/>
        <v>0</v>
      </c>
      <c r="AD198" s="376"/>
      <c r="AE198" s="332">
        <v>183</v>
      </c>
      <c r="AF198" s="350">
        <v>6379285.7537830342</v>
      </c>
      <c r="AG198" s="350">
        <v>12808669.139444254</v>
      </c>
      <c r="AH198" s="350">
        <v>19286710.442309737</v>
      </c>
      <c r="AI198" s="350">
        <v>25813624.455755569</v>
      </c>
      <c r="AJ198" s="350">
        <v>32390352.452568822</v>
      </c>
      <c r="AK198" s="348">
        <v>96678642.243861407</v>
      </c>
      <c r="AL198" s="369"/>
      <c r="AM198" s="350">
        <v>7633182.4541973853</v>
      </c>
      <c r="AN198" s="350">
        <v>16511410.325621035</v>
      </c>
      <c r="AO198" s="350">
        <v>25156635.940047126</v>
      </c>
      <c r="AP198" s="350">
        <v>33563720.477025457</v>
      </c>
      <c r="AQ198" s="350">
        <v>41730075.559538499</v>
      </c>
      <c r="AR198" s="348">
        <v>124595024.75642951</v>
      </c>
      <c r="AS198" s="369"/>
      <c r="AT198" s="350">
        <f t="shared" si="99"/>
        <v>1253896.7004143512</v>
      </c>
      <c r="AU198" s="350">
        <f t="shared" si="82"/>
        <v>3702741.1861767806</v>
      </c>
      <c r="AV198" s="350">
        <f t="shared" si="83"/>
        <v>5869925.4977373891</v>
      </c>
      <c r="AW198" s="350">
        <f t="shared" si="84"/>
        <v>7750096.0212698877</v>
      </c>
      <c r="AX198" s="350">
        <f t="shared" si="85"/>
        <v>9339723.1069696769</v>
      </c>
      <c r="AY198" s="350">
        <f t="shared" si="86"/>
        <v>27916382.512568101</v>
      </c>
      <c r="AZ198" s="365"/>
      <c r="BA198" s="377">
        <f t="shared" si="87"/>
        <v>0</v>
      </c>
      <c r="BB198" s="377">
        <f t="shared" si="88"/>
        <v>0</v>
      </c>
      <c r="BC198" s="377">
        <f t="shared" si="89"/>
        <v>0</v>
      </c>
      <c r="BD198" s="377">
        <f t="shared" si="90"/>
        <v>0</v>
      </c>
      <c r="BE198" s="377">
        <f t="shared" si="91"/>
        <v>0</v>
      </c>
      <c r="BF198" s="377">
        <f t="shared" si="92"/>
        <v>0</v>
      </c>
      <c r="BG198" s="328"/>
    </row>
    <row r="199" spans="2:59">
      <c r="B199" s="332">
        <v>184</v>
      </c>
      <c r="C199" s="350">
        <v>7131316.8256241437</v>
      </c>
      <c r="D199" s="350">
        <v>13314684.02651177</v>
      </c>
      <c r="E199" s="350">
        <v>19544561.034761034</v>
      </c>
      <c r="F199" s="350">
        <v>25821414.542995878</v>
      </c>
      <c r="G199" s="350">
        <v>32146262.983724553</v>
      </c>
      <c r="H199" s="348">
        <v>97958239.413617373</v>
      </c>
      <c r="I199" s="369"/>
      <c r="J199" s="350">
        <v>8356255.5623817239</v>
      </c>
      <c r="K199" s="350">
        <v>16932251.135793731</v>
      </c>
      <c r="L199" s="350">
        <v>25318153.988409854</v>
      </c>
      <c r="M199" s="350">
        <v>33508024.304943167</v>
      </c>
      <c r="N199" s="350">
        <v>41498202.118171513</v>
      </c>
      <c r="O199" s="348">
        <v>125612887.10969999</v>
      </c>
      <c r="P199" s="369"/>
      <c r="Q199" s="350">
        <f t="shared" si="93"/>
        <v>1224938.7367575802</v>
      </c>
      <c r="R199" s="350">
        <f t="shared" si="94"/>
        <v>3617567.1092819609</v>
      </c>
      <c r="S199" s="350">
        <f t="shared" si="95"/>
        <v>5773592.9536488205</v>
      </c>
      <c r="T199" s="350">
        <f t="shared" si="96"/>
        <v>7686609.7619472891</v>
      </c>
      <c r="U199" s="350">
        <f t="shared" si="97"/>
        <v>9351939.1344469599</v>
      </c>
      <c r="V199" s="350">
        <f t="shared" si="98"/>
        <v>27654647.696082622</v>
      </c>
      <c r="W199" s="365"/>
      <c r="X199" s="377">
        <f t="shared" si="76"/>
        <v>0</v>
      </c>
      <c r="Y199" s="377">
        <f t="shared" si="77"/>
        <v>0</v>
      </c>
      <c r="Z199" s="377">
        <f t="shared" si="78"/>
        <v>0</v>
      </c>
      <c r="AA199" s="377">
        <f t="shared" si="79"/>
        <v>0</v>
      </c>
      <c r="AB199" s="377">
        <f t="shared" si="80"/>
        <v>0</v>
      </c>
      <c r="AC199" s="377">
        <f t="shared" si="81"/>
        <v>0</v>
      </c>
      <c r="AD199" s="376"/>
      <c r="AE199" s="332">
        <v>184</v>
      </c>
      <c r="AF199" s="350">
        <v>6053698.6223452771</v>
      </c>
      <c r="AG199" s="350">
        <v>12154937.984639987</v>
      </c>
      <c r="AH199" s="350">
        <v>18302351.852626178</v>
      </c>
      <c r="AI199" s="350">
        <v>24496144.057017054</v>
      </c>
      <c r="AJ199" s="350">
        <v>30737207.82975021</v>
      </c>
      <c r="AK199" s="348">
        <v>91744340.346378714</v>
      </c>
      <c r="AL199" s="369"/>
      <c r="AM199" s="350">
        <v>7318490.1130967811</v>
      </c>
      <c r="AN199" s="350">
        <v>15890803.887477163</v>
      </c>
      <c r="AO199" s="350">
        <v>24244250.436785467</v>
      </c>
      <c r="AP199" s="350">
        <v>32373932.03454753</v>
      </c>
      <c r="AQ199" s="350">
        <v>40277468.257222988</v>
      </c>
      <c r="AR199" s="348">
        <v>120104944.72912991</v>
      </c>
      <c r="AS199" s="369"/>
      <c r="AT199" s="350">
        <f t="shared" si="99"/>
        <v>1264791.490751504</v>
      </c>
      <c r="AU199" s="350">
        <f t="shared" si="82"/>
        <v>3735865.9028371759</v>
      </c>
      <c r="AV199" s="350">
        <f t="shared" si="83"/>
        <v>5941898.5841592886</v>
      </c>
      <c r="AW199" s="350">
        <f t="shared" si="84"/>
        <v>7877787.9775304757</v>
      </c>
      <c r="AX199" s="350">
        <f t="shared" si="85"/>
        <v>9540260.4274727777</v>
      </c>
      <c r="AY199" s="350">
        <f t="shared" si="86"/>
        <v>28360604.382751197</v>
      </c>
      <c r="AZ199" s="365"/>
      <c r="BA199" s="377">
        <f t="shared" si="87"/>
        <v>0</v>
      </c>
      <c r="BB199" s="377">
        <f t="shared" si="88"/>
        <v>0</v>
      </c>
      <c r="BC199" s="377">
        <f t="shared" si="89"/>
        <v>0</v>
      </c>
      <c r="BD199" s="377">
        <f t="shared" si="90"/>
        <v>0</v>
      </c>
      <c r="BE199" s="377">
        <f t="shared" si="91"/>
        <v>0</v>
      </c>
      <c r="BF199" s="377">
        <f t="shared" si="92"/>
        <v>0</v>
      </c>
      <c r="BG199" s="328"/>
    </row>
    <row r="200" spans="2:59">
      <c r="B200" s="332">
        <v>185</v>
      </c>
      <c r="C200" s="350">
        <v>7821335.9793823734</v>
      </c>
      <c r="D200" s="350">
        <v>14812008.375585083</v>
      </c>
      <c r="E200" s="350">
        <v>21855332.203505743</v>
      </c>
      <c r="F200" s="350">
        <v>28951772.142171614</v>
      </c>
      <c r="G200" s="350">
        <v>36102452.204027623</v>
      </c>
      <c r="H200" s="348">
        <v>109542900.90467244</v>
      </c>
      <c r="I200" s="369"/>
      <c r="J200" s="350">
        <v>8924668.4785324819</v>
      </c>
      <c r="K200" s="350">
        <v>18066936.643453877</v>
      </c>
      <c r="L200" s="350">
        <v>26976898.778623812</v>
      </c>
      <c r="M200" s="350">
        <v>35648214.697433904</v>
      </c>
      <c r="N200" s="350">
        <v>44076806.492858872</v>
      </c>
      <c r="O200" s="348">
        <v>133693525.09090294</v>
      </c>
      <c r="P200" s="369"/>
      <c r="Q200" s="350">
        <f t="shared" si="93"/>
        <v>1103332.4991501085</v>
      </c>
      <c r="R200" s="350">
        <f t="shared" si="94"/>
        <v>3254928.2678687945</v>
      </c>
      <c r="S200" s="350">
        <f t="shared" si="95"/>
        <v>5121566.5751180686</v>
      </c>
      <c r="T200" s="350">
        <f t="shared" si="96"/>
        <v>6696442.5552622899</v>
      </c>
      <c r="U200" s="350">
        <f t="shared" si="97"/>
        <v>7974354.2888312489</v>
      </c>
      <c r="V200" s="350">
        <f t="shared" si="98"/>
        <v>24150624.186230496</v>
      </c>
      <c r="W200" s="365"/>
      <c r="X200" s="377">
        <f t="shared" si="76"/>
        <v>0</v>
      </c>
      <c r="Y200" s="377">
        <f t="shared" si="77"/>
        <v>0</v>
      </c>
      <c r="Z200" s="377">
        <f t="shared" si="78"/>
        <v>0</v>
      </c>
      <c r="AA200" s="377">
        <f t="shared" si="79"/>
        <v>0</v>
      </c>
      <c r="AB200" s="377">
        <f t="shared" si="80"/>
        <v>0</v>
      </c>
      <c r="AC200" s="377">
        <f t="shared" si="81"/>
        <v>0</v>
      </c>
      <c r="AD200" s="376"/>
      <c r="AE200" s="332">
        <v>185</v>
      </c>
      <c r="AF200" s="350">
        <v>6071206.2135419268</v>
      </c>
      <c r="AG200" s="350">
        <v>12190090.657168187</v>
      </c>
      <c r="AH200" s="350">
        <v>18355283.145404823</v>
      </c>
      <c r="AI200" s="350">
        <v>24566988.098453388</v>
      </c>
      <c r="AJ200" s="350">
        <v>30826101.331521735</v>
      </c>
      <c r="AK200" s="348">
        <v>92009669.446090057</v>
      </c>
      <c r="AL200" s="369"/>
      <c r="AM200" s="350">
        <v>7538891.0419000667</v>
      </c>
      <c r="AN200" s="350">
        <v>16527634.849752756</v>
      </c>
      <c r="AO200" s="350">
        <v>25302845.623894058</v>
      </c>
      <c r="AP200" s="350">
        <v>33859555.122196861</v>
      </c>
      <c r="AQ200" s="350">
        <v>42195577.815673113</v>
      </c>
      <c r="AR200" s="348">
        <v>125424504.45341685</v>
      </c>
      <c r="AS200" s="369"/>
      <c r="AT200" s="350">
        <f t="shared" si="99"/>
        <v>1467684.8283581398</v>
      </c>
      <c r="AU200" s="350">
        <f t="shared" si="82"/>
        <v>4337544.1925845686</v>
      </c>
      <c r="AV200" s="350">
        <f t="shared" si="83"/>
        <v>6947562.478489235</v>
      </c>
      <c r="AW200" s="350">
        <f t="shared" si="84"/>
        <v>9292567.023743473</v>
      </c>
      <c r="AX200" s="350">
        <f t="shared" si="85"/>
        <v>11369476.484151378</v>
      </c>
      <c r="AY200" s="350">
        <f t="shared" si="86"/>
        <v>33414835.007326797</v>
      </c>
      <c r="AZ200" s="365"/>
      <c r="BA200" s="377">
        <f t="shared" si="87"/>
        <v>0</v>
      </c>
      <c r="BB200" s="377">
        <f t="shared" si="88"/>
        <v>0</v>
      </c>
      <c r="BC200" s="377">
        <f t="shared" si="89"/>
        <v>0</v>
      </c>
      <c r="BD200" s="377">
        <f t="shared" si="90"/>
        <v>0</v>
      </c>
      <c r="BE200" s="377">
        <f t="shared" si="91"/>
        <v>0</v>
      </c>
      <c r="BF200" s="377">
        <f t="shared" si="92"/>
        <v>0</v>
      </c>
      <c r="BG200" s="328"/>
    </row>
    <row r="201" spans="2:59">
      <c r="B201" s="332">
        <v>186</v>
      </c>
      <c r="C201" s="350">
        <v>8461243.6291567031</v>
      </c>
      <c r="D201" s="350">
        <v>15869298.682010639</v>
      </c>
      <c r="E201" s="350">
        <v>23333099.061906189</v>
      </c>
      <c r="F201" s="350">
        <v>30853182.348732233</v>
      </c>
      <c r="G201" s="350">
        <v>38430759.312508374</v>
      </c>
      <c r="H201" s="348">
        <v>116947583.03431414</v>
      </c>
      <c r="I201" s="369"/>
      <c r="J201" s="350">
        <v>9665827.903648464</v>
      </c>
      <c r="K201" s="350">
        <v>19423476.360155031</v>
      </c>
      <c r="L201" s="350">
        <v>28938974.466780141</v>
      </c>
      <c r="M201" s="350">
        <v>38205514.881086707</v>
      </c>
      <c r="N201" s="350">
        <v>47218703.20110666</v>
      </c>
      <c r="O201" s="348">
        <v>143452496.81277701</v>
      </c>
      <c r="P201" s="369"/>
      <c r="Q201" s="350">
        <f t="shared" si="93"/>
        <v>1204584.2744917609</v>
      </c>
      <c r="R201" s="350">
        <f t="shared" si="94"/>
        <v>3554177.6781443916</v>
      </c>
      <c r="S201" s="350">
        <f t="shared" si="95"/>
        <v>5605875.4048739523</v>
      </c>
      <c r="T201" s="350">
        <f t="shared" si="96"/>
        <v>7352332.5323544741</v>
      </c>
      <c r="U201" s="350">
        <f t="shared" si="97"/>
        <v>8787943.8885982856</v>
      </c>
      <c r="V201" s="350">
        <f t="shared" si="98"/>
        <v>26504913.778462872</v>
      </c>
      <c r="W201" s="365"/>
      <c r="X201" s="377">
        <f t="shared" si="76"/>
        <v>0</v>
      </c>
      <c r="Y201" s="377">
        <f t="shared" si="77"/>
        <v>0</v>
      </c>
      <c r="Z201" s="377">
        <f t="shared" si="78"/>
        <v>0</v>
      </c>
      <c r="AA201" s="377">
        <f t="shared" si="79"/>
        <v>0</v>
      </c>
      <c r="AB201" s="377">
        <f t="shared" si="80"/>
        <v>0</v>
      </c>
      <c r="AC201" s="377">
        <f t="shared" si="81"/>
        <v>0</v>
      </c>
      <c r="AD201" s="376"/>
      <c r="AE201" s="332">
        <v>186</v>
      </c>
      <c r="AF201" s="350">
        <v>4505152.6620463543</v>
      </c>
      <c r="AG201" s="350">
        <v>9045685.0653881021</v>
      </c>
      <c r="AH201" s="350">
        <v>13620580.460714087</v>
      </c>
      <c r="AI201" s="350">
        <v>18229990.538509332</v>
      </c>
      <c r="AJ201" s="350">
        <v>22874580.040528014</v>
      </c>
      <c r="AK201" s="348">
        <v>68275988.767185897</v>
      </c>
      <c r="AL201" s="369"/>
      <c r="AM201" s="350">
        <v>5446325.1889656726</v>
      </c>
      <c r="AN201" s="350">
        <v>11825663.51868327</v>
      </c>
      <c r="AO201" s="350">
        <v>18042118.722596072</v>
      </c>
      <c r="AP201" s="350">
        <v>24092045.944177229</v>
      </c>
      <c r="AQ201" s="350">
        <v>29973673.591797646</v>
      </c>
      <c r="AR201" s="348">
        <v>89379826.966219887</v>
      </c>
      <c r="AS201" s="369"/>
      <c r="AT201" s="350">
        <f t="shared" si="99"/>
        <v>941172.52691931836</v>
      </c>
      <c r="AU201" s="350">
        <f t="shared" si="82"/>
        <v>2779978.4532951675</v>
      </c>
      <c r="AV201" s="350">
        <f t="shared" si="83"/>
        <v>4421538.2618819848</v>
      </c>
      <c r="AW201" s="350">
        <f t="shared" si="84"/>
        <v>5862055.4056678973</v>
      </c>
      <c r="AX201" s="350">
        <f t="shared" si="85"/>
        <v>7099093.5512696318</v>
      </c>
      <c r="AY201" s="350">
        <f t="shared" si="86"/>
        <v>21103838.199033991</v>
      </c>
      <c r="AZ201" s="365"/>
      <c r="BA201" s="377">
        <f t="shared" si="87"/>
        <v>0</v>
      </c>
      <c r="BB201" s="377">
        <f t="shared" si="88"/>
        <v>0</v>
      </c>
      <c r="BC201" s="377">
        <f t="shared" si="89"/>
        <v>0</v>
      </c>
      <c r="BD201" s="377">
        <f t="shared" si="90"/>
        <v>0</v>
      </c>
      <c r="BE201" s="377">
        <f t="shared" si="91"/>
        <v>0</v>
      </c>
      <c r="BF201" s="377">
        <f t="shared" si="92"/>
        <v>0</v>
      </c>
      <c r="BG201" s="328"/>
    </row>
    <row r="202" spans="2:59">
      <c r="B202" s="332">
        <v>187</v>
      </c>
      <c r="C202" s="350">
        <v>7137416.8946484532</v>
      </c>
      <c r="D202" s="350">
        <v>13586723.797738226</v>
      </c>
      <c r="E202" s="350">
        <v>20084627.225658618</v>
      </c>
      <c r="F202" s="350">
        <v>26631535.445102632</v>
      </c>
      <c r="G202" s="350">
        <v>33228476.535954989</v>
      </c>
      <c r="H202" s="348">
        <v>100668779.89910293</v>
      </c>
      <c r="I202" s="369"/>
      <c r="J202" s="350">
        <v>8186723.0166859161</v>
      </c>
      <c r="K202" s="350">
        <v>16682763.830683958</v>
      </c>
      <c r="L202" s="350">
        <v>24968314.077008344</v>
      </c>
      <c r="M202" s="350">
        <v>33037384.181893483</v>
      </c>
      <c r="N202" s="350">
        <v>40886119.516552061</v>
      </c>
      <c r="O202" s="348">
        <v>123761304.62282376</v>
      </c>
      <c r="P202" s="369"/>
      <c r="Q202" s="350">
        <f t="shared" si="93"/>
        <v>1049306.1220374629</v>
      </c>
      <c r="R202" s="350">
        <f t="shared" si="94"/>
        <v>3096040.0329457317</v>
      </c>
      <c r="S202" s="350">
        <f t="shared" si="95"/>
        <v>4883686.8513497263</v>
      </c>
      <c r="T202" s="350">
        <f t="shared" si="96"/>
        <v>6405848.7367908508</v>
      </c>
      <c r="U202" s="350">
        <f t="shared" si="97"/>
        <v>7657642.9805970713</v>
      </c>
      <c r="V202" s="350">
        <f t="shared" si="98"/>
        <v>23092524.723720834</v>
      </c>
      <c r="W202" s="365"/>
      <c r="X202" s="377">
        <f t="shared" si="76"/>
        <v>0</v>
      </c>
      <c r="Y202" s="377">
        <f t="shared" si="77"/>
        <v>0</v>
      </c>
      <c r="Z202" s="377">
        <f t="shared" si="78"/>
        <v>0</v>
      </c>
      <c r="AA202" s="377">
        <f t="shared" si="79"/>
        <v>0</v>
      </c>
      <c r="AB202" s="377">
        <f t="shared" si="80"/>
        <v>0</v>
      </c>
      <c r="AC202" s="377">
        <f t="shared" si="81"/>
        <v>0</v>
      </c>
      <c r="AD202" s="376"/>
      <c r="AE202" s="332">
        <v>187</v>
      </c>
      <c r="AF202" s="350">
        <v>5301784.1351822251</v>
      </c>
      <c r="AG202" s="350">
        <v>10645204.096090622</v>
      </c>
      <c r="AH202" s="350">
        <v>16029063.34494463</v>
      </c>
      <c r="AI202" s="350">
        <v>21453540.395163722</v>
      </c>
      <c r="AJ202" s="350">
        <v>26919417.532621577</v>
      </c>
      <c r="AK202" s="348">
        <v>80349009.50400278</v>
      </c>
      <c r="AL202" s="369"/>
      <c r="AM202" s="350">
        <v>6478533.8115975382</v>
      </c>
      <c r="AN202" s="350">
        <v>14121843.617731765</v>
      </c>
      <c r="AO202" s="350">
        <v>21575539.349870242</v>
      </c>
      <c r="AP202" s="350">
        <v>28835312.084434696</v>
      </c>
      <c r="AQ202" s="350">
        <v>35899147.00046771</v>
      </c>
      <c r="AR202" s="348">
        <v>106910375.86410195</v>
      </c>
      <c r="AS202" s="369"/>
      <c r="AT202" s="350">
        <f t="shared" si="99"/>
        <v>1176749.676415313</v>
      </c>
      <c r="AU202" s="350">
        <f t="shared" si="82"/>
        <v>3476639.5216411427</v>
      </c>
      <c r="AV202" s="350">
        <f t="shared" si="83"/>
        <v>5546476.0049256124</v>
      </c>
      <c r="AW202" s="350">
        <f t="shared" si="84"/>
        <v>7381771.6892709732</v>
      </c>
      <c r="AX202" s="350">
        <f t="shared" si="85"/>
        <v>8979729.4678461328</v>
      </c>
      <c r="AY202" s="350">
        <f t="shared" si="86"/>
        <v>26561366.360099167</v>
      </c>
      <c r="AZ202" s="365"/>
      <c r="BA202" s="377">
        <f t="shared" si="87"/>
        <v>0</v>
      </c>
      <c r="BB202" s="377">
        <f t="shared" si="88"/>
        <v>0</v>
      </c>
      <c r="BC202" s="377">
        <f t="shared" si="89"/>
        <v>0</v>
      </c>
      <c r="BD202" s="377">
        <f t="shared" si="90"/>
        <v>0</v>
      </c>
      <c r="BE202" s="377">
        <f t="shared" si="91"/>
        <v>0</v>
      </c>
      <c r="BF202" s="377">
        <f t="shared" si="92"/>
        <v>0</v>
      </c>
      <c r="BG202" s="328"/>
    </row>
    <row r="203" spans="2:59">
      <c r="B203" s="332">
        <v>188</v>
      </c>
      <c r="C203" s="350">
        <v>7643963.7122683376</v>
      </c>
      <c r="D203" s="350">
        <v>14330862.858254442</v>
      </c>
      <c r="E203" s="350">
        <v>21068078.82157737</v>
      </c>
      <c r="F203" s="350">
        <v>27856098.521612059</v>
      </c>
      <c r="G203" s="350">
        <v>34696015.590194009</v>
      </c>
      <c r="H203" s="348">
        <v>105595019.50390622</v>
      </c>
      <c r="I203" s="369"/>
      <c r="J203" s="350">
        <v>8750090.0537365302</v>
      </c>
      <c r="K203" s="350">
        <v>17594833.197938647</v>
      </c>
      <c r="L203" s="350">
        <v>26220933.893095344</v>
      </c>
      <c r="M203" s="350">
        <v>34622279.492981337</v>
      </c>
      <c r="N203" s="350">
        <v>42794959.969323725</v>
      </c>
      <c r="O203" s="348">
        <v>129983096.60707557</v>
      </c>
      <c r="P203" s="369"/>
      <c r="Q203" s="350">
        <f t="shared" si="93"/>
        <v>1106126.3414681926</v>
      </c>
      <c r="R203" s="350">
        <f t="shared" si="94"/>
        <v>3263970.3396842051</v>
      </c>
      <c r="S203" s="350">
        <f t="shared" si="95"/>
        <v>5152855.0715179741</v>
      </c>
      <c r="T203" s="350">
        <f t="shared" si="96"/>
        <v>6766180.9713692777</v>
      </c>
      <c r="U203" s="350">
        <f t="shared" si="97"/>
        <v>8098944.3791297153</v>
      </c>
      <c r="V203" s="350">
        <f t="shared" si="98"/>
        <v>24388077.103169352</v>
      </c>
      <c r="W203" s="365"/>
      <c r="X203" s="377">
        <f t="shared" si="76"/>
        <v>0</v>
      </c>
      <c r="Y203" s="377">
        <f t="shared" si="77"/>
        <v>0</v>
      </c>
      <c r="Z203" s="377">
        <f t="shared" si="78"/>
        <v>0</v>
      </c>
      <c r="AA203" s="377">
        <f t="shared" si="79"/>
        <v>0</v>
      </c>
      <c r="AB203" s="377">
        <f t="shared" si="80"/>
        <v>0</v>
      </c>
      <c r="AC203" s="377">
        <f t="shared" si="81"/>
        <v>0</v>
      </c>
      <c r="AD203" s="376"/>
      <c r="AE203" s="332">
        <v>188</v>
      </c>
      <c r="AF203" s="350">
        <v>5288567.6607465306</v>
      </c>
      <c r="AG203" s="350">
        <v>10618667.355964765</v>
      </c>
      <c r="AH203" s="350">
        <v>15989105.530645709</v>
      </c>
      <c r="AI203" s="350">
        <v>21400060.25320429</v>
      </c>
      <c r="AJ203" s="350">
        <v>26852311.859404378</v>
      </c>
      <c r="AK203" s="348">
        <v>80148712.659965664</v>
      </c>
      <c r="AL203" s="369"/>
      <c r="AM203" s="350">
        <v>6365732.9212754359</v>
      </c>
      <c r="AN203" s="350">
        <v>13800001.784721229</v>
      </c>
      <c r="AO203" s="350">
        <v>21042234.523702472</v>
      </c>
      <c r="AP203" s="350">
        <v>28088160.292557787</v>
      </c>
      <c r="AQ203" s="350">
        <v>34935671.408169217</v>
      </c>
      <c r="AR203" s="348">
        <v>104231800.93042615</v>
      </c>
      <c r="AS203" s="369"/>
      <c r="AT203" s="350">
        <f t="shared" si="99"/>
        <v>1077165.2605289053</v>
      </c>
      <c r="AU203" s="350">
        <f t="shared" si="82"/>
        <v>3181334.4287564643</v>
      </c>
      <c r="AV203" s="350">
        <f t="shared" si="83"/>
        <v>5053128.993056763</v>
      </c>
      <c r="AW203" s="350">
        <f t="shared" si="84"/>
        <v>6688100.0393534973</v>
      </c>
      <c r="AX203" s="350">
        <f t="shared" si="85"/>
        <v>8083359.5487648398</v>
      </c>
      <c r="AY203" s="350">
        <f t="shared" si="86"/>
        <v>24083088.270460486</v>
      </c>
      <c r="AZ203" s="365"/>
      <c r="BA203" s="377">
        <f t="shared" si="87"/>
        <v>0</v>
      </c>
      <c r="BB203" s="377">
        <f t="shared" si="88"/>
        <v>0</v>
      </c>
      <c r="BC203" s="377">
        <f t="shared" si="89"/>
        <v>0</v>
      </c>
      <c r="BD203" s="377">
        <f t="shared" si="90"/>
        <v>0</v>
      </c>
      <c r="BE203" s="377">
        <f t="shared" si="91"/>
        <v>0</v>
      </c>
      <c r="BF203" s="377">
        <f t="shared" si="92"/>
        <v>0</v>
      </c>
      <c r="BG203" s="328"/>
    </row>
    <row r="204" spans="2:59">
      <c r="B204" s="332">
        <v>189</v>
      </c>
      <c r="C204" s="350">
        <v>7639238.1377274767</v>
      </c>
      <c r="D204" s="350">
        <v>14621945.387276433</v>
      </c>
      <c r="E204" s="350">
        <v>21657293.844178744</v>
      </c>
      <c r="F204" s="350">
        <v>28745702.434116304</v>
      </c>
      <c r="G204" s="350">
        <v>35888274.212010846</v>
      </c>
      <c r="H204" s="348">
        <v>108552454.0153098</v>
      </c>
      <c r="I204" s="369"/>
      <c r="J204" s="350">
        <v>8828358.1684244648</v>
      </c>
      <c r="K204" s="350">
        <v>18131303.408526495</v>
      </c>
      <c r="L204" s="350">
        <v>27211389.549486618</v>
      </c>
      <c r="M204" s="350">
        <v>36061943.577087604</v>
      </c>
      <c r="N204" s="350">
        <v>44678680.218403175</v>
      </c>
      <c r="O204" s="348">
        <v>134911674.92192835</v>
      </c>
      <c r="P204" s="369"/>
      <c r="Q204" s="350">
        <f t="shared" si="93"/>
        <v>1189120.0306969881</v>
      </c>
      <c r="R204" s="350">
        <f t="shared" si="94"/>
        <v>3509358.0212500617</v>
      </c>
      <c r="S204" s="350">
        <f t="shared" si="95"/>
        <v>5554095.7053078748</v>
      </c>
      <c r="T204" s="350">
        <f t="shared" si="96"/>
        <v>7316241.1429712996</v>
      </c>
      <c r="U204" s="350">
        <f t="shared" si="97"/>
        <v>8790406.0063923299</v>
      </c>
      <c r="V204" s="350">
        <f t="shared" si="98"/>
        <v>26359220.90661855</v>
      </c>
      <c r="W204" s="365"/>
      <c r="X204" s="377">
        <f t="shared" si="76"/>
        <v>0</v>
      </c>
      <c r="Y204" s="377">
        <f t="shared" si="77"/>
        <v>0</v>
      </c>
      <c r="Z204" s="377">
        <f t="shared" si="78"/>
        <v>0</v>
      </c>
      <c r="AA204" s="377">
        <f t="shared" si="79"/>
        <v>0</v>
      </c>
      <c r="AB204" s="377">
        <f t="shared" si="80"/>
        <v>0</v>
      </c>
      <c r="AC204" s="377">
        <f t="shared" si="81"/>
        <v>0</v>
      </c>
      <c r="AD204" s="376"/>
      <c r="AE204" s="332">
        <v>189</v>
      </c>
      <c r="AF204" s="350">
        <v>7931056.9428418595</v>
      </c>
      <c r="AG204" s="350">
        <v>15924397.844493968</v>
      </c>
      <c r="AH204" s="350">
        <v>23978232.77744703</v>
      </c>
      <c r="AI204" s="350">
        <v>32092828.783900201</v>
      </c>
      <c r="AJ204" s="350">
        <v>40269356.102711111</v>
      </c>
      <c r="AK204" s="348">
        <v>120195872.45139417</v>
      </c>
      <c r="AL204" s="369"/>
      <c r="AM204" s="350">
        <v>9344894.1841042656</v>
      </c>
      <c r="AN204" s="350">
        <v>20097596.279535316</v>
      </c>
      <c r="AO204" s="350">
        <v>30556273.010620311</v>
      </c>
      <c r="AP204" s="350">
        <v>40714576.562517434</v>
      </c>
      <c r="AQ204" s="350">
        <v>50569142.007763989</v>
      </c>
      <c r="AR204" s="348">
        <v>151282482.0445413</v>
      </c>
      <c r="AS204" s="369"/>
      <c r="AT204" s="350">
        <f t="shared" si="99"/>
        <v>1413837.2412624061</v>
      </c>
      <c r="AU204" s="350">
        <f t="shared" si="82"/>
        <v>4173198.4350413475</v>
      </c>
      <c r="AV204" s="350">
        <f t="shared" si="83"/>
        <v>6578040.233173281</v>
      </c>
      <c r="AW204" s="350">
        <f t="shared" si="84"/>
        <v>8621747.778617233</v>
      </c>
      <c r="AX204" s="350">
        <f t="shared" si="85"/>
        <v>10299785.905052878</v>
      </c>
      <c r="AY204" s="350">
        <f t="shared" si="86"/>
        <v>31086609.593147129</v>
      </c>
      <c r="AZ204" s="365"/>
      <c r="BA204" s="377">
        <f t="shared" si="87"/>
        <v>0</v>
      </c>
      <c r="BB204" s="377">
        <f t="shared" si="88"/>
        <v>0</v>
      </c>
      <c r="BC204" s="377">
        <f t="shared" si="89"/>
        <v>0</v>
      </c>
      <c r="BD204" s="377">
        <f t="shared" si="90"/>
        <v>0</v>
      </c>
      <c r="BE204" s="377">
        <f t="shared" si="91"/>
        <v>0</v>
      </c>
      <c r="BF204" s="377">
        <f t="shared" si="92"/>
        <v>0</v>
      </c>
      <c r="BG204" s="328"/>
    </row>
    <row r="205" spans="2:59">
      <c r="B205" s="332">
        <v>190</v>
      </c>
      <c r="C205" s="350">
        <v>8406148.4564476386</v>
      </c>
      <c r="D205" s="350">
        <v>15710863.282005036</v>
      </c>
      <c r="E205" s="350">
        <v>23070527.718015213</v>
      </c>
      <c r="F205" s="350">
        <v>30485688.279867511</v>
      </c>
      <c r="G205" s="350">
        <v>37957545.998345479</v>
      </c>
      <c r="H205" s="348">
        <v>115630773.73468088</v>
      </c>
      <c r="I205" s="369"/>
      <c r="J205" s="350">
        <v>10080606.874961583</v>
      </c>
      <c r="K205" s="350">
        <v>20658817.807910193</v>
      </c>
      <c r="L205" s="350">
        <v>31019447.81585411</v>
      </c>
      <c r="M205" s="350">
        <v>41155411.210547239</v>
      </c>
      <c r="N205" s="350">
        <v>51062612.768567443</v>
      </c>
      <c r="O205" s="348">
        <v>153976896.47784057</v>
      </c>
      <c r="P205" s="369"/>
      <c r="Q205" s="350">
        <f t="shared" si="93"/>
        <v>1674458.4185139444</v>
      </c>
      <c r="R205" s="350">
        <f t="shared" si="94"/>
        <v>4947954.5259051565</v>
      </c>
      <c r="S205" s="350">
        <f t="shared" si="95"/>
        <v>7948920.0978388973</v>
      </c>
      <c r="T205" s="350">
        <f t="shared" si="96"/>
        <v>10669722.930679727</v>
      </c>
      <c r="U205" s="350">
        <f t="shared" si="97"/>
        <v>13105066.770221964</v>
      </c>
      <c r="V205" s="350">
        <f t="shared" si="98"/>
        <v>38346122.743159696</v>
      </c>
      <c r="W205" s="365"/>
      <c r="X205" s="377">
        <f t="shared" si="76"/>
        <v>0</v>
      </c>
      <c r="Y205" s="377">
        <f t="shared" si="77"/>
        <v>0</v>
      </c>
      <c r="Z205" s="377">
        <f t="shared" si="78"/>
        <v>0</v>
      </c>
      <c r="AA205" s="377">
        <f t="shared" si="79"/>
        <v>0</v>
      </c>
      <c r="AB205" s="377">
        <f t="shared" si="80"/>
        <v>0</v>
      </c>
      <c r="AC205" s="377">
        <f t="shared" si="81"/>
        <v>0</v>
      </c>
      <c r="AD205" s="376"/>
      <c r="AE205" s="332">
        <v>190</v>
      </c>
      <c r="AF205" s="350">
        <v>7128849.8195607383</v>
      </c>
      <c r="AG205" s="350">
        <v>14313683.726958182</v>
      </c>
      <c r="AH205" s="350">
        <v>21552892.841497913</v>
      </c>
      <c r="AI205" s="350">
        <v>28846717.194710027</v>
      </c>
      <c r="AJ205" s="350">
        <v>36196208.658637449</v>
      </c>
      <c r="AK205" s="348">
        <v>108038352.24136432</v>
      </c>
      <c r="AL205" s="369"/>
      <c r="AM205" s="350">
        <v>8192532.3501120564</v>
      </c>
      <c r="AN205" s="350">
        <v>17450431.632473357</v>
      </c>
      <c r="AO205" s="350">
        <v>26437841.337826975</v>
      </c>
      <c r="AP205" s="350">
        <v>35149114.306648992</v>
      </c>
      <c r="AQ205" s="350">
        <v>43581016.172826797</v>
      </c>
      <c r="AR205" s="348">
        <v>130810935.79988818</v>
      </c>
      <c r="AS205" s="369"/>
      <c r="AT205" s="350">
        <f t="shared" si="99"/>
        <v>1063682.5305513181</v>
      </c>
      <c r="AU205" s="350">
        <f t="shared" si="82"/>
        <v>3136747.9055151753</v>
      </c>
      <c r="AV205" s="350">
        <f t="shared" si="83"/>
        <v>4884948.4963290617</v>
      </c>
      <c r="AW205" s="350">
        <f t="shared" si="84"/>
        <v>6302397.1119389646</v>
      </c>
      <c r="AX205" s="350">
        <f t="shared" si="85"/>
        <v>7384807.5141893476</v>
      </c>
      <c r="AY205" s="350">
        <f t="shared" si="86"/>
        <v>22772583.558523864</v>
      </c>
      <c r="AZ205" s="365"/>
      <c r="BA205" s="377">
        <f t="shared" si="87"/>
        <v>0</v>
      </c>
      <c r="BB205" s="377">
        <f t="shared" si="88"/>
        <v>0</v>
      </c>
      <c r="BC205" s="377">
        <f t="shared" si="89"/>
        <v>0</v>
      </c>
      <c r="BD205" s="377">
        <f t="shared" si="90"/>
        <v>0</v>
      </c>
      <c r="BE205" s="377">
        <f t="shared" si="91"/>
        <v>0</v>
      </c>
      <c r="BF205" s="377">
        <f t="shared" si="92"/>
        <v>0</v>
      </c>
      <c r="BG205" s="328"/>
    </row>
    <row r="206" spans="2:59">
      <c r="B206" s="332">
        <v>191</v>
      </c>
      <c r="C206" s="350">
        <v>5356903.8827142157</v>
      </c>
      <c r="D206" s="350">
        <v>9942631.7606401704</v>
      </c>
      <c r="E206" s="350">
        <v>14562832.800720474</v>
      </c>
      <c r="F206" s="350">
        <v>19217870.910119876</v>
      </c>
      <c r="G206" s="350">
        <v>23908509.12540108</v>
      </c>
      <c r="H206" s="348">
        <v>72988748.47959581</v>
      </c>
      <c r="I206" s="369"/>
      <c r="J206" s="350">
        <v>6250399.9638036015</v>
      </c>
      <c r="K206" s="350">
        <v>12581198.49283668</v>
      </c>
      <c r="L206" s="350">
        <v>18772297.27778976</v>
      </c>
      <c r="M206" s="350">
        <v>24819264.845685869</v>
      </c>
      <c r="N206" s="350">
        <v>30719328.745712526</v>
      </c>
      <c r="O206" s="348">
        <v>93142489.325828433</v>
      </c>
      <c r="P206" s="369"/>
      <c r="Q206" s="350">
        <f t="shared" si="93"/>
        <v>893496.08108938579</v>
      </c>
      <c r="R206" s="350">
        <f t="shared" si="94"/>
        <v>2638566.7321965098</v>
      </c>
      <c r="S206" s="350">
        <f t="shared" si="95"/>
        <v>4209464.4770692866</v>
      </c>
      <c r="T206" s="350">
        <f t="shared" si="96"/>
        <v>5601393.9355659932</v>
      </c>
      <c r="U206" s="350">
        <f t="shared" si="97"/>
        <v>6810819.6203114465</v>
      </c>
      <c r="V206" s="350">
        <f t="shared" si="98"/>
        <v>20153740.846232623</v>
      </c>
      <c r="W206" s="365"/>
      <c r="X206" s="377">
        <f t="shared" si="76"/>
        <v>0</v>
      </c>
      <c r="Y206" s="377">
        <f t="shared" si="77"/>
        <v>0</v>
      </c>
      <c r="Z206" s="377">
        <f t="shared" si="78"/>
        <v>0</v>
      </c>
      <c r="AA206" s="377">
        <f t="shared" si="79"/>
        <v>0</v>
      </c>
      <c r="AB206" s="377">
        <f t="shared" si="80"/>
        <v>0</v>
      </c>
      <c r="AC206" s="377">
        <f t="shared" si="81"/>
        <v>0</v>
      </c>
      <c r="AD206" s="376"/>
      <c r="AE206" s="332">
        <v>191</v>
      </c>
      <c r="AF206" s="350">
        <v>6804603.4911170974</v>
      </c>
      <c r="AG206" s="350">
        <v>13662644.707699439</v>
      </c>
      <c r="AH206" s="350">
        <v>20572587.946868282</v>
      </c>
      <c r="AI206" s="350">
        <v>27534662.322636269</v>
      </c>
      <c r="AJ206" s="350">
        <v>34549871.864034265</v>
      </c>
      <c r="AK206" s="348">
        <v>103124370.33235535</v>
      </c>
      <c r="AL206" s="369"/>
      <c r="AM206" s="350">
        <v>7813807.9685463421</v>
      </c>
      <c r="AN206" s="350">
        <v>16638637.321221046</v>
      </c>
      <c r="AO206" s="350">
        <v>25205097.325693358</v>
      </c>
      <c r="AP206" s="350">
        <v>33507799.400739655</v>
      </c>
      <c r="AQ206" s="350">
        <v>41543650.115423411</v>
      </c>
      <c r="AR206" s="348">
        <v>124708992.1316238</v>
      </c>
      <c r="AS206" s="369"/>
      <c r="AT206" s="350">
        <f t="shared" si="99"/>
        <v>1009204.4774292447</v>
      </c>
      <c r="AU206" s="350">
        <f t="shared" si="82"/>
        <v>2975992.6135216076</v>
      </c>
      <c r="AV206" s="350">
        <f t="shared" si="83"/>
        <v>4632509.3788250759</v>
      </c>
      <c r="AW206" s="350">
        <f t="shared" si="84"/>
        <v>5973137.0781033859</v>
      </c>
      <c r="AX206" s="350">
        <f t="shared" si="85"/>
        <v>6993778.2513891459</v>
      </c>
      <c r="AY206" s="350">
        <f t="shared" si="86"/>
        <v>21584621.799268454</v>
      </c>
      <c r="AZ206" s="365"/>
      <c r="BA206" s="377">
        <f t="shared" si="87"/>
        <v>0</v>
      </c>
      <c r="BB206" s="377">
        <f t="shared" si="88"/>
        <v>0</v>
      </c>
      <c r="BC206" s="377">
        <f t="shared" si="89"/>
        <v>0</v>
      </c>
      <c r="BD206" s="377">
        <f t="shared" si="90"/>
        <v>0</v>
      </c>
      <c r="BE206" s="377">
        <f t="shared" si="91"/>
        <v>0</v>
      </c>
      <c r="BF206" s="377">
        <f t="shared" si="92"/>
        <v>0</v>
      </c>
      <c r="BG206" s="328"/>
    </row>
    <row r="207" spans="2:59">
      <c r="B207" s="332">
        <v>192</v>
      </c>
      <c r="C207" s="350">
        <v>7929832.9017087473</v>
      </c>
      <c r="D207" s="350">
        <v>14800966.484905088</v>
      </c>
      <c r="E207" s="350">
        <v>21723781.563412935</v>
      </c>
      <c r="F207" s="350">
        <v>28698798.126137465</v>
      </c>
      <c r="G207" s="350">
        <v>35727148.487647623</v>
      </c>
      <c r="H207" s="348">
        <v>108880527.56381185</v>
      </c>
      <c r="I207" s="369"/>
      <c r="J207" s="350">
        <v>8916171.0328888055</v>
      </c>
      <c r="K207" s="350">
        <v>17709232.325584255</v>
      </c>
      <c r="L207" s="350">
        <v>26274808.681907624</v>
      </c>
      <c r="M207" s="350">
        <v>34606619.10000357</v>
      </c>
      <c r="N207" s="350">
        <v>42700437.554306753</v>
      </c>
      <c r="O207" s="348">
        <v>130207268.694691</v>
      </c>
      <c r="P207" s="369"/>
      <c r="Q207" s="350">
        <f t="shared" si="93"/>
        <v>986338.13118005823</v>
      </c>
      <c r="R207" s="350">
        <f t="shared" si="94"/>
        <v>2908265.8406791668</v>
      </c>
      <c r="S207" s="350">
        <f t="shared" si="95"/>
        <v>4551027.1184946895</v>
      </c>
      <c r="T207" s="350">
        <f t="shared" si="96"/>
        <v>5907820.9738661051</v>
      </c>
      <c r="U207" s="350">
        <f t="shared" si="97"/>
        <v>6973289.0666591302</v>
      </c>
      <c r="V207" s="350">
        <f t="shared" si="98"/>
        <v>21326741.130879149</v>
      </c>
      <c r="W207" s="365"/>
      <c r="X207" s="377">
        <f t="shared" si="76"/>
        <v>0</v>
      </c>
      <c r="Y207" s="377">
        <f t="shared" si="77"/>
        <v>0</v>
      </c>
      <c r="Z207" s="377">
        <f t="shared" si="78"/>
        <v>0</v>
      </c>
      <c r="AA207" s="377">
        <f t="shared" si="79"/>
        <v>0</v>
      </c>
      <c r="AB207" s="377">
        <f t="shared" si="80"/>
        <v>0</v>
      </c>
      <c r="AC207" s="377">
        <f t="shared" si="81"/>
        <v>0</v>
      </c>
      <c r="AD207" s="376"/>
      <c r="AE207" s="332">
        <v>192</v>
      </c>
      <c r="AF207" s="350">
        <v>5994299.2782554096</v>
      </c>
      <c r="AG207" s="350">
        <v>12035672.823160753</v>
      </c>
      <c r="AH207" s="350">
        <v>18122767.806050897</v>
      </c>
      <c r="AI207" s="350">
        <v>24255786.057636831</v>
      </c>
      <c r="AJ207" s="350">
        <v>30435612.045397505</v>
      </c>
      <c r="AK207" s="348">
        <v>90844138.0105014</v>
      </c>
      <c r="AL207" s="369"/>
      <c r="AM207" s="350">
        <v>7314344.0694516683</v>
      </c>
      <c r="AN207" s="350">
        <v>15935552.288076749</v>
      </c>
      <c r="AO207" s="350">
        <v>24342067.367268849</v>
      </c>
      <c r="AP207" s="350">
        <v>32529020.49965667</v>
      </c>
      <c r="AQ207" s="350">
        <v>40494123.145886391</v>
      </c>
      <c r="AR207" s="348">
        <v>120615107.37034032</v>
      </c>
      <c r="AS207" s="369"/>
      <c r="AT207" s="350">
        <f t="shared" si="99"/>
        <v>1320044.7911962587</v>
      </c>
      <c r="AU207" s="350">
        <f t="shared" si="82"/>
        <v>3899879.4649159964</v>
      </c>
      <c r="AV207" s="350">
        <f t="shared" si="83"/>
        <v>6219299.5612179525</v>
      </c>
      <c r="AW207" s="350">
        <f t="shared" si="84"/>
        <v>8273234.4420198388</v>
      </c>
      <c r="AX207" s="350">
        <f t="shared" si="85"/>
        <v>10058511.100488886</v>
      </c>
      <c r="AY207" s="350">
        <f t="shared" si="86"/>
        <v>29770969.359838918</v>
      </c>
      <c r="AZ207" s="365"/>
      <c r="BA207" s="377">
        <f t="shared" si="87"/>
        <v>0</v>
      </c>
      <c r="BB207" s="377">
        <f t="shared" si="88"/>
        <v>0</v>
      </c>
      <c r="BC207" s="377">
        <f t="shared" si="89"/>
        <v>0</v>
      </c>
      <c r="BD207" s="377">
        <f t="shared" si="90"/>
        <v>0</v>
      </c>
      <c r="BE207" s="377">
        <f t="shared" si="91"/>
        <v>0</v>
      </c>
      <c r="BF207" s="377">
        <f t="shared" si="92"/>
        <v>0</v>
      </c>
      <c r="BG207" s="328"/>
    </row>
    <row r="208" spans="2:59">
      <c r="B208" s="332">
        <v>193</v>
      </c>
      <c r="C208" s="350">
        <v>6868322.8800913421</v>
      </c>
      <c r="D208" s="350">
        <v>12820565.149594285</v>
      </c>
      <c r="E208" s="350">
        <v>18817577.735952951</v>
      </c>
      <c r="F208" s="350">
        <v>24859810.81816506</v>
      </c>
      <c r="G208" s="350">
        <v>30948245.166188613</v>
      </c>
      <c r="H208" s="348">
        <v>94314521.749992251</v>
      </c>
      <c r="I208" s="369"/>
      <c r="J208" s="350">
        <v>7683582.3655433711</v>
      </c>
      <c r="K208" s="350">
        <v>15223731.223652402</v>
      </c>
      <c r="L208" s="350">
        <v>22566382.677241214</v>
      </c>
      <c r="M208" s="350">
        <v>29706082.523010001</v>
      </c>
      <c r="N208" s="350">
        <v>36639105.064773098</v>
      </c>
      <c r="O208" s="348">
        <v>111818883.85422008</v>
      </c>
      <c r="P208" s="369"/>
      <c r="Q208" s="350">
        <f t="shared" si="93"/>
        <v>815259.48545202892</v>
      </c>
      <c r="R208" s="350">
        <f t="shared" si="94"/>
        <v>2403166.0740581173</v>
      </c>
      <c r="S208" s="350">
        <f t="shared" si="95"/>
        <v>3748804.9412882626</v>
      </c>
      <c r="T208" s="350">
        <f t="shared" si="96"/>
        <v>4846271.7048449405</v>
      </c>
      <c r="U208" s="350">
        <f t="shared" si="97"/>
        <v>5690859.8985844851</v>
      </c>
      <c r="V208" s="350">
        <f t="shared" si="98"/>
        <v>17504362.104227826</v>
      </c>
      <c r="W208" s="365"/>
      <c r="X208" s="377">
        <f t="shared" ref="X208:X271" si="100">IF(Q208&lt;Q$8,1,0)</f>
        <v>0</v>
      </c>
      <c r="Y208" s="377">
        <f t="shared" ref="Y208:Y271" si="101">IF(R208&lt;R$8,1,0)</f>
        <v>0</v>
      </c>
      <c r="Z208" s="377">
        <f t="shared" ref="Z208:Z271" si="102">IF(S208&lt;S$8,1,0)</f>
        <v>0</v>
      </c>
      <c r="AA208" s="377">
        <f t="shared" ref="AA208:AA271" si="103">IF(T208&lt;T$8,1,0)</f>
        <v>0</v>
      </c>
      <c r="AB208" s="377">
        <f t="shared" ref="AB208:AB271" si="104">IF(U208&lt;U$8,1,0)</f>
        <v>0</v>
      </c>
      <c r="AC208" s="377">
        <f t="shared" ref="AC208:AC271" si="105">IF(V208&lt;V$8,1,0)</f>
        <v>0</v>
      </c>
      <c r="AD208" s="376"/>
      <c r="AE208" s="332">
        <v>193</v>
      </c>
      <c r="AF208" s="350">
        <v>5508123.4081497043</v>
      </c>
      <c r="AG208" s="350">
        <v>11059503.059943529</v>
      </c>
      <c r="AH208" s="350">
        <v>16652895.849741975</v>
      </c>
      <c r="AI208" s="350">
        <v>22288487.238499202</v>
      </c>
      <c r="AJ208" s="350">
        <v>27967089.957745358</v>
      </c>
      <c r="AK208" s="348">
        <v>83476099.514079764</v>
      </c>
      <c r="AL208" s="369"/>
      <c r="AM208" s="350">
        <v>6528589.9822622193</v>
      </c>
      <c r="AN208" s="350">
        <v>14072136.94526564</v>
      </c>
      <c r="AO208" s="350">
        <v>21412637.890389904</v>
      </c>
      <c r="AP208" s="350">
        <v>28545673.351717032</v>
      </c>
      <c r="AQ208" s="350">
        <v>35468945.433293425</v>
      </c>
      <c r="AR208" s="348">
        <v>106027983.60292822</v>
      </c>
      <c r="AS208" s="369"/>
      <c r="AT208" s="350">
        <f t="shared" si="99"/>
        <v>1020466.574112515</v>
      </c>
      <c r="AU208" s="350">
        <f t="shared" ref="AU208:AU271" si="106">AN208-AG208</f>
        <v>3012633.8853221107</v>
      </c>
      <c r="AV208" s="350">
        <f t="shared" ref="AV208:AV271" si="107">AO208-AH208</f>
        <v>4759742.0406479295</v>
      </c>
      <c r="AW208" s="350">
        <f t="shared" ref="AW208:AW271" si="108">AP208-AI208</f>
        <v>6257186.1132178307</v>
      </c>
      <c r="AX208" s="350">
        <f t="shared" ref="AX208:AX271" si="109">AQ208-AJ208</f>
        <v>7501855.4755480662</v>
      </c>
      <c r="AY208" s="350">
        <f t="shared" ref="AY208:AY271" si="110">AR208-AK208</f>
        <v>22551884.088848457</v>
      </c>
      <c r="AZ208" s="365"/>
      <c r="BA208" s="377">
        <f t="shared" ref="BA208:BA271" si="111">IF(AT208&lt;AT$8,1,0)</f>
        <v>0</v>
      </c>
      <c r="BB208" s="377">
        <f t="shared" ref="BB208:BB271" si="112">IF(AU208&lt;AU$8,1,0)</f>
        <v>0</v>
      </c>
      <c r="BC208" s="377">
        <f t="shared" ref="BC208:BC271" si="113">IF(AV208&lt;AV$8,1,0)</f>
        <v>0</v>
      </c>
      <c r="BD208" s="377">
        <f t="shared" ref="BD208:BD271" si="114">IF(AW208&lt;AW$8,1,0)</f>
        <v>0</v>
      </c>
      <c r="BE208" s="377">
        <f t="shared" ref="BE208:BE271" si="115">IF(AX208&lt;AX$8,1,0)</f>
        <v>0</v>
      </c>
      <c r="BF208" s="377">
        <f t="shared" ref="BF208:BF271" si="116">IF(AY208&lt;AY$8,1,0)</f>
        <v>0</v>
      </c>
      <c r="BG208" s="328"/>
    </row>
    <row r="209" spans="2:59">
      <c r="B209" s="332">
        <v>194</v>
      </c>
      <c r="C209" s="350">
        <v>8654170.1070153899</v>
      </c>
      <c r="D209" s="350">
        <v>16431152.909518749</v>
      </c>
      <c r="E209" s="350">
        <v>24266722.853342518</v>
      </c>
      <c r="F209" s="350">
        <v>32161384.635228131</v>
      </c>
      <c r="G209" s="350">
        <v>40116383.36680162</v>
      </c>
      <c r="H209" s="348">
        <v>121629813.8719064</v>
      </c>
      <c r="I209" s="369"/>
      <c r="J209" s="350">
        <v>9764371.5986637417</v>
      </c>
      <c r="K209" s="350">
        <v>19704522.850594282</v>
      </c>
      <c r="L209" s="350">
        <v>29388656.558425903</v>
      </c>
      <c r="M209" s="350">
        <v>38809512.013217822</v>
      </c>
      <c r="N209" s="350">
        <v>47962191.236595735</v>
      </c>
      <c r="O209" s="348">
        <v>145629254.25749749</v>
      </c>
      <c r="P209" s="369"/>
      <c r="Q209" s="350">
        <f t="shared" ref="Q209:Q272" si="117">J209-C209</f>
        <v>1110201.4916483518</v>
      </c>
      <c r="R209" s="350">
        <f t="shared" ref="R209:R272" si="118">K209-D209</f>
        <v>3273369.9410755336</v>
      </c>
      <c r="S209" s="350">
        <f t="shared" ref="S209:S272" si="119">L209-E209</f>
        <v>5121933.7050833851</v>
      </c>
      <c r="T209" s="350">
        <f t="shared" ref="T209:T272" si="120">M209-F209</f>
        <v>6648127.3779896908</v>
      </c>
      <c r="U209" s="350">
        <f t="shared" ref="U209:U272" si="121">N209-G209</f>
        <v>7845807.8697941154</v>
      </c>
      <c r="V209" s="350">
        <f t="shared" ref="V209:V272" si="122">O209-H209</f>
        <v>23999440.38559109</v>
      </c>
      <c r="W209" s="365"/>
      <c r="X209" s="377">
        <f t="shared" si="100"/>
        <v>0</v>
      </c>
      <c r="Y209" s="377">
        <f t="shared" si="101"/>
        <v>0</v>
      </c>
      <c r="Z209" s="377">
        <f t="shared" si="102"/>
        <v>0</v>
      </c>
      <c r="AA209" s="377">
        <f t="shared" si="103"/>
        <v>0</v>
      </c>
      <c r="AB209" s="377">
        <f t="shared" si="104"/>
        <v>0</v>
      </c>
      <c r="AC209" s="377">
        <f t="shared" si="105"/>
        <v>0</v>
      </c>
      <c r="AD209" s="376"/>
      <c r="AE209" s="332">
        <v>194</v>
      </c>
      <c r="AF209" s="350">
        <v>6477606.5718170796</v>
      </c>
      <c r="AG209" s="350">
        <v>13006082.905863289</v>
      </c>
      <c r="AH209" s="350">
        <v>19583967.097845055</v>
      </c>
      <c r="AI209" s="350">
        <v>26211477.251643956</v>
      </c>
      <c r="AJ209" s="350">
        <v>32889569.147425152</v>
      </c>
      <c r="AK209" s="348">
        <v>98168702.974594533</v>
      </c>
      <c r="AL209" s="369"/>
      <c r="AM209" s="350">
        <v>7846768.0690824473</v>
      </c>
      <c r="AN209" s="350">
        <v>17050419.829386614</v>
      </c>
      <c r="AO209" s="350">
        <v>26020351.588890374</v>
      </c>
      <c r="AP209" s="350">
        <v>34751318.189875916</v>
      </c>
      <c r="AQ209" s="350">
        <v>43240788.52574987</v>
      </c>
      <c r="AR209" s="348">
        <v>128909646.20298523</v>
      </c>
      <c r="AS209" s="369"/>
      <c r="AT209" s="350">
        <f t="shared" ref="AT209:AT272" si="123">AM209-AF209</f>
        <v>1369161.4972653678</v>
      </c>
      <c r="AU209" s="350">
        <f t="shared" si="106"/>
        <v>4044336.9235233255</v>
      </c>
      <c r="AV209" s="350">
        <f t="shared" si="107"/>
        <v>6436384.4910453185</v>
      </c>
      <c r="AW209" s="350">
        <f t="shared" si="108"/>
        <v>8539840.9382319599</v>
      </c>
      <c r="AX209" s="350">
        <f t="shared" si="109"/>
        <v>10351219.378324717</v>
      </c>
      <c r="AY209" s="350">
        <f t="shared" si="110"/>
        <v>30740943.228390694</v>
      </c>
      <c r="AZ209" s="365"/>
      <c r="BA209" s="377">
        <f t="shared" si="111"/>
        <v>0</v>
      </c>
      <c r="BB209" s="377">
        <f t="shared" si="112"/>
        <v>0</v>
      </c>
      <c r="BC209" s="377">
        <f t="shared" si="113"/>
        <v>0</v>
      </c>
      <c r="BD209" s="377">
        <f t="shared" si="114"/>
        <v>0</v>
      </c>
      <c r="BE209" s="377">
        <f t="shared" si="115"/>
        <v>0</v>
      </c>
      <c r="BF209" s="377">
        <f t="shared" si="116"/>
        <v>0</v>
      </c>
      <c r="BG209" s="328"/>
    </row>
    <row r="210" spans="2:59">
      <c r="B210" s="332">
        <v>195</v>
      </c>
      <c r="C210" s="350">
        <v>7651852.4023883026</v>
      </c>
      <c r="D210" s="350">
        <v>14400815.400527731</v>
      </c>
      <c r="E210" s="350">
        <v>21200580.347265378</v>
      </c>
      <c r="F210" s="350">
        <v>28051622.215004653</v>
      </c>
      <c r="G210" s="350">
        <v>34955037.621584408</v>
      </c>
      <c r="H210" s="348">
        <v>106259907.98677048</v>
      </c>
      <c r="I210" s="369"/>
      <c r="J210" s="350">
        <v>8824760.5707986467</v>
      </c>
      <c r="K210" s="350">
        <v>17862700.320151482</v>
      </c>
      <c r="L210" s="350">
        <v>26684266.637376212</v>
      </c>
      <c r="M210" s="350">
        <v>35283165.305143386</v>
      </c>
      <c r="N210" s="350">
        <v>43655403.862505183</v>
      </c>
      <c r="O210" s="348">
        <v>132310296.6959749</v>
      </c>
      <c r="P210" s="369"/>
      <c r="Q210" s="350">
        <f t="shared" si="117"/>
        <v>1172908.168410344</v>
      </c>
      <c r="R210" s="350">
        <f t="shared" si="118"/>
        <v>3461884.9196237512</v>
      </c>
      <c r="S210" s="350">
        <f t="shared" si="119"/>
        <v>5483686.2901108339</v>
      </c>
      <c r="T210" s="350">
        <f t="shared" si="120"/>
        <v>7231543.0901387334</v>
      </c>
      <c r="U210" s="350">
        <f t="shared" si="121"/>
        <v>8700366.2409207746</v>
      </c>
      <c r="V210" s="350">
        <f t="shared" si="122"/>
        <v>26050388.70920442</v>
      </c>
      <c r="W210" s="365"/>
      <c r="X210" s="377">
        <f t="shared" si="100"/>
        <v>0</v>
      </c>
      <c r="Y210" s="377">
        <f t="shared" si="101"/>
        <v>0</v>
      </c>
      <c r="Z210" s="377">
        <f t="shared" si="102"/>
        <v>0</v>
      </c>
      <c r="AA210" s="377">
        <f t="shared" si="103"/>
        <v>0</v>
      </c>
      <c r="AB210" s="377">
        <f t="shared" si="104"/>
        <v>0</v>
      </c>
      <c r="AC210" s="377">
        <f t="shared" si="105"/>
        <v>0</v>
      </c>
      <c r="AD210" s="376"/>
      <c r="AE210" s="332">
        <v>195</v>
      </c>
      <c r="AF210" s="350">
        <v>5612133.6488308376</v>
      </c>
      <c r="AG210" s="350">
        <v>11268340.35167459</v>
      </c>
      <c r="AH210" s="350">
        <v>16967353.529249802</v>
      </c>
      <c r="AI210" s="350">
        <v>22709362.144581493</v>
      </c>
      <c r="AJ210" s="350">
        <v>28495194.276060395</v>
      </c>
      <c r="AK210" s="348">
        <v>85052383.950397134</v>
      </c>
      <c r="AL210" s="369"/>
      <c r="AM210" s="350">
        <v>6794035.3248119298</v>
      </c>
      <c r="AN210" s="350">
        <v>14759483.317333972</v>
      </c>
      <c r="AO210" s="350">
        <v>22522309.064834137</v>
      </c>
      <c r="AP210" s="350">
        <v>30077969.438645713</v>
      </c>
      <c r="AQ210" s="350">
        <v>37424267.131892748</v>
      </c>
      <c r="AR210" s="348">
        <v>111578064.27751848</v>
      </c>
      <c r="AS210" s="369"/>
      <c r="AT210" s="350">
        <f t="shared" si="123"/>
        <v>1181901.6759810923</v>
      </c>
      <c r="AU210" s="350">
        <f t="shared" si="106"/>
        <v>3491142.9656593818</v>
      </c>
      <c r="AV210" s="350">
        <f t="shared" si="107"/>
        <v>5554955.5355843343</v>
      </c>
      <c r="AW210" s="350">
        <f t="shared" si="108"/>
        <v>7368607.29406422</v>
      </c>
      <c r="AX210" s="350">
        <f t="shared" si="109"/>
        <v>8929072.8558323532</v>
      </c>
      <c r="AY210" s="350">
        <f t="shared" si="110"/>
        <v>26525680.327121347</v>
      </c>
      <c r="AZ210" s="365"/>
      <c r="BA210" s="377">
        <f t="shared" si="111"/>
        <v>0</v>
      </c>
      <c r="BB210" s="377">
        <f t="shared" si="112"/>
        <v>0</v>
      </c>
      <c r="BC210" s="377">
        <f t="shared" si="113"/>
        <v>0</v>
      </c>
      <c r="BD210" s="377">
        <f t="shared" si="114"/>
        <v>0</v>
      </c>
      <c r="BE210" s="377">
        <f t="shared" si="115"/>
        <v>0</v>
      </c>
      <c r="BF210" s="377">
        <f t="shared" si="116"/>
        <v>0</v>
      </c>
      <c r="BG210" s="328"/>
    </row>
    <row r="211" spans="2:59">
      <c r="B211" s="332">
        <v>196</v>
      </c>
      <c r="C211" s="350">
        <v>10644467.77567861</v>
      </c>
      <c r="D211" s="350">
        <v>20219464.615411356</v>
      </c>
      <c r="E211" s="350">
        <v>29866596.782636464</v>
      </c>
      <c r="F211" s="350">
        <v>39586482.911502659</v>
      </c>
      <c r="G211" s="350">
        <v>49380654.784370132</v>
      </c>
      <c r="H211" s="348">
        <v>149697666.86959922</v>
      </c>
      <c r="I211" s="369"/>
      <c r="J211" s="350">
        <v>11852611.502861489</v>
      </c>
      <c r="K211" s="350">
        <v>23778860.659377702</v>
      </c>
      <c r="L211" s="350">
        <v>35374105.829849675</v>
      </c>
      <c r="M211" s="350">
        <v>46629879.368628442</v>
      </c>
      <c r="N211" s="350">
        <v>57540435.450753145</v>
      </c>
      <c r="O211" s="348">
        <v>175175892.81147045</v>
      </c>
      <c r="P211" s="369"/>
      <c r="Q211" s="350">
        <f t="shared" si="117"/>
        <v>1208143.7271828782</v>
      </c>
      <c r="R211" s="350">
        <f t="shared" si="118"/>
        <v>3559396.0439663455</v>
      </c>
      <c r="S211" s="350">
        <f t="shared" si="119"/>
        <v>5507509.0472132117</v>
      </c>
      <c r="T211" s="350">
        <f t="shared" si="120"/>
        <v>7043396.457125783</v>
      </c>
      <c r="U211" s="350">
        <f t="shared" si="121"/>
        <v>8159780.6663830131</v>
      </c>
      <c r="V211" s="350">
        <f t="shared" si="122"/>
        <v>25478225.941871226</v>
      </c>
      <c r="W211" s="365"/>
      <c r="X211" s="377">
        <f t="shared" si="100"/>
        <v>0</v>
      </c>
      <c r="Y211" s="377">
        <f t="shared" si="101"/>
        <v>0</v>
      </c>
      <c r="Z211" s="377">
        <f t="shared" si="102"/>
        <v>0</v>
      </c>
      <c r="AA211" s="377">
        <f t="shared" si="103"/>
        <v>0</v>
      </c>
      <c r="AB211" s="377">
        <f t="shared" si="104"/>
        <v>0</v>
      </c>
      <c r="AC211" s="377">
        <f t="shared" si="105"/>
        <v>0</v>
      </c>
      <c r="AD211" s="376"/>
      <c r="AE211" s="332">
        <v>196</v>
      </c>
      <c r="AF211" s="350">
        <v>3912615.5761581557</v>
      </c>
      <c r="AG211" s="350">
        <v>7855957.5976239219</v>
      </c>
      <c r="AH211" s="350">
        <v>11829143.042335605</v>
      </c>
      <c r="AI211" s="350">
        <v>15832303.649792172</v>
      </c>
      <c r="AJ211" s="350">
        <v>19866016.732048646</v>
      </c>
      <c r="AK211" s="348">
        <v>59296036.597958498</v>
      </c>
      <c r="AL211" s="369"/>
      <c r="AM211" s="350">
        <v>4559574.6232923521</v>
      </c>
      <c r="AN211" s="350">
        <v>9764866.6098111626</v>
      </c>
      <c r="AO211" s="350">
        <v>14823594.236048989</v>
      </c>
      <c r="AP211" s="350">
        <v>19732640.235622875</v>
      </c>
      <c r="AQ211" s="350">
        <v>24490293.422262292</v>
      </c>
      <c r="AR211" s="348">
        <v>73370969.127037674</v>
      </c>
      <c r="AS211" s="369"/>
      <c r="AT211" s="350">
        <f t="shared" si="123"/>
        <v>646959.04713419639</v>
      </c>
      <c r="AU211" s="350">
        <f t="shared" si="106"/>
        <v>1908909.0121872406</v>
      </c>
      <c r="AV211" s="350">
        <f t="shared" si="107"/>
        <v>2994451.1937133837</v>
      </c>
      <c r="AW211" s="350">
        <f t="shared" si="108"/>
        <v>3900336.5858307034</v>
      </c>
      <c r="AX211" s="350">
        <f t="shared" si="109"/>
        <v>4624276.6902136467</v>
      </c>
      <c r="AY211" s="350">
        <f t="shared" si="110"/>
        <v>14074932.529079176</v>
      </c>
      <c r="AZ211" s="365"/>
      <c r="BA211" s="377">
        <f t="shared" si="111"/>
        <v>0</v>
      </c>
      <c r="BB211" s="377">
        <f t="shared" si="112"/>
        <v>0</v>
      </c>
      <c r="BC211" s="377">
        <f t="shared" si="113"/>
        <v>0</v>
      </c>
      <c r="BD211" s="377">
        <f t="shared" si="114"/>
        <v>0</v>
      </c>
      <c r="BE211" s="377">
        <f t="shared" si="115"/>
        <v>0</v>
      </c>
      <c r="BF211" s="377">
        <f t="shared" si="116"/>
        <v>0</v>
      </c>
      <c r="BG211" s="328"/>
    </row>
    <row r="212" spans="2:59">
      <c r="B212" s="332">
        <v>197</v>
      </c>
      <c r="C212" s="350">
        <v>7072089.0907018017</v>
      </c>
      <c r="D212" s="350">
        <v>13106697.192783531</v>
      </c>
      <c r="E212" s="350">
        <v>19186663.890927911</v>
      </c>
      <c r="F212" s="350">
        <v>25312473.98452656</v>
      </c>
      <c r="G212" s="350">
        <v>31485134.168050587</v>
      </c>
      <c r="H212" s="348">
        <v>96163058.326990396</v>
      </c>
      <c r="I212" s="369"/>
      <c r="J212" s="350">
        <v>8324538.2567568738</v>
      </c>
      <c r="K212" s="350">
        <v>16806241.150941022</v>
      </c>
      <c r="L212" s="350">
        <v>25102981.696834788</v>
      </c>
      <c r="M212" s="350">
        <v>33209041.263486609</v>
      </c>
      <c r="N212" s="350">
        <v>41120985.549464047</v>
      </c>
      <c r="O212" s="348">
        <v>124563787.91748333</v>
      </c>
      <c r="P212" s="369"/>
      <c r="Q212" s="350">
        <f t="shared" si="117"/>
        <v>1252449.1660550721</v>
      </c>
      <c r="R212" s="350">
        <f t="shared" si="118"/>
        <v>3699543.9581574909</v>
      </c>
      <c r="S212" s="350">
        <f t="shared" si="119"/>
        <v>5916317.8059068769</v>
      </c>
      <c r="T212" s="350">
        <f t="shared" si="120"/>
        <v>7896567.2789600492</v>
      </c>
      <c r="U212" s="350">
        <f t="shared" si="121"/>
        <v>9635851.3814134598</v>
      </c>
      <c r="V212" s="350">
        <f t="shared" si="122"/>
        <v>28400729.590492934</v>
      </c>
      <c r="W212" s="365"/>
      <c r="X212" s="377">
        <f t="shared" si="100"/>
        <v>0</v>
      </c>
      <c r="Y212" s="377">
        <f t="shared" si="101"/>
        <v>0</v>
      </c>
      <c r="Z212" s="377">
        <f t="shared" si="102"/>
        <v>0</v>
      </c>
      <c r="AA212" s="377">
        <f t="shared" si="103"/>
        <v>0</v>
      </c>
      <c r="AB212" s="377">
        <f t="shared" si="104"/>
        <v>0</v>
      </c>
      <c r="AC212" s="377">
        <f t="shared" si="105"/>
        <v>0</v>
      </c>
      <c r="AD212" s="376"/>
      <c r="AE212" s="332">
        <v>197</v>
      </c>
      <c r="AF212" s="350">
        <v>4430422.2057150379</v>
      </c>
      <c r="AG212" s="350">
        <v>8895637.2815558948</v>
      </c>
      <c r="AH212" s="350">
        <v>13394645.343819685</v>
      </c>
      <c r="AI212" s="350">
        <v>17927595.566783875</v>
      </c>
      <c r="AJ212" s="350">
        <v>22495141.665616341</v>
      </c>
      <c r="AK212" s="348">
        <v>67143442.063490838</v>
      </c>
      <c r="AL212" s="369"/>
      <c r="AM212" s="350">
        <v>5444279.804312028</v>
      </c>
      <c r="AN212" s="350">
        <v>11891365.139262868</v>
      </c>
      <c r="AO212" s="350">
        <v>18180913.74084108</v>
      </c>
      <c r="AP212" s="350">
        <v>24309316.238902722</v>
      </c>
      <c r="AQ212" s="350">
        <v>30274919.852772035</v>
      </c>
      <c r="AR212" s="348">
        <v>90100794.776090741</v>
      </c>
      <c r="AS212" s="369"/>
      <c r="AT212" s="350">
        <f t="shared" si="123"/>
        <v>1013857.5985969901</v>
      </c>
      <c r="AU212" s="350">
        <f t="shared" si="106"/>
        <v>2995727.8577069733</v>
      </c>
      <c r="AV212" s="350">
        <f t="shared" si="107"/>
        <v>4786268.3970213942</v>
      </c>
      <c r="AW212" s="350">
        <f t="shared" si="108"/>
        <v>6381720.6721188463</v>
      </c>
      <c r="AX212" s="350">
        <f t="shared" si="109"/>
        <v>7779778.1871556938</v>
      </c>
      <c r="AY212" s="350">
        <f t="shared" si="110"/>
        <v>22957352.712599903</v>
      </c>
      <c r="AZ212" s="365"/>
      <c r="BA212" s="377">
        <f t="shared" si="111"/>
        <v>0</v>
      </c>
      <c r="BB212" s="377">
        <f t="shared" si="112"/>
        <v>0</v>
      </c>
      <c r="BC212" s="377">
        <f t="shared" si="113"/>
        <v>0</v>
      </c>
      <c r="BD212" s="377">
        <f t="shared" si="114"/>
        <v>0</v>
      </c>
      <c r="BE212" s="377">
        <f t="shared" si="115"/>
        <v>0</v>
      </c>
      <c r="BF212" s="377">
        <f t="shared" si="116"/>
        <v>0</v>
      </c>
      <c r="BG212" s="328"/>
    </row>
    <row r="213" spans="2:59">
      <c r="B213" s="332">
        <v>198</v>
      </c>
      <c r="C213" s="350">
        <v>5948740.5436874609</v>
      </c>
      <c r="D213" s="350">
        <v>11169409.727793584</v>
      </c>
      <c r="E213" s="350">
        <v>16429368.308588333</v>
      </c>
      <c r="F213" s="350">
        <v>21728991.441471193</v>
      </c>
      <c r="G213" s="350">
        <v>27069130.784214467</v>
      </c>
      <c r="H213" s="348">
        <v>82345640.805755034</v>
      </c>
      <c r="I213" s="369"/>
      <c r="J213" s="350">
        <v>6740123.8173293145</v>
      </c>
      <c r="K213" s="350">
        <v>13503549.913540566</v>
      </c>
      <c r="L213" s="350">
        <v>20094726.021874513</v>
      </c>
      <c r="M213" s="350">
        <v>26508864.427784048</v>
      </c>
      <c r="N213" s="350">
        <v>32742805.291333228</v>
      </c>
      <c r="O213" s="348">
        <v>99590069.47186166</v>
      </c>
      <c r="P213" s="369"/>
      <c r="Q213" s="350">
        <f t="shared" si="117"/>
        <v>791383.27364185359</v>
      </c>
      <c r="R213" s="350">
        <f t="shared" si="118"/>
        <v>2334140.1857469827</v>
      </c>
      <c r="S213" s="350">
        <f t="shared" si="119"/>
        <v>3665357.71328618</v>
      </c>
      <c r="T213" s="350">
        <f t="shared" si="120"/>
        <v>4779872.986312855</v>
      </c>
      <c r="U213" s="350">
        <f t="shared" si="121"/>
        <v>5673674.5071187615</v>
      </c>
      <c r="V213" s="350">
        <f t="shared" si="122"/>
        <v>17244428.666106626</v>
      </c>
      <c r="W213" s="365"/>
      <c r="X213" s="377">
        <f t="shared" si="100"/>
        <v>0</v>
      </c>
      <c r="Y213" s="377">
        <f t="shared" si="101"/>
        <v>0</v>
      </c>
      <c r="Z213" s="377">
        <f t="shared" si="102"/>
        <v>0</v>
      </c>
      <c r="AA213" s="377">
        <f t="shared" si="103"/>
        <v>0</v>
      </c>
      <c r="AB213" s="377">
        <f t="shared" si="104"/>
        <v>0</v>
      </c>
      <c r="AC213" s="377">
        <f t="shared" si="105"/>
        <v>0</v>
      </c>
      <c r="AD213" s="376"/>
      <c r="AE213" s="332">
        <v>198</v>
      </c>
      <c r="AF213" s="350">
        <v>6369477.6460846849</v>
      </c>
      <c r="AG213" s="350">
        <v>12788975.899285248</v>
      </c>
      <c r="AH213" s="350">
        <v>19257057.258479107</v>
      </c>
      <c r="AI213" s="350">
        <v>25773936.186799027</v>
      </c>
      <c r="AJ213" s="350">
        <v>32340552.509831682</v>
      </c>
      <c r="AK213" s="348">
        <v>96529999.500479758</v>
      </c>
      <c r="AL213" s="369"/>
      <c r="AM213" s="350">
        <v>7549465.2345035523</v>
      </c>
      <c r="AN213" s="350">
        <v>16272548.883323062</v>
      </c>
      <c r="AO213" s="350">
        <v>24760832.653228153</v>
      </c>
      <c r="AP213" s="350">
        <v>33009205.983638328</v>
      </c>
      <c r="AQ213" s="350">
        <v>41015011.577011779</v>
      </c>
      <c r="AR213" s="348">
        <v>122607064.33170487</v>
      </c>
      <c r="AS213" s="369"/>
      <c r="AT213" s="350">
        <f t="shared" si="123"/>
        <v>1179987.5884188674</v>
      </c>
      <c r="AU213" s="350">
        <f t="shared" si="106"/>
        <v>3483572.9840378147</v>
      </c>
      <c r="AV213" s="350">
        <f t="shared" si="107"/>
        <v>5503775.3947490454</v>
      </c>
      <c r="AW213" s="350">
        <f t="shared" si="108"/>
        <v>7235269.7968393005</v>
      </c>
      <c r="AX213" s="350">
        <f t="shared" si="109"/>
        <v>8674459.0671800971</v>
      </c>
      <c r="AY213" s="350">
        <f t="shared" si="110"/>
        <v>26077064.831225112</v>
      </c>
      <c r="AZ213" s="365"/>
      <c r="BA213" s="377">
        <f t="shared" si="111"/>
        <v>0</v>
      </c>
      <c r="BB213" s="377">
        <f t="shared" si="112"/>
        <v>0</v>
      </c>
      <c r="BC213" s="377">
        <f t="shared" si="113"/>
        <v>0</v>
      </c>
      <c r="BD213" s="377">
        <f t="shared" si="114"/>
        <v>0</v>
      </c>
      <c r="BE213" s="377">
        <f t="shared" si="115"/>
        <v>0</v>
      </c>
      <c r="BF213" s="377">
        <f t="shared" si="116"/>
        <v>0</v>
      </c>
      <c r="BG213" s="328"/>
    </row>
    <row r="214" spans="2:59">
      <c r="B214" s="332">
        <v>199</v>
      </c>
      <c r="C214" s="350">
        <v>8921467.2847963423</v>
      </c>
      <c r="D214" s="350">
        <v>16714476.905629231</v>
      </c>
      <c r="E214" s="350">
        <v>24566122.719118763</v>
      </c>
      <c r="F214" s="350">
        <v>32476975.603935294</v>
      </c>
      <c r="G214" s="350">
        <v>40448311.58072491</v>
      </c>
      <c r="H214" s="348">
        <v>123127354.09420453</v>
      </c>
      <c r="I214" s="369"/>
      <c r="J214" s="350">
        <v>10003060.397983016</v>
      </c>
      <c r="K214" s="350">
        <v>19902948.868243642</v>
      </c>
      <c r="L214" s="350">
        <v>29543898.381880406</v>
      </c>
      <c r="M214" s="350">
        <v>38918750.846029975</v>
      </c>
      <c r="N214" s="350">
        <v>48022640.900714174</v>
      </c>
      <c r="O214" s="348">
        <v>146391299.39485121</v>
      </c>
      <c r="P214" s="369"/>
      <c r="Q214" s="350">
        <f t="shared" si="117"/>
        <v>1081593.1131866742</v>
      </c>
      <c r="R214" s="350">
        <f t="shared" si="118"/>
        <v>3188471.9626144115</v>
      </c>
      <c r="S214" s="350">
        <f t="shared" si="119"/>
        <v>4977775.6627616435</v>
      </c>
      <c r="T214" s="350">
        <f t="shared" si="120"/>
        <v>6441775.2420946807</v>
      </c>
      <c r="U214" s="350">
        <f t="shared" si="121"/>
        <v>7574329.319989264</v>
      </c>
      <c r="V214" s="350">
        <f t="shared" si="122"/>
        <v>23263945.300646678</v>
      </c>
      <c r="W214" s="365"/>
      <c r="X214" s="377">
        <f t="shared" si="100"/>
        <v>0</v>
      </c>
      <c r="Y214" s="377">
        <f t="shared" si="101"/>
        <v>0</v>
      </c>
      <c r="Z214" s="377">
        <f t="shared" si="102"/>
        <v>0</v>
      </c>
      <c r="AA214" s="377">
        <f t="shared" si="103"/>
        <v>0</v>
      </c>
      <c r="AB214" s="377">
        <f t="shared" si="104"/>
        <v>0</v>
      </c>
      <c r="AC214" s="377">
        <f t="shared" si="105"/>
        <v>0</v>
      </c>
      <c r="AD214" s="376"/>
      <c r="AE214" s="332">
        <v>199</v>
      </c>
      <c r="AF214" s="350">
        <v>8875501.1146791335</v>
      </c>
      <c r="AG214" s="350">
        <v>17820703.071229778</v>
      </c>
      <c r="AH214" s="350">
        <v>26833602.7944353</v>
      </c>
      <c r="AI214" s="350">
        <v>35914499.126348324</v>
      </c>
      <c r="AJ214" s="350">
        <v>45064701.659922242</v>
      </c>
      <c r="AK214" s="348">
        <v>134509007.76661479</v>
      </c>
      <c r="AL214" s="369"/>
      <c r="AM214" s="350">
        <v>10367485.370501943</v>
      </c>
      <c r="AN214" s="350">
        <v>22223301.492776591</v>
      </c>
      <c r="AO214" s="350">
        <v>33747377.220784985</v>
      </c>
      <c r="AP214" s="350">
        <v>44932634.346965969</v>
      </c>
      <c r="AQ214" s="350">
        <v>55775215.875540301</v>
      </c>
      <c r="AR214" s="348">
        <v>167046014.30656978</v>
      </c>
      <c r="AS214" s="369"/>
      <c r="AT214" s="350">
        <f t="shared" si="123"/>
        <v>1491984.2558228094</v>
      </c>
      <c r="AU214" s="350">
        <f t="shared" si="106"/>
        <v>4402598.4215468131</v>
      </c>
      <c r="AV214" s="350">
        <f t="shared" si="107"/>
        <v>6913774.4263496846</v>
      </c>
      <c r="AW214" s="350">
        <f t="shared" si="108"/>
        <v>9018135.2206176445</v>
      </c>
      <c r="AX214" s="350">
        <f t="shared" si="109"/>
        <v>10710514.215618059</v>
      </c>
      <c r="AY214" s="350">
        <f t="shared" si="110"/>
        <v>32537006.53995499</v>
      </c>
      <c r="AZ214" s="365"/>
      <c r="BA214" s="377">
        <f t="shared" si="111"/>
        <v>0</v>
      </c>
      <c r="BB214" s="377">
        <f t="shared" si="112"/>
        <v>0</v>
      </c>
      <c r="BC214" s="377">
        <f t="shared" si="113"/>
        <v>0</v>
      </c>
      <c r="BD214" s="377">
        <f t="shared" si="114"/>
        <v>0</v>
      </c>
      <c r="BE214" s="377">
        <f t="shared" si="115"/>
        <v>0</v>
      </c>
      <c r="BF214" s="377">
        <f t="shared" si="116"/>
        <v>0</v>
      </c>
      <c r="BG214" s="328"/>
    </row>
    <row r="215" spans="2:59">
      <c r="B215" s="332">
        <v>200</v>
      </c>
      <c r="C215" s="350">
        <v>10436535.011364402</v>
      </c>
      <c r="D215" s="350">
        <v>19820449.835564002</v>
      </c>
      <c r="E215" s="350">
        <v>29275059.138396818</v>
      </c>
      <c r="F215" s="350">
        <v>38800970.38131772</v>
      </c>
      <c r="G215" s="350">
        <v>48399685.288262211</v>
      </c>
      <c r="H215" s="348">
        <v>146732699.65490514</v>
      </c>
      <c r="I215" s="369"/>
      <c r="J215" s="350">
        <v>11824571.653959876</v>
      </c>
      <c r="K215" s="350">
        <v>23913814.778992824</v>
      </c>
      <c r="L215" s="350">
        <v>35691249.097569406</v>
      </c>
      <c r="M215" s="350">
        <v>47148250.651480019</v>
      </c>
      <c r="N215" s="350">
        <v>58279116.40936102</v>
      </c>
      <c r="O215" s="348">
        <v>176857002.59136313</v>
      </c>
      <c r="P215" s="369"/>
      <c r="Q215" s="350">
        <f t="shared" si="117"/>
        <v>1388036.6425954737</v>
      </c>
      <c r="R215" s="350">
        <f t="shared" si="118"/>
        <v>4093364.9434288219</v>
      </c>
      <c r="S215" s="350">
        <f t="shared" si="119"/>
        <v>6416189.9591725878</v>
      </c>
      <c r="T215" s="350">
        <f t="shared" si="120"/>
        <v>8347280.2701622993</v>
      </c>
      <c r="U215" s="350">
        <f t="shared" si="121"/>
        <v>9879431.1210988089</v>
      </c>
      <c r="V215" s="350">
        <f t="shared" si="122"/>
        <v>30124302.936457992</v>
      </c>
      <c r="W215" s="365"/>
      <c r="X215" s="377">
        <f t="shared" si="100"/>
        <v>0</v>
      </c>
      <c r="Y215" s="377">
        <f t="shared" si="101"/>
        <v>0</v>
      </c>
      <c r="Z215" s="377">
        <f t="shared" si="102"/>
        <v>0</v>
      </c>
      <c r="AA215" s="377">
        <f t="shared" si="103"/>
        <v>0</v>
      </c>
      <c r="AB215" s="377">
        <f t="shared" si="104"/>
        <v>0</v>
      </c>
      <c r="AC215" s="377">
        <f t="shared" si="105"/>
        <v>0</v>
      </c>
      <c r="AD215" s="376"/>
      <c r="AE215" s="332">
        <v>200</v>
      </c>
      <c r="AF215" s="350">
        <v>7344356.7283949256</v>
      </c>
      <c r="AG215" s="350">
        <v>14746389.957570994</v>
      </c>
      <c r="AH215" s="350">
        <v>22204442.169968951</v>
      </c>
      <c r="AI215" s="350">
        <v>29718760.653331939</v>
      </c>
      <c r="AJ215" s="350">
        <v>37290429.0780572</v>
      </c>
      <c r="AK215" s="348">
        <v>111304378.58732401</v>
      </c>
      <c r="AL215" s="369"/>
      <c r="AM215" s="350">
        <v>8708909.5899797343</v>
      </c>
      <c r="AN215" s="350">
        <v>18774892.145622626</v>
      </c>
      <c r="AO215" s="350">
        <v>28570256.254137628</v>
      </c>
      <c r="AP215" s="350">
        <v>38089108.038405918</v>
      </c>
      <c r="AQ215" s="350">
        <v>47328387.501861535</v>
      </c>
      <c r="AR215" s="348">
        <v>141471553.53000745</v>
      </c>
      <c r="AS215" s="369"/>
      <c r="AT215" s="350">
        <f t="shared" si="123"/>
        <v>1364552.8615848087</v>
      </c>
      <c r="AU215" s="350">
        <f t="shared" si="106"/>
        <v>4028502.1880516317</v>
      </c>
      <c r="AV215" s="350">
        <f t="shared" si="107"/>
        <v>6365814.0841686763</v>
      </c>
      <c r="AW215" s="350">
        <f t="shared" si="108"/>
        <v>8370347.3850739785</v>
      </c>
      <c r="AX215" s="350">
        <f t="shared" si="109"/>
        <v>10037958.423804335</v>
      </c>
      <c r="AY215" s="350">
        <f t="shared" si="110"/>
        <v>30167174.942683443</v>
      </c>
      <c r="AZ215" s="365"/>
      <c r="BA215" s="377">
        <f t="shared" si="111"/>
        <v>0</v>
      </c>
      <c r="BB215" s="377">
        <f t="shared" si="112"/>
        <v>0</v>
      </c>
      <c r="BC215" s="377">
        <f t="shared" si="113"/>
        <v>0</v>
      </c>
      <c r="BD215" s="377">
        <f t="shared" si="114"/>
        <v>0</v>
      </c>
      <c r="BE215" s="377">
        <f t="shared" si="115"/>
        <v>0</v>
      </c>
      <c r="BF215" s="377">
        <f t="shared" si="116"/>
        <v>0</v>
      </c>
      <c r="BG215" s="328"/>
    </row>
    <row r="216" spans="2:59">
      <c r="B216" s="332">
        <v>201</v>
      </c>
      <c r="C216" s="350">
        <v>8191744.6681745769</v>
      </c>
      <c r="D216" s="350">
        <v>15302391.592524741</v>
      </c>
      <c r="E216" s="350">
        <v>22466525.689294819</v>
      </c>
      <c r="F216" s="350">
        <v>29684681.285282664</v>
      </c>
      <c r="G216" s="350">
        <v>36958028.517095461</v>
      </c>
      <c r="H216" s="348">
        <v>112603371.75237225</v>
      </c>
      <c r="I216" s="369"/>
      <c r="J216" s="350">
        <v>9675563.6053188331</v>
      </c>
      <c r="K216" s="350">
        <v>19685448.54906955</v>
      </c>
      <c r="L216" s="350">
        <v>29483872.259363696</v>
      </c>
      <c r="M216" s="350">
        <v>39063797.456374519</v>
      </c>
      <c r="N216" s="350">
        <v>48420899.966449827</v>
      </c>
      <c r="O216" s="348">
        <v>146329581.83657643</v>
      </c>
      <c r="P216" s="369"/>
      <c r="Q216" s="350">
        <f t="shared" si="117"/>
        <v>1483818.9371442562</v>
      </c>
      <c r="R216" s="350">
        <f t="shared" si="118"/>
        <v>4383056.956544809</v>
      </c>
      <c r="S216" s="350">
        <f t="shared" si="119"/>
        <v>7017346.5700688772</v>
      </c>
      <c r="T216" s="350">
        <f t="shared" si="120"/>
        <v>9379116.1710918546</v>
      </c>
      <c r="U216" s="350">
        <f t="shared" si="121"/>
        <v>11462871.449354365</v>
      </c>
      <c r="V216" s="350">
        <f t="shared" si="122"/>
        <v>33726210.084204182</v>
      </c>
      <c r="W216" s="365"/>
      <c r="X216" s="377">
        <f t="shared" si="100"/>
        <v>0</v>
      </c>
      <c r="Y216" s="377">
        <f t="shared" si="101"/>
        <v>0</v>
      </c>
      <c r="Z216" s="377">
        <f t="shared" si="102"/>
        <v>0</v>
      </c>
      <c r="AA216" s="377">
        <f t="shared" si="103"/>
        <v>0</v>
      </c>
      <c r="AB216" s="377">
        <f t="shared" si="104"/>
        <v>0</v>
      </c>
      <c r="AC216" s="377">
        <f t="shared" si="105"/>
        <v>0</v>
      </c>
      <c r="AD216" s="376"/>
      <c r="AE216" s="332">
        <v>201</v>
      </c>
      <c r="AF216" s="350">
        <v>5473105.0014229268</v>
      </c>
      <c r="AG216" s="350">
        <v>10989191.24089893</v>
      </c>
      <c r="AH216" s="350">
        <v>16547023.515948199</v>
      </c>
      <c r="AI216" s="350">
        <v>22146786.108439635</v>
      </c>
      <c r="AJ216" s="350">
        <v>27789286.582887113</v>
      </c>
      <c r="AK216" s="348">
        <v>82945392.449596807</v>
      </c>
      <c r="AL216" s="369"/>
      <c r="AM216" s="350">
        <v>6281230.969474528</v>
      </c>
      <c r="AN216" s="350">
        <v>13372172.789513443</v>
      </c>
      <c r="AO216" s="350">
        <v>20255194.116484031</v>
      </c>
      <c r="AP216" s="350">
        <v>26925961.80446836</v>
      </c>
      <c r="AQ216" s="350">
        <v>33381984.085876182</v>
      </c>
      <c r="AR216" s="348">
        <v>100216543.76581654</v>
      </c>
      <c r="AS216" s="369"/>
      <c r="AT216" s="350">
        <f t="shared" si="123"/>
        <v>808125.9680516012</v>
      </c>
      <c r="AU216" s="350">
        <f t="shared" si="106"/>
        <v>2382981.5486145131</v>
      </c>
      <c r="AV216" s="350">
        <f t="shared" si="107"/>
        <v>3708170.6005358323</v>
      </c>
      <c r="AW216" s="350">
        <f t="shared" si="108"/>
        <v>4779175.6960287243</v>
      </c>
      <c r="AX216" s="350">
        <f t="shared" si="109"/>
        <v>5592697.5029890686</v>
      </c>
      <c r="AY216" s="350">
        <f t="shared" si="110"/>
        <v>17271151.316219732</v>
      </c>
      <c r="AZ216" s="365"/>
      <c r="BA216" s="377">
        <f t="shared" si="111"/>
        <v>0</v>
      </c>
      <c r="BB216" s="377">
        <f t="shared" si="112"/>
        <v>0</v>
      </c>
      <c r="BC216" s="377">
        <f t="shared" si="113"/>
        <v>0</v>
      </c>
      <c r="BD216" s="377">
        <f t="shared" si="114"/>
        <v>0</v>
      </c>
      <c r="BE216" s="377">
        <f t="shared" si="115"/>
        <v>0</v>
      </c>
      <c r="BF216" s="377">
        <f t="shared" si="116"/>
        <v>0</v>
      </c>
      <c r="BG216" s="328"/>
    </row>
    <row r="217" spans="2:59">
      <c r="B217" s="332">
        <v>202</v>
      </c>
      <c r="C217" s="350">
        <v>7436720.2109988416</v>
      </c>
      <c r="D217" s="350">
        <v>14060205.530286757</v>
      </c>
      <c r="E217" s="350">
        <v>20733569.220305197</v>
      </c>
      <c r="F217" s="350">
        <v>27457258.394814938</v>
      </c>
      <c r="G217" s="350">
        <v>34232341.00418295</v>
      </c>
      <c r="H217" s="348">
        <v>103920094.36058868</v>
      </c>
      <c r="I217" s="369"/>
      <c r="J217" s="350">
        <v>8874424.4138630703</v>
      </c>
      <c r="K217" s="350">
        <v>18307693.196786143</v>
      </c>
      <c r="L217" s="350">
        <v>27538049.544959113</v>
      </c>
      <c r="M217" s="350">
        <v>36559170.545564994</v>
      </c>
      <c r="N217" s="350">
        <v>45367372.819185153</v>
      </c>
      <c r="O217" s="348">
        <v>136646710.52035847</v>
      </c>
      <c r="P217" s="369"/>
      <c r="Q217" s="350">
        <f t="shared" si="117"/>
        <v>1437704.2028642287</v>
      </c>
      <c r="R217" s="350">
        <f t="shared" si="118"/>
        <v>4247487.6664993856</v>
      </c>
      <c r="S217" s="350">
        <f t="shared" si="119"/>
        <v>6804480.3246539161</v>
      </c>
      <c r="T217" s="350">
        <f t="shared" si="120"/>
        <v>9101912.1507500559</v>
      </c>
      <c r="U217" s="350">
        <f t="shared" si="121"/>
        <v>11135031.815002203</v>
      </c>
      <c r="V217" s="350">
        <f t="shared" si="122"/>
        <v>32726616.159769788</v>
      </c>
      <c r="W217" s="365"/>
      <c r="X217" s="377">
        <f t="shared" si="100"/>
        <v>0</v>
      </c>
      <c r="Y217" s="377">
        <f t="shared" si="101"/>
        <v>0</v>
      </c>
      <c r="Z217" s="377">
        <f t="shared" si="102"/>
        <v>0</v>
      </c>
      <c r="AA217" s="377">
        <f t="shared" si="103"/>
        <v>0</v>
      </c>
      <c r="AB217" s="377">
        <f t="shared" si="104"/>
        <v>0</v>
      </c>
      <c r="AC217" s="377">
        <f t="shared" si="105"/>
        <v>0</v>
      </c>
      <c r="AD217" s="376"/>
      <c r="AE217" s="332">
        <v>202</v>
      </c>
      <c r="AF217" s="350">
        <v>6284552.2033225335</v>
      </c>
      <c r="AG217" s="350">
        <v>12618458.079603607</v>
      </c>
      <c r="AH217" s="350">
        <v>19000299.294193327</v>
      </c>
      <c r="AI217" s="350">
        <v>25430287.450747199</v>
      </c>
      <c r="AJ217" s="350">
        <v>31909349.843980677</v>
      </c>
      <c r="AK217" s="348">
        <v>95242946.871847346</v>
      </c>
      <c r="AL217" s="369"/>
      <c r="AM217" s="350">
        <v>7634723.9174346467</v>
      </c>
      <c r="AN217" s="350">
        <v>16606959.518657841</v>
      </c>
      <c r="AO217" s="350">
        <v>25353094.148330133</v>
      </c>
      <c r="AP217" s="350">
        <v>33868032.801677436</v>
      </c>
      <c r="AQ217" s="350">
        <v>42149341.901865065</v>
      </c>
      <c r="AR217" s="348">
        <v>125612152.28796512</v>
      </c>
      <c r="AS217" s="369"/>
      <c r="AT217" s="350">
        <f t="shared" si="123"/>
        <v>1350171.7141121132</v>
      </c>
      <c r="AU217" s="350">
        <f t="shared" si="106"/>
        <v>3988501.439054234</v>
      </c>
      <c r="AV217" s="350">
        <f t="shared" si="107"/>
        <v>6352794.854136806</v>
      </c>
      <c r="AW217" s="350">
        <f t="shared" si="108"/>
        <v>8437745.3509302363</v>
      </c>
      <c r="AX217" s="350">
        <f t="shared" si="109"/>
        <v>10239992.057884388</v>
      </c>
      <c r="AY217" s="350">
        <f t="shared" si="110"/>
        <v>30369205.416117772</v>
      </c>
      <c r="AZ217" s="365"/>
      <c r="BA217" s="377">
        <f t="shared" si="111"/>
        <v>0</v>
      </c>
      <c r="BB217" s="377">
        <f t="shared" si="112"/>
        <v>0</v>
      </c>
      <c r="BC217" s="377">
        <f t="shared" si="113"/>
        <v>0</v>
      </c>
      <c r="BD217" s="377">
        <f t="shared" si="114"/>
        <v>0</v>
      </c>
      <c r="BE217" s="377">
        <f t="shared" si="115"/>
        <v>0</v>
      </c>
      <c r="BF217" s="377">
        <f t="shared" si="116"/>
        <v>0</v>
      </c>
      <c r="BG217" s="328"/>
    </row>
    <row r="218" spans="2:59">
      <c r="B218" s="332">
        <v>203</v>
      </c>
      <c r="C218" s="350">
        <v>7879179.0502268579</v>
      </c>
      <c r="D218" s="350">
        <v>14748940.610246252</v>
      </c>
      <c r="E218" s="350">
        <v>21670387.446641564</v>
      </c>
      <c r="F218" s="350">
        <v>28644026.630791578</v>
      </c>
      <c r="G218" s="350">
        <v>35670984.675951459</v>
      </c>
      <c r="H218" s="348">
        <v>108613518.4138577</v>
      </c>
      <c r="I218" s="369"/>
      <c r="J218" s="350">
        <v>9113833.4256283045</v>
      </c>
      <c r="K218" s="350">
        <v>18393644.426831685</v>
      </c>
      <c r="L218" s="350">
        <v>27455725.235641859</v>
      </c>
      <c r="M218" s="350">
        <v>36293624.433270335</v>
      </c>
      <c r="N218" s="350">
        <v>44903270.909826964</v>
      </c>
      <c r="O218" s="348">
        <v>136160098.43119913</v>
      </c>
      <c r="P218" s="369"/>
      <c r="Q218" s="350">
        <f t="shared" si="117"/>
        <v>1234654.3754014466</v>
      </c>
      <c r="R218" s="350">
        <f t="shared" si="118"/>
        <v>3644703.8165854327</v>
      </c>
      <c r="S218" s="350">
        <f t="shared" si="119"/>
        <v>5785337.7890002951</v>
      </c>
      <c r="T218" s="350">
        <f t="shared" si="120"/>
        <v>7649597.8024787568</v>
      </c>
      <c r="U218" s="350">
        <f t="shared" si="121"/>
        <v>9232286.2338755056</v>
      </c>
      <c r="V218" s="350">
        <f t="shared" si="122"/>
        <v>27546580.017341435</v>
      </c>
      <c r="W218" s="365"/>
      <c r="X218" s="377">
        <f t="shared" si="100"/>
        <v>0</v>
      </c>
      <c r="Y218" s="377">
        <f t="shared" si="101"/>
        <v>0</v>
      </c>
      <c r="Z218" s="377">
        <f t="shared" si="102"/>
        <v>0</v>
      </c>
      <c r="AA218" s="377">
        <f t="shared" si="103"/>
        <v>0</v>
      </c>
      <c r="AB218" s="377">
        <f t="shared" si="104"/>
        <v>0</v>
      </c>
      <c r="AC218" s="377">
        <f t="shared" si="105"/>
        <v>0</v>
      </c>
      <c r="AD218" s="376"/>
      <c r="AE218" s="332">
        <v>203</v>
      </c>
      <c r="AF218" s="350">
        <v>5906284.9101288645</v>
      </c>
      <c r="AG218" s="350">
        <v>11858952.894886397</v>
      </c>
      <c r="AH218" s="350">
        <v>17856670.989206962</v>
      </c>
      <c r="AI218" s="350">
        <v>23899638.060318802</v>
      </c>
      <c r="AJ218" s="350">
        <v>29988725.589054275</v>
      </c>
      <c r="AK218" s="348">
        <v>89510272.44359529</v>
      </c>
      <c r="AL218" s="369"/>
      <c r="AM218" s="350">
        <v>6940804.1475451654</v>
      </c>
      <c r="AN218" s="350">
        <v>14912267.449179634</v>
      </c>
      <c r="AO218" s="350">
        <v>22664218.876937523</v>
      </c>
      <c r="AP218" s="350">
        <v>30191936.387407735</v>
      </c>
      <c r="AQ218" s="350">
        <v>37492895.503096551</v>
      </c>
      <c r="AR218" s="348">
        <v>112202122.36416662</v>
      </c>
      <c r="AS218" s="369"/>
      <c r="AT218" s="350">
        <f t="shared" si="123"/>
        <v>1034519.2374163009</v>
      </c>
      <c r="AU218" s="350">
        <f t="shared" si="106"/>
        <v>3053314.5542932376</v>
      </c>
      <c r="AV218" s="350">
        <f t="shared" si="107"/>
        <v>4807547.8877305612</v>
      </c>
      <c r="AW218" s="350">
        <f t="shared" si="108"/>
        <v>6292298.3270889334</v>
      </c>
      <c r="AX218" s="350">
        <f t="shared" si="109"/>
        <v>7504169.9140422754</v>
      </c>
      <c r="AY218" s="350">
        <f t="shared" si="110"/>
        <v>22691849.920571327</v>
      </c>
      <c r="AZ218" s="365"/>
      <c r="BA218" s="377">
        <f t="shared" si="111"/>
        <v>0</v>
      </c>
      <c r="BB218" s="377">
        <f t="shared" si="112"/>
        <v>0</v>
      </c>
      <c r="BC218" s="377">
        <f t="shared" si="113"/>
        <v>0</v>
      </c>
      <c r="BD218" s="377">
        <f t="shared" si="114"/>
        <v>0</v>
      </c>
      <c r="BE218" s="377">
        <f t="shared" si="115"/>
        <v>0</v>
      </c>
      <c r="BF218" s="377">
        <f t="shared" si="116"/>
        <v>0</v>
      </c>
      <c r="BG218" s="328"/>
    </row>
    <row r="219" spans="2:59">
      <c r="B219" s="332">
        <v>204</v>
      </c>
      <c r="C219" s="350">
        <v>8173934.8498275084</v>
      </c>
      <c r="D219" s="350">
        <v>15485668.776872516</v>
      </c>
      <c r="E219" s="350">
        <v>22852474.16506777</v>
      </c>
      <c r="F219" s="350">
        <v>30274835.308061287</v>
      </c>
      <c r="G219" s="350">
        <v>37753927.089658096</v>
      </c>
      <c r="H219" s="348">
        <v>114540840.18948717</v>
      </c>
      <c r="I219" s="369"/>
      <c r="J219" s="350">
        <v>9228419.38386303</v>
      </c>
      <c r="K219" s="350">
        <v>18594962.481718875</v>
      </c>
      <c r="L219" s="350">
        <v>27715022.99568852</v>
      </c>
      <c r="M219" s="350">
        <v>36582040.023514152</v>
      </c>
      <c r="N219" s="350">
        <v>45191692.08582706</v>
      </c>
      <c r="O219" s="348">
        <v>137312136.97061163</v>
      </c>
      <c r="P219" s="369"/>
      <c r="Q219" s="350">
        <f t="shared" si="117"/>
        <v>1054484.5340355216</v>
      </c>
      <c r="R219" s="350">
        <f t="shared" si="118"/>
        <v>3109293.7048463598</v>
      </c>
      <c r="S219" s="350">
        <f t="shared" si="119"/>
        <v>4862548.8306207508</v>
      </c>
      <c r="T219" s="350">
        <f t="shared" si="120"/>
        <v>6307204.7154528648</v>
      </c>
      <c r="U219" s="350">
        <f t="shared" si="121"/>
        <v>7437764.9961689636</v>
      </c>
      <c r="V219" s="350">
        <f t="shared" si="122"/>
        <v>22771296.781124458</v>
      </c>
      <c r="W219" s="365"/>
      <c r="X219" s="377">
        <f t="shared" si="100"/>
        <v>0</v>
      </c>
      <c r="Y219" s="377">
        <f t="shared" si="101"/>
        <v>0</v>
      </c>
      <c r="Z219" s="377">
        <f t="shared" si="102"/>
        <v>0</v>
      </c>
      <c r="AA219" s="377">
        <f t="shared" si="103"/>
        <v>0</v>
      </c>
      <c r="AB219" s="377">
        <f t="shared" si="104"/>
        <v>0</v>
      </c>
      <c r="AC219" s="377">
        <f t="shared" si="105"/>
        <v>0</v>
      </c>
      <c r="AD219" s="376"/>
      <c r="AE219" s="332">
        <v>204</v>
      </c>
      <c r="AF219" s="350">
        <v>5204857.6376913544</v>
      </c>
      <c r="AG219" s="350">
        <v>10450589.92059778</v>
      </c>
      <c r="AH219" s="350">
        <v>15736022.185879907</v>
      </c>
      <c r="AI219" s="350">
        <v>21061329.683399118</v>
      </c>
      <c r="AJ219" s="350">
        <v>26427280.397385001</v>
      </c>
      <c r="AK219" s="348">
        <v>78880079.824953169</v>
      </c>
      <c r="AL219" s="369"/>
      <c r="AM219" s="350">
        <v>6238014.2865281422</v>
      </c>
      <c r="AN219" s="350">
        <v>13501617.005476039</v>
      </c>
      <c r="AO219" s="350">
        <v>20575415.819171265</v>
      </c>
      <c r="AP219" s="350">
        <v>27455215.107901119</v>
      </c>
      <c r="AQ219" s="350">
        <v>34138913.247122966</v>
      </c>
      <c r="AR219" s="348">
        <v>101909175.46619955</v>
      </c>
      <c r="AS219" s="369"/>
      <c r="AT219" s="350">
        <f t="shared" si="123"/>
        <v>1033156.6488367878</v>
      </c>
      <c r="AU219" s="350">
        <f t="shared" si="106"/>
        <v>3051027.0848782584</v>
      </c>
      <c r="AV219" s="350">
        <f t="shared" si="107"/>
        <v>4839393.6332913581</v>
      </c>
      <c r="AW219" s="350">
        <f t="shared" si="108"/>
        <v>6393885.4245020002</v>
      </c>
      <c r="AX219" s="350">
        <f t="shared" si="109"/>
        <v>7711632.8497379646</v>
      </c>
      <c r="AY219" s="350">
        <f t="shared" si="110"/>
        <v>23029095.641246378</v>
      </c>
      <c r="AZ219" s="365"/>
      <c r="BA219" s="377">
        <f t="shared" si="111"/>
        <v>0</v>
      </c>
      <c r="BB219" s="377">
        <f t="shared" si="112"/>
        <v>0</v>
      </c>
      <c r="BC219" s="377">
        <f t="shared" si="113"/>
        <v>0</v>
      </c>
      <c r="BD219" s="377">
        <f t="shared" si="114"/>
        <v>0</v>
      </c>
      <c r="BE219" s="377">
        <f t="shared" si="115"/>
        <v>0</v>
      </c>
      <c r="BF219" s="377">
        <f t="shared" si="116"/>
        <v>0</v>
      </c>
      <c r="BG219" s="328"/>
    </row>
    <row r="220" spans="2:59">
      <c r="B220" s="332">
        <v>205</v>
      </c>
      <c r="C220" s="350">
        <v>6287586.4883094542</v>
      </c>
      <c r="D220" s="350">
        <v>11927987.958130032</v>
      </c>
      <c r="E220" s="350">
        <v>17610877.684552751</v>
      </c>
      <c r="F220" s="350">
        <v>23336624.577719249</v>
      </c>
      <c r="G220" s="350">
        <v>29106132.926489595</v>
      </c>
      <c r="H220" s="348">
        <v>88269209.635201082</v>
      </c>
      <c r="I220" s="369"/>
      <c r="J220" s="350">
        <v>7240424.0217076791</v>
      </c>
      <c r="K220" s="350">
        <v>14739920.811648179</v>
      </c>
      <c r="L220" s="350">
        <v>22049736.195122775</v>
      </c>
      <c r="M220" s="350">
        <v>29164895.345035397</v>
      </c>
      <c r="N220" s="350">
        <v>36082339.668413579</v>
      </c>
      <c r="O220" s="348">
        <v>109277316.04192761</v>
      </c>
      <c r="P220" s="369"/>
      <c r="Q220" s="350">
        <f t="shared" si="117"/>
        <v>952837.53339822497</v>
      </c>
      <c r="R220" s="350">
        <f t="shared" si="118"/>
        <v>2811932.853518147</v>
      </c>
      <c r="S220" s="350">
        <f t="shared" si="119"/>
        <v>4438858.5105700232</v>
      </c>
      <c r="T220" s="350">
        <f t="shared" si="120"/>
        <v>5828270.7673161477</v>
      </c>
      <c r="U220" s="350">
        <f t="shared" si="121"/>
        <v>6976206.7419239841</v>
      </c>
      <c r="V220" s="350">
        <f t="shared" si="122"/>
        <v>21008106.406726524</v>
      </c>
      <c r="W220" s="365"/>
      <c r="X220" s="377">
        <f t="shared" si="100"/>
        <v>0</v>
      </c>
      <c r="Y220" s="377">
        <f t="shared" si="101"/>
        <v>0</v>
      </c>
      <c r="Z220" s="377">
        <f t="shared" si="102"/>
        <v>0</v>
      </c>
      <c r="AA220" s="377">
        <f t="shared" si="103"/>
        <v>0</v>
      </c>
      <c r="AB220" s="377">
        <f t="shared" si="104"/>
        <v>0</v>
      </c>
      <c r="AC220" s="377">
        <f t="shared" si="105"/>
        <v>0</v>
      </c>
      <c r="AD220" s="376"/>
      <c r="AE220" s="332">
        <v>205</v>
      </c>
      <c r="AF220" s="350">
        <v>7550953.1599813271</v>
      </c>
      <c r="AG220" s="350">
        <v>15161205.258172756</v>
      </c>
      <c r="AH220" s="350">
        <v>22829052.151119027</v>
      </c>
      <c r="AI220" s="350">
        <v>30554748.082756616</v>
      </c>
      <c r="AJ220" s="350">
        <v>38339407.207083359</v>
      </c>
      <c r="AK220" s="348">
        <v>114435365.85911308</v>
      </c>
      <c r="AL220" s="369"/>
      <c r="AM220" s="350">
        <v>8348050.3532354739</v>
      </c>
      <c r="AN220" s="350">
        <v>17506284.078995015</v>
      </c>
      <c r="AO220" s="350">
        <v>26368141.759155523</v>
      </c>
      <c r="AP220" s="350">
        <v>34927735.07625486</v>
      </c>
      <c r="AQ220" s="350">
        <v>43181304.381780893</v>
      </c>
      <c r="AR220" s="348">
        <v>130331515.64942177</v>
      </c>
      <c r="AS220" s="369"/>
      <c r="AT220" s="350">
        <f t="shared" si="123"/>
        <v>797097.19325414672</v>
      </c>
      <c r="AU220" s="350">
        <f t="shared" si="106"/>
        <v>2345078.8208222594</v>
      </c>
      <c r="AV220" s="350">
        <f t="shared" si="107"/>
        <v>3539089.6080364957</v>
      </c>
      <c r="AW220" s="350">
        <f t="shared" si="108"/>
        <v>4372986.9934982434</v>
      </c>
      <c r="AX220" s="350">
        <f t="shared" si="109"/>
        <v>4841897.1746975332</v>
      </c>
      <c r="AY220" s="350">
        <f t="shared" si="110"/>
        <v>15896149.790308684</v>
      </c>
      <c r="AZ220" s="365"/>
      <c r="BA220" s="377">
        <f t="shared" si="111"/>
        <v>0</v>
      </c>
      <c r="BB220" s="377">
        <f t="shared" si="112"/>
        <v>0</v>
      </c>
      <c r="BC220" s="377">
        <f t="shared" si="113"/>
        <v>0</v>
      </c>
      <c r="BD220" s="377">
        <f t="shared" si="114"/>
        <v>0</v>
      </c>
      <c r="BE220" s="377">
        <f t="shared" si="115"/>
        <v>0</v>
      </c>
      <c r="BF220" s="377">
        <f t="shared" si="116"/>
        <v>0</v>
      </c>
      <c r="BG220" s="328"/>
    </row>
    <row r="221" spans="2:59">
      <c r="B221" s="332">
        <v>206</v>
      </c>
      <c r="C221" s="350">
        <v>7921560.9765954446</v>
      </c>
      <c r="D221" s="350">
        <v>14905204.207209576</v>
      </c>
      <c r="E221" s="350">
        <v>21941414.867817268</v>
      </c>
      <c r="F221" s="350">
        <v>29030685.39544896</v>
      </c>
      <c r="G221" s="350">
        <v>36174150.953095421</v>
      </c>
      <c r="H221" s="348">
        <v>109973016.40016668</v>
      </c>
      <c r="I221" s="369"/>
      <c r="J221" s="350">
        <v>8963999.7864333987</v>
      </c>
      <c r="K221" s="350">
        <v>17979564.028429236</v>
      </c>
      <c r="L221" s="350">
        <v>26763227.508041188</v>
      </c>
      <c r="M221" s="350">
        <v>35308628.888977915</v>
      </c>
      <c r="N221" s="350">
        <v>43611570.463577867</v>
      </c>
      <c r="O221" s="348">
        <v>132626990.67545961</v>
      </c>
      <c r="P221" s="369"/>
      <c r="Q221" s="350">
        <f t="shared" si="117"/>
        <v>1042438.8098379541</v>
      </c>
      <c r="R221" s="350">
        <f t="shared" si="118"/>
        <v>3074359.8212196603</v>
      </c>
      <c r="S221" s="350">
        <f t="shared" si="119"/>
        <v>4821812.6402239203</v>
      </c>
      <c r="T221" s="350">
        <f t="shared" si="120"/>
        <v>6277943.4935289547</v>
      </c>
      <c r="U221" s="350">
        <f t="shared" si="121"/>
        <v>7437419.5104824454</v>
      </c>
      <c r="V221" s="350">
        <f t="shared" si="122"/>
        <v>22653974.275292933</v>
      </c>
      <c r="W221" s="365"/>
      <c r="X221" s="377">
        <f t="shared" si="100"/>
        <v>0</v>
      </c>
      <c r="Y221" s="377">
        <f t="shared" si="101"/>
        <v>0</v>
      </c>
      <c r="Z221" s="377">
        <f t="shared" si="102"/>
        <v>0</v>
      </c>
      <c r="AA221" s="377">
        <f t="shared" si="103"/>
        <v>0</v>
      </c>
      <c r="AB221" s="377">
        <f t="shared" si="104"/>
        <v>0</v>
      </c>
      <c r="AC221" s="377">
        <f t="shared" si="105"/>
        <v>0</v>
      </c>
      <c r="AD221" s="376"/>
      <c r="AE221" s="332">
        <v>206</v>
      </c>
      <c r="AF221" s="350">
        <v>7468090.0354352836</v>
      </c>
      <c r="AG221" s="350">
        <v>14994828.270664178</v>
      </c>
      <c r="AH221" s="350">
        <v>22578529.263268016</v>
      </c>
      <c r="AI221" s="350">
        <v>30219444.467145178</v>
      </c>
      <c r="AJ221" s="350">
        <v>37918675.809720308</v>
      </c>
      <c r="AK221" s="348">
        <v>113179567.84623297</v>
      </c>
      <c r="AL221" s="369"/>
      <c r="AM221" s="350">
        <v>8487153.6364408601</v>
      </c>
      <c r="AN221" s="350">
        <v>17998401.433172777</v>
      </c>
      <c r="AO221" s="350">
        <v>27223435.520763792</v>
      </c>
      <c r="AP221" s="350">
        <v>36156366.94496388</v>
      </c>
      <c r="AQ221" s="350">
        <v>44793710.973961614</v>
      </c>
      <c r="AR221" s="348">
        <v>134659068.50930291</v>
      </c>
      <c r="AS221" s="369"/>
      <c r="AT221" s="350">
        <f t="shared" si="123"/>
        <v>1019063.6010055766</v>
      </c>
      <c r="AU221" s="350">
        <f t="shared" si="106"/>
        <v>3003573.1625085995</v>
      </c>
      <c r="AV221" s="350">
        <f t="shared" si="107"/>
        <v>4644906.2574957758</v>
      </c>
      <c r="AW221" s="350">
        <f t="shared" si="108"/>
        <v>5936922.4778187014</v>
      </c>
      <c r="AX221" s="350">
        <f t="shared" si="109"/>
        <v>6875035.1642413065</v>
      </c>
      <c r="AY221" s="350">
        <f t="shared" si="110"/>
        <v>21479500.663069949</v>
      </c>
      <c r="AZ221" s="365"/>
      <c r="BA221" s="377">
        <f t="shared" si="111"/>
        <v>0</v>
      </c>
      <c r="BB221" s="377">
        <f t="shared" si="112"/>
        <v>0</v>
      </c>
      <c r="BC221" s="377">
        <f t="shared" si="113"/>
        <v>0</v>
      </c>
      <c r="BD221" s="377">
        <f t="shared" si="114"/>
        <v>0</v>
      </c>
      <c r="BE221" s="377">
        <f t="shared" si="115"/>
        <v>0</v>
      </c>
      <c r="BF221" s="377">
        <f t="shared" si="116"/>
        <v>0</v>
      </c>
      <c r="BG221" s="328"/>
    </row>
    <row r="222" spans="2:59">
      <c r="B222" s="332">
        <v>207</v>
      </c>
      <c r="C222" s="350">
        <v>9176031.2735531591</v>
      </c>
      <c r="D222" s="350">
        <v>17440144.173284583</v>
      </c>
      <c r="E222" s="350">
        <v>25766519.769971058</v>
      </c>
      <c r="F222" s="350">
        <v>34155689.094882958</v>
      </c>
      <c r="G222" s="350">
        <v>42608972.953611031</v>
      </c>
      <c r="H222" s="348">
        <v>129147357.26530279</v>
      </c>
      <c r="I222" s="369"/>
      <c r="J222" s="350">
        <v>10482626.852385396</v>
      </c>
      <c r="K222" s="350">
        <v>21294741.898767199</v>
      </c>
      <c r="L222" s="350">
        <v>31824370.845896903</v>
      </c>
      <c r="M222" s="350">
        <v>42064307.049925834</v>
      </c>
      <c r="N222" s="350">
        <v>52010043.697069883</v>
      </c>
      <c r="O222" s="348">
        <v>157676090.34404522</v>
      </c>
      <c r="P222" s="369"/>
      <c r="Q222" s="350">
        <f t="shared" si="117"/>
        <v>1306595.578832237</v>
      </c>
      <c r="R222" s="350">
        <f t="shared" si="118"/>
        <v>3854597.7254826166</v>
      </c>
      <c r="S222" s="350">
        <f t="shared" si="119"/>
        <v>6057851.0759258457</v>
      </c>
      <c r="T222" s="350">
        <f t="shared" si="120"/>
        <v>7908617.9550428763</v>
      </c>
      <c r="U222" s="350">
        <f t="shared" si="121"/>
        <v>9401070.7434588522</v>
      </c>
      <c r="V222" s="350">
        <f t="shared" si="122"/>
        <v>28528733.07874243</v>
      </c>
      <c r="W222" s="365"/>
      <c r="X222" s="377">
        <f t="shared" si="100"/>
        <v>0</v>
      </c>
      <c r="Y222" s="377">
        <f t="shared" si="101"/>
        <v>0</v>
      </c>
      <c r="Z222" s="377">
        <f t="shared" si="102"/>
        <v>0</v>
      </c>
      <c r="AA222" s="377">
        <f t="shared" si="103"/>
        <v>0</v>
      </c>
      <c r="AB222" s="377">
        <f t="shared" si="104"/>
        <v>0</v>
      </c>
      <c r="AC222" s="377">
        <f t="shared" si="105"/>
        <v>0</v>
      </c>
      <c r="AD222" s="376"/>
      <c r="AE222" s="332">
        <v>207</v>
      </c>
      <c r="AF222" s="350">
        <v>7011586.0983367097</v>
      </c>
      <c r="AG222" s="350">
        <v>14078235.392271509</v>
      </c>
      <c r="AH222" s="350">
        <v>21198365.465875272</v>
      </c>
      <c r="AI222" s="350">
        <v>28372212.402356673</v>
      </c>
      <c r="AJ222" s="350">
        <v>35600810.771327935</v>
      </c>
      <c r="AK222" s="348">
        <v>106261210.13016811</v>
      </c>
      <c r="AL222" s="369"/>
      <c r="AM222" s="350">
        <v>8099927.7090611504</v>
      </c>
      <c r="AN222" s="350">
        <v>17288408.047624342</v>
      </c>
      <c r="AO222" s="350">
        <v>26212110.719457388</v>
      </c>
      <c r="AP222" s="350">
        <v>34865469.532950506</v>
      </c>
      <c r="AQ222" s="350">
        <v>43245346.018581882</v>
      </c>
      <c r="AR222" s="348">
        <v>129711262.02767527</v>
      </c>
      <c r="AS222" s="369"/>
      <c r="AT222" s="350">
        <f t="shared" si="123"/>
        <v>1088341.6107244408</v>
      </c>
      <c r="AU222" s="350">
        <f t="shared" si="106"/>
        <v>3210172.6553528327</v>
      </c>
      <c r="AV222" s="350">
        <f t="shared" si="107"/>
        <v>5013745.2535821162</v>
      </c>
      <c r="AW222" s="350">
        <f t="shared" si="108"/>
        <v>6493257.1305938326</v>
      </c>
      <c r="AX222" s="350">
        <f t="shared" si="109"/>
        <v>7644535.247253947</v>
      </c>
      <c r="AY222" s="350">
        <f t="shared" si="110"/>
        <v>23450051.897507161</v>
      </c>
      <c r="AZ222" s="365"/>
      <c r="BA222" s="377">
        <f t="shared" si="111"/>
        <v>0</v>
      </c>
      <c r="BB222" s="377">
        <f t="shared" si="112"/>
        <v>0</v>
      </c>
      <c r="BC222" s="377">
        <f t="shared" si="113"/>
        <v>0</v>
      </c>
      <c r="BD222" s="377">
        <f t="shared" si="114"/>
        <v>0</v>
      </c>
      <c r="BE222" s="377">
        <f t="shared" si="115"/>
        <v>0</v>
      </c>
      <c r="BF222" s="377">
        <f t="shared" si="116"/>
        <v>0</v>
      </c>
      <c r="BG222" s="328"/>
    </row>
    <row r="223" spans="2:59">
      <c r="B223" s="332">
        <v>208</v>
      </c>
      <c r="C223" s="350">
        <v>6663879.1708307993</v>
      </c>
      <c r="D223" s="350">
        <v>12438880.293048874</v>
      </c>
      <c r="E223" s="350">
        <v>18257318.575381797</v>
      </c>
      <c r="F223" s="350">
        <v>24119630.811537303</v>
      </c>
      <c r="G223" s="350">
        <v>30026768.575491339</v>
      </c>
      <c r="H223" s="348">
        <v>91506477.426290125</v>
      </c>
      <c r="I223" s="369"/>
      <c r="J223" s="350">
        <v>7847797.2429691032</v>
      </c>
      <c r="K223" s="350">
        <v>15935808.096022101</v>
      </c>
      <c r="L223" s="350">
        <v>23846818.369113281</v>
      </c>
      <c r="M223" s="350">
        <v>31575304.720428713</v>
      </c>
      <c r="N223" s="350">
        <v>39117925.391205028</v>
      </c>
      <c r="O223" s="348">
        <v>118323653.81973822</v>
      </c>
      <c r="P223" s="369"/>
      <c r="Q223" s="350">
        <f t="shared" si="117"/>
        <v>1183918.0721383039</v>
      </c>
      <c r="R223" s="350">
        <f t="shared" si="118"/>
        <v>3496927.8029732276</v>
      </c>
      <c r="S223" s="350">
        <f t="shared" si="119"/>
        <v>5589499.7937314846</v>
      </c>
      <c r="T223" s="350">
        <f t="shared" si="120"/>
        <v>7455673.9088914096</v>
      </c>
      <c r="U223" s="350">
        <f t="shared" si="121"/>
        <v>9091156.8157136887</v>
      </c>
      <c r="V223" s="350">
        <f t="shared" si="122"/>
        <v>26817176.393448099</v>
      </c>
      <c r="W223" s="365"/>
      <c r="X223" s="377">
        <f t="shared" si="100"/>
        <v>0</v>
      </c>
      <c r="Y223" s="377">
        <f t="shared" si="101"/>
        <v>0</v>
      </c>
      <c r="Z223" s="377">
        <f t="shared" si="102"/>
        <v>0</v>
      </c>
      <c r="AA223" s="377">
        <f t="shared" si="103"/>
        <v>0</v>
      </c>
      <c r="AB223" s="377">
        <f t="shared" si="104"/>
        <v>0</v>
      </c>
      <c r="AC223" s="377">
        <f t="shared" si="105"/>
        <v>0</v>
      </c>
      <c r="AD223" s="376"/>
      <c r="AE223" s="332">
        <v>208</v>
      </c>
      <c r="AF223" s="350">
        <v>6215770.9928216618</v>
      </c>
      <c r="AG223" s="350">
        <v>12480355.507886443</v>
      </c>
      <c r="AH223" s="350">
        <v>18792350.733491976</v>
      </c>
      <c r="AI223" s="350">
        <v>25151965.957399949</v>
      </c>
      <c r="AJ223" s="350">
        <v>31560118.325559296</v>
      </c>
      <c r="AK223" s="348">
        <v>94200561.517159313</v>
      </c>
      <c r="AL223" s="369"/>
      <c r="AM223" s="350">
        <v>7567930.650202658</v>
      </c>
      <c r="AN223" s="350">
        <v>16474924.55593322</v>
      </c>
      <c r="AO223" s="350">
        <v>25158794.163151488</v>
      </c>
      <c r="AP223" s="350">
        <v>33614495.487574905</v>
      </c>
      <c r="AQ223" s="350">
        <v>41839638.565518469</v>
      </c>
      <c r="AR223" s="348">
        <v>124655783.42238075</v>
      </c>
      <c r="AS223" s="369"/>
      <c r="AT223" s="350">
        <f t="shared" si="123"/>
        <v>1352159.6573809963</v>
      </c>
      <c r="AU223" s="350">
        <f t="shared" si="106"/>
        <v>3994569.048046777</v>
      </c>
      <c r="AV223" s="350">
        <f t="shared" si="107"/>
        <v>6366443.4296595119</v>
      </c>
      <c r="AW223" s="350">
        <f t="shared" si="108"/>
        <v>8462529.5301749557</v>
      </c>
      <c r="AX223" s="350">
        <f t="shared" si="109"/>
        <v>10279520.239959173</v>
      </c>
      <c r="AY223" s="350">
        <f t="shared" si="110"/>
        <v>30455221.905221432</v>
      </c>
      <c r="AZ223" s="365"/>
      <c r="BA223" s="377">
        <f t="shared" si="111"/>
        <v>0</v>
      </c>
      <c r="BB223" s="377">
        <f t="shared" si="112"/>
        <v>0</v>
      </c>
      <c r="BC223" s="377">
        <f t="shared" si="113"/>
        <v>0</v>
      </c>
      <c r="BD223" s="377">
        <f t="shared" si="114"/>
        <v>0</v>
      </c>
      <c r="BE223" s="377">
        <f t="shared" si="115"/>
        <v>0</v>
      </c>
      <c r="BF223" s="377">
        <f t="shared" si="116"/>
        <v>0</v>
      </c>
      <c r="BG223" s="328"/>
    </row>
    <row r="224" spans="2:59">
      <c r="B224" s="332">
        <v>209</v>
      </c>
      <c r="C224" s="350">
        <v>9810267.5537569877</v>
      </c>
      <c r="D224" s="350">
        <v>18524169.8916176</v>
      </c>
      <c r="E224" s="350">
        <v>27303684.947518714</v>
      </c>
      <c r="F224" s="350">
        <v>36149407.858882397</v>
      </c>
      <c r="G224" s="350">
        <v>45062746.635663159</v>
      </c>
      <c r="H224" s="348">
        <v>136850276.88743886</v>
      </c>
      <c r="I224" s="369"/>
      <c r="J224" s="350">
        <v>11551168.548512302</v>
      </c>
      <c r="K224" s="350">
        <v>23665670.248913318</v>
      </c>
      <c r="L224" s="350">
        <v>35508559.24351269</v>
      </c>
      <c r="M224" s="350">
        <v>47071546.269283481</v>
      </c>
      <c r="N224" s="350">
        <v>58349615.473465472</v>
      </c>
      <c r="O224" s="348">
        <v>176146559.78368726</v>
      </c>
      <c r="P224" s="369"/>
      <c r="Q224" s="350">
        <f t="shared" si="117"/>
        <v>1740900.9947553147</v>
      </c>
      <c r="R224" s="350">
        <f t="shared" si="118"/>
        <v>5141500.357295718</v>
      </c>
      <c r="S224" s="350">
        <f t="shared" si="119"/>
        <v>8204874.2959939763</v>
      </c>
      <c r="T224" s="350">
        <f t="shared" si="120"/>
        <v>10922138.410401084</v>
      </c>
      <c r="U224" s="350">
        <f t="shared" si="121"/>
        <v>13286868.837802313</v>
      </c>
      <c r="V224" s="350">
        <f t="shared" si="122"/>
        <v>39296282.8962484</v>
      </c>
      <c r="W224" s="365"/>
      <c r="X224" s="377">
        <f t="shared" si="100"/>
        <v>0</v>
      </c>
      <c r="Y224" s="377">
        <f t="shared" si="101"/>
        <v>0</v>
      </c>
      <c r="Z224" s="377">
        <f t="shared" si="102"/>
        <v>0</v>
      </c>
      <c r="AA224" s="377">
        <f t="shared" si="103"/>
        <v>0</v>
      </c>
      <c r="AB224" s="377">
        <f t="shared" si="104"/>
        <v>0</v>
      </c>
      <c r="AC224" s="377">
        <f t="shared" si="105"/>
        <v>0</v>
      </c>
      <c r="AD224" s="376"/>
      <c r="AE224" s="332">
        <v>209</v>
      </c>
      <c r="AF224" s="350">
        <v>6205834.5837430172</v>
      </c>
      <c r="AG224" s="350">
        <v>12460404.657393962</v>
      </c>
      <c r="AH224" s="350">
        <v>18762309.651757628</v>
      </c>
      <c r="AI224" s="350">
        <v>25111758.520032406</v>
      </c>
      <c r="AJ224" s="350">
        <v>31509666.942035779</v>
      </c>
      <c r="AK224" s="348">
        <v>94049974.354962796</v>
      </c>
      <c r="AL224" s="369"/>
      <c r="AM224" s="350">
        <v>7188137.1238913732</v>
      </c>
      <c r="AN224" s="350">
        <v>15358110.947093681</v>
      </c>
      <c r="AO224" s="350">
        <v>23294304.555260081</v>
      </c>
      <c r="AP224" s="350">
        <v>30991786.025271557</v>
      </c>
      <c r="AQ224" s="350">
        <v>38447796.824568003</v>
      </c>
      <c r="AR224" s="348">
        <v>115280135.47608469</v>
      </c>
      <c r="AS224" s="369"/>
      <c r="AT224" s="350">
        <f t="shared" si="123"/>
        <v>982302.540148356</v>
      </c>
      <c r="AU224" s="350">
        <f t="shared" si="106"/>
        <v>2897706.2896997184</v>
      </c>
      <c r="AV224" s="350">
        <f t="shared" si="107"/>
        <v>4531994.9035024531</v>
      </c>
      <c r="AW224" s="350">
        <f t="shared" si="108"/>
        <v>5880027.5052391514</v>
      </c>
      <c r="AX224" s="350">
        <f t="shared" si="109"/>
        <v>6938129.8825322241</v>
      </c>
      <c r="AY224" s="350">
        <f t="shared" si="110"/>
        <v>21230161.121121898</v>
      </c>
      <c r="AZ224" s="365"/>
      <c r="BA224" s="377">
        <f t="shared" si="111"/>
        <v>0</v>
      </c>
      <c r="BB224" s="377">
        <f t="shared" si="112"/>
        <v>0</v>
      </c>
      <c r="BC224" s="377">
        <f t="shared" si="113"/>
        <v>0</v>
      </c>
      <c r="BD224" s="377">
        <f t="shared" si="114"/>
        <v>0</v>
      </c>
      <c r="BE224" s="377">
        <f t="shared" si="115"/>
        <v>0</v>
      </c>
      <c r="BF224" s="377">
        <f t="shared" si="116"/>
        <v>0</v>
      </c>
      <c r="BG224" s="328"/>
    </row>
    <row r="225" spans="2:59">
      <c r="B225" s="332">
        <v>210</v>
      </c>
      <c r="C225" s="350">
        <v>7811195.0414206302</v>
      </c>
      <c r="D225" s="350">
        <v>14564316.304036602</v>
      </c>
      <c r="E225" s="350">
        <v>21368226.382406607</v>
      </c>
      <c r="F225" s="350">
        <v>28223440.919403233</v>
      </c>
      <c r="G225" s="350">
        <v>35131074.776840925</v>
      </c>
      <c r="H225" s="348">
        <v>107098253.424108</v>
      </c>
      <c r="I225" s="369"/>
      <c r="J225" s="350">
        <v>9040858.3701003157</v>
      </c>
      <c r="K225" s="350">
        <v>18194508.648600191</v>
      </c>
      <c r="L225" s="350">
        <v>27137636.13093894</v>
      </c>
      <c r="M225" s="350">
        <v>35863793.212116115</v>
      </c>
      <c r="N225" s="350">
        <v>44368878.494469509</v>
      </c>
      <c r="O225" s="348">
        <v>134605674.85622507</v>
      </c>
      <c r="P225" s="369"/>
      <c r="Q225" s="350">
        <f t="shared" si="117"/>
        <v>1229663.3286796855</v>
      </c>
      <c r="R225" s="350">
        <f t="shared" si="118"/>
        <v>3630192.3445635885</v>
      </c>
      <c r="S225" s="350">
        <f t="shared" si="119"/>
        <v>5769409.7485323325</v>
      </c>
      <c r="T225" s="350">
        <f t="shared" si="120"/>
        <v>7640352.2927128822</v>
      </c>
      <c r="U225" s="350">
        <f t="shared" si="121"/>
        <v>9237803.7176285833</v>
      </c>
      <c r="V225" s="350">
        <f t="shared" si="122"/>
        <v>27507421.432117075</v>
      </c>
      <c r="W225" s="365"/>
      <c r="X225" s="377">
        <f t="shared" si="100"/>
        <v>0</v>
      </c>
      <c r="Y225" s="377">
        <f t="shared" si="101"/>
        <v>0</v>
      </c>
      <c r="Z225" s="377">
        <f t="shared" si="102"/>
        <v>0</v>
      </c>
      <c r="AA225" s="377">
        <f t="shared" si="103"/>
        <v>0</v>
      </c>
      <c r="AB225" s="377">
        <f t="shared" si="104"/>
        <v>0</v>
      </c>
      <c r="AC225" s="377">
        <f t="shared" si="105"/>
        <v>0</v>
      </c>
      <c r="AD225" s="376"/>
      <c r="AE225" s="332">
        <v>210</v>
      </c>
      <c r="AF225" s="350">
        <v>6608621.289845176</v>
      </c>
      <c r="AG225" s="350">
        <v>13269141.223108964</v>
      </c>
      <c r="AH225" s="350">
        <v>19980068.327326789</v>
      </c>
      <c r="AI225" s="350">
        <v>26741625.117703795</v>
      </c>
      <c r="AJ225" s="350">
        <v>33554786.705815203</v>
      </c>
      <c r="AK225" s="348">
        <v>100154242.66379993</v>
      </c>
      <c r="AL225" s="369"/>
      <c r="AM225" s="350">
        <v>7541678.0097094215</v>
      </c>
      <c r="AN225" s="350">
        <v>16019791.90435552</v>
      </c>
      <c r="AO225" s="350">
        <v>24245567.755285107</v>
      </c>
      <c r="AP225" s="350">
        <v>32213785.496354058</v>
      </c>
      <c r="AQ225" s="350">
        <v>39921393.109549999</v>
      </c>
      <c r="AR225" s="348">
        <v>119942216.2752541</v>
      </c>
      <c r="AS225" s="369"/>
      <c r="AT225" s="350">
        <f t="shared" si="123"/>
        <v>933056.7198642455</v>
      </c>
      <c r="AU225" s="350">
        <f t="shared" si="106"/>
        <v>2750650.6812465563</v>
      </c>
      <c r="AV225" s="350">
        <f t="shared" si="107"/>
        <v>4265499.4279583171</v>
      </c>
      <c r="AW225" s="350">
        <f t="shared" si="108"/>
        <v>5472160.378650263</v>
      </c>
      <c r="AX225" s="350">
        <f t="shared" si="109"/>
        <v>6366606.4037347957</v>
      </c>
      <c r="AY225" s="350">
        <f t="shared" si="110"/>
        <v>19787973.611454174</v>
      </c>
      <c r="AZ225" s="365"/>
      <c r="BA225" s="377">
        <f t="shared" si="111"/>
        <v>0</v>
      </c>
      <c r="BB225" s="377">
        <f t="shared" si="112"/>
        <v>0</v>
      </c>
      <c r="BC225" s="377">
        <f t="shared" si="113"/>
        <v>0</v>
      </c>
      <c r="BD225" s="377">
        <f t="shared" si="114"/>
        <v>0</v>
      </c>
      <c r="BE225" s="377">
        <f t="shared" si="115"/>
        <v>0</v>
      </c>
      <c r="BF225" s="377">
        <f t="shared" si="116"/>
        <v>0</v>
      </c>
      <c r="BG225" s="328"/>
    </row>
    <row r="226" spans="2:59">
      <c r="B226" s="332">
        <v>211</v>
      </c>
      <c r="C226" s="350">
        <v>7448247.5520335874</v>
      </c>
      <c r="D226" s="350">
        <v>13891335.767105535</v>
      </c>
      <c r="E226" s="350">
        <v>20382882.350842148</v>
      </c>
      <c r="F226" s="350">
        <v>26923378.140201312</v>
      </c>
      <c r="G226" s="350">
        <v>33513886.321196642</v>
      </c>
      <c r="H226" s="348">
        <v>102159730.13137923</v>
      </c>
      <c r="I226" s="369"/>
      <c r="J226" s="350">
        <v>8393123.8091003932</v>
      </c>
      <c r="K226" s="350">
        <v>16677699.268380191</v>
      </c>
      <c r="L226" s="350">
        <v>24750948.58153566</v>
      </c>
      <c r="M226" s="350">
        <v>32606930.608875617</v>
      </c>
      <c r="N226" s="350">
        <v>40241653.180674478</v>
      </c>
      <c r="O226" s="348">
        <v>122670355.44856633</v>
      </c>
      <c r="P226" s="369"/>
      <c r="Q226" s="350">
        <f t="shared" si="117"/>
        <v>944876.25706680585</v>
      </c>
      <c r="R226" s="350">
        <f t="shared" si="118"/>
        <v>2786363.5012746565</v>
      </c>
      <c r="S226" s="350">
        <f t="shared" si="119"/>
        <v>4368066.2306935117</v>
      </c>
      <c r="T226" s="350">
        <f t="shared" si="120"/>
        <v>5683552.4686743058</v>
      </c>
      <c r="U226" s="350">
        <f t="shared" si="121"/>
        <v>6727766.8594778366</v>
      </c>
      <c r="V226" s="350">
        <f t="shared" si="122"/>
        <v>20510625.317187101</v>
      </c>
      <c r="W226" s="365"/>
      <c r="X226" s="377">
        <f t="shared" si="100"/>
        <v>0</v>
      </c>
      <c r="Y226" s="377">
        <f t="shared" si="101"/>
        <v>0</v>
      </c>
      <c r="Z226" s="377">
        <f t="shared" si="102"/>
        <v>0</v>
      </c>
      <c r="AA226" s="377">
        <f t="shared" si="103"/>
        <v>0</v>
      </c>
      <c r="AB226" s="377">
        <f t="shared" si="104"/>
        <v>0</v>
      </c>
      <c r="AC226" s="377">
        <f t="shared" si="105"/>
        <v>0</v>
      </c>
      <c r="AD226" s="376"/>
      <c r="AE226" s="332">
        <v>211</v>
      </c>
      <c r="AF226" s="350">
        <v>7399560.7879554126</v>
      </c>
      <c r="AG226" s="350">
        <v>14857231.603698093</v>
      </c>
      <c r="AH226" s="350">
        <v>22371342.470892414</v>
      </c>
      <c r="AI226" s="350">
        <v>29942142.536026649</v>
      </c>
      <c r="AJ226" s="350">
        <v>37570723.614936419</v>
      </c>
      <c r="AK226" s="348">
        <v>112141001.01350898</v>
      </c>
      <c r="AL226" s="369"/>
      <c r="AM226" s="350">
        <v>8875381.155196961</v>
      </c>
      <c r="AN226" s="350">
        <v>19215582.529134236</v>
      </c>
      <c r="AO226" s="350">
        <v>29286156.650447644</v>
      </c>
      <c r="AP226" s="350">
        <v>39081136.770925783</v>
      </c>
      <c r="AQ226" s="350">
        <v>48597542.193720967</v>
      </c>
      <c r="AR226" s="348">
        <v>145055799.2994256</v>
      </c>
      <c r="AS226" s="369"/>
      <c r="AT226" s="350">
        <f t="shared" si="123"/>
        <v>1475820.3672415484</v>
      </c>
      <c r="AU226" s="350">
        <f t="shared" si="106"/>
        <v>4358350.9254361428</v>
      </c>
      <c r="AV226" s="350">
        <f t="shared" si="107"/>
        <v>6914814.1795552298</v>
      </c>
      <c r="AW226" s="350">
        <f t="shared" si="108"/>
        <v>9138994.2348991334</v>
      </c>
      <c r="AX226" s="350">
        <f t="shared" si="109"/>
        <v>11026818.578784548</v>
      </c>
      <c r="AY226" s="350">
        <f t="shared" si="110"/>
        <v>32914798.285916626</v>
      </c>
      <c r="AZ226" s="365"/>
      <c r="BA226" s="377">
        <f t="shared" si="111"/>
        <v>0</v>
      </c>
      <c r="BB226" s="377">
        <f t="shared" si="112"/>
        <v>0</v>
      </c>
      <c r="BC226" s="377">
        <f t="shared" si="113"/>
        <v>0</v>
      </c>
      <c r="BD226" s="377">
        <f t="shared" si="114"/>
        <v>0</v>
      </c>
      <c r="BE226" s="377">
        <f t="shared" si="115"/>
        <v>0</v>
      </c>
      <c r="BF226" s="377">
        <f t="shared" si="116"/>
        <v>0</v>
      </c>
      <c r="BG226" s="328"/>
    </row>
    <row r="227" spans="2:59">
      <c r="B227" s="332">
        <v>212</v>
      </c>
      <c r="C227" s="350">
        <v>6856234.5725810928</v>
      </c>
      <c r="D227" s="350">
        <v>12804764.067470461</v>
      </c>
      <c r="E227" s="350">
        <v>18798038.195829999</v>
      </c>
      <c r="F227" s="350">
        <v>24836504.817974605</v>
      </c>
      <c r="G227" s="350">
        <v>30921143.205419399</v>
      </c>
      <c r="H227" s="348">
        <v>94216684.85927555</v>
      </c>
      <c r="I227" s="369"/>
      <c r="J227" s="350">
        <v>7806989.8894482628</v>
      </c>
      <c r="K227" s="350">
        <v>15609773.249086279</v>
      </c>
      <c r="L227" s="350">
        <v>23215448.366928011</v>
      </c>
      <c r="M227" s="350">
        <v>30618669.52407654</v>
      </c>
      <c r="N227" s="350">
        <v>37816001.587864518</v>
      </c>
      <c r="O227" s="348">
        <v>115066882.61740361</v>
      </c>
      <c r="P227" s="369"/>
      <c r="Q227" s="350">
        <f t="shared" si="117"/>
        <v>950755.31686716992</v>
      </c>
      <c r="R227" s="350">
        <f t="shared" si="118"/>
        <v>2805009.1816158183</v>
      </c>
      <c r="S227" s="350">
        <f t="shared" si="119"/>
        <v>4417410.1710980125</v>
      </c>
      <c r="T227" s="350">
        <f t="shared" si="120"/>
        <v>5782164.7061019354</v>
      </c>
      <c r="U227" s="350">
        <f t="shared" si="121"/>
        <v>6894858.3824451193</v>
      </c>
      <c r="V227" s="350">
        <f t="shared" si="122"/>
        <v>20850197.758128062</v>
      </c>
      <c r="W227" s="365"/>
      <c r="X227" s="377">
        <f t="shared" si="100"/>
        <v>0</v>
      </c>
      <c r="Y227" s="377">
        <f t="shared" si="101"/>
        <v>0</v>
      </c>
      <c r="Z227" s="377">
        <f t="shared" si="102"/>
        <v>0</v>
      </c>
      <c r="AA227" s="377">
        <f t="shared" si="103"/>
        <v>0</v>
      </c>
      <c r="AB227" s="377">
        <f t="shared" si="104"/>
        <v>0</v>
      </c>
      <c r="AC227" s="377">
        <f t="shared" si="105"/>
        <v>0</v>
      </c>
      <c r="AD227" s="376"/>
      <c r="AE227" s="332">
        <v>212</v>
      </c>
      <c r="AF227" s="350">
        <v>6086049.4464532435</v>
      </c>
      <c r="AG227" s="350">
        <v>12219893.689460326</v>
      </c>
      <c r="AH227" s="350">
        <v>18400159.193639312</v>
      </c>
      <c r="AI227" s="350">
        <v>24627050.878969975</v>
      </c>
      <c r="AJ227" s="350">
        <v>30901466.750800535</v>
      </c>
      <c r="AK227" s="348">
        <v>92234619.959323391</v>
      </c>
      <c r="AL227" s="369"/>
      <c r="AM227" s="350">
        <v>7459180.7137964275</v>
      </c>
      <c r="AN227" s="350">
        <v>16276982.678105561</v>
      </c>
      <c r="AO227" s="350">
        <v>24877790.171813067</v>
      </c>
      <c r="AP227" s="350">
        <v>33256650.564301796</v>
      </c>
      <c r="AQ227" s="350">
        <v>41411273.58859995</v>
      </c>
      <c r="AR227" s="348">
        <v>123281877.71661681</v>
      </c>
      <c r="AS227" s="369"/>
      <c r="AT227" s="350">
        <f t="shared" si="123"/>
        <v>1373131.267343184</v>
      </c>
      <c r="AU227" s="350">
        <f t="shared" si="106"/>
        <v>4057088.9886452351</v>
      </c>
      <c r="AV227" s="350">
        <f t="shared" si="107"/>
        <v>6477630.9781737551</v>
      </c>
      <c r="AW227" s="350">
        <f t="shared" si="108"/>
        <v>8629599.6853318214</v>
      </c>
      <c r="AX227" s="350">
        <f t="shared" si="109"/>
        <v>10509806.837799415</v>
      </c>
      <c r="AY227" s="350">
        <f t="shared" si="110"/>
        <v>31047257.757293418</v>
      </c>
      <c r="AZ227" s="365"/>
      <c r="BA227" s="377">
        <f t="shared" si="111"/>
        <v>0</v>
      </c>
      <c r="BB227" s="377">
        <f t="shared" si="112"/>
        <v>0</v>
      </c>
      <c r="BC227" s="377">
        <f t="shared" si="113"/>
        <v>0</v>
      </c>
      <c r="BD227" s="377">
        <f t="shared" si="114"/>
        <v>0</v>
      </c>
      <c r="BE227" s="377">
        <f t="shared" si="115"/>
        <v>0</v>
      </c>
      <c r="BF227" s="377">
        <f t="shared" si="116"/>
        <v>0</v>
      </c>
      <c r="BG227" s="328"/>
    </row>
    <row r="228" spans="2:59">
      <c r="B228" s="332">
        <v>213</v>
      </c>
      <c r="C228" s="350">
        <v>6064113.2818049975</v>
      </c>
      <c r="D228" s="350">
        <v>11394736.787946276</v>
      </c>
      <c r="E228" s="350">
        <v>16765480.02774014</v>
      </c>
      <c r="F228" s="350">
        <v>22176723.4685781</v>
      </c>
      <c r="G228" s="350">
        <v>27629335.578698583</v>
      </c>
      <c r="H228" s="348">
        <v>84030389.144768089</v>
      </c>
      <c r="I228" s="369"/>
      <c r="J228" s="350">
        <v>7102777.3780665919</v>
      </c>
      <c r="K228" s="350">
        <v>14461979.221767133</v>
      </c>
      <c r="L228" s="350">
        <v>21653672.093008317</v>
      </c>
      <c r="M228" s="350">
        <v>28672851.349483155</v>
      </c>
      <c r="N228" s="350">
        <v>35516472.660184763</v>
      </c>
      <c r="O228" s="348">
        <v>107407752.70250997</v>
      </c>
      <c r="P228" s="369"/>
      <c r="Q228" s="350">
        <f t="shared" si="117"/>
        <v>1038664.0962615944</v>
      </c>
      <c r="R228" s="350">
        <f t="shared" si="118"/>
        <v>3067242.4338208567</v>
      </c>
      <c r="S228" s="350">
        <f t="shared" si="119"/>
        <v>4888192.0652681775</v>
      </c>
      <c r="T228" s="350">
        <f t="shared" si="120"/>
        <v>6496127.8809050545</v>
      </c>
      <c r="U228" s="350">
        <f t="shared" si="121"/>
        <v>7887137.0814861804</v>
      </c>
      <c r="V228" s="350">
        <f t="shared" si="122"/>
        <v>23377363.55774188</v>
      </c>
      <c r="W228" s="365"/>
      <c r="X228" s="377">
        <f t="shared" si="100"/>
        <v>0</v>
      </c>
      <c r="Y228" s="377">
        <f t="shared" si="101"/>
        <v>0</v>
      </c>
      <c r="Z228" s="377">
        <f t="shared" si="102"/>
        <v>0</v>
      </c>
      <c r="AA228" s="377">
        <f t="shared" si="103"/>
        <v>0</v>
      </c>
      <c r="AB228" s="377">
        <f t="shared" si="104"/>
        <v>0</v>
      </c>
      <c r="AC228" s="377">
        <f t="shared" si="105"/>
        <v>0</v>
      </c>
      <c r="AD228" s="376"/>
      <c r="AE228" s="332">
        <v>213</v>
      </c>
      <c r="AF228" s="350">
        <v>7130871.4211599957</v>
      </c>
      <c r="AG228" s="350">
        <v>14317742.806142917</v>
      </c>
      <c r="AH228" s="350">
        <v>21559004.818007424</v>
      </c>
      <c r="AI228" s="350">
        <v>28854897.556351833</v>
      </c>
      <c r="AJ228" s="350">
        <v>36206473.191509292</v>
      </c>
      <c r="AK228" s="348">
        <v>108068989.79317145</v>
      </c>
      <c r="AL228" s="369"/>
      <c r="AM228" s="350">
        <v>8261968.9934590682</v>
      </c>
      <c r="AN228" s="350">
        <v>17654418.874722868</v>
      </c>
      <c r="AO228" s="350">
        <v>26778312.541020915</v>
      </c>
      <c r="AP228" s="350">
        <v>35627982.249246269</v>
      </c>
      <c r="AQ228" s="350">
        <v>44200260.686226629</v>
      </c>
      <c r="AR228" s="348">
        <v>132522943.34467575</v>
      </c>
      <c r="AS228" s="369"/>
      <c r="AT228" s="350">
        <f t="shared" si="123"/>
        <v>1131097.5722990725</v>
      </c>
      <c r="AU228" s="350">
        <f t="shared" si="106"/>
        <v>3336676.0685799513</v>
      </c>
      <c r="AV228" s="350">
        <f t="shared" si="107"/>
        <v>5219307.7230134904</v>
      </c>
      <c r="AW228" s="350">
        <f t="shared" si="108"/>
        <v>6773084.6928944364</v>
      </c>
      <c r="AX228" s="350">
        <f t="shared" si="109"/>
        <v>7993787.4947173372</v>
      </c>
      <c r="AY228" s="350">
        <f t="shared" si="110"/>
        <v>24453953.551504299</v>
      </c>
      <c r="AZ228" s="365"/>
      <c r="BA228" s="377">
        <f t="shared" si="111"/>
        <v>0</v>
      </c>
      <c r="BB228" s="377">
        <f t="shared" si="112"/>
        <v>0</v>
      </c>
      <c r="BC228" s="377">
        <f t="shared" si="113"/>
        <v>0</v>
      </c>
      <c r="BD228" s="377">
        <f t="shared" si="114"/>
        <v>0</v>
      </c>
      <c r="BE228" s="377">
        <f t="shared" si="115"/>
        <v>0</v>
      </c>
      <c r="BF228" s="377">
        <f t="shared" si="116"/>
        <v>0</v>
      </c>
      <c r="BG228" s="328"/>
    </row>
    <row r="229" spans="2:59">
      <c r="B229" s="332">
        <v>214</v>
      </c>
      <c r="C229" s="350">
        <v>5644687.1739466209</v>
      </c>
      <c r="D229" s="350">
        <v>10531755.236238603</v>
      </c>
      <c r="E229" s="350">
        <v>15455580.240267765</v>
      </c>
      <c r="F229" s="350">
        <v>20416533.233443204</v>
      </c>
      <c r="G229" s="350">
        <v>25415420.095537089</v>
      </c>
      <c r="H229" s="348">
        <v>77463975.979433268</v>
      </c>
      <c r="I229" s="369"/>
      <c r="J229" s="350">
        <v>6481150.3548790226</v>
      </c>
      <c r="K229" s="350">
        <v>13000421.642150283</v>
      </c>
      <c r="L229" s="350">
        <v>19362107.008646511</v>
      </c>
      <c r="M229" s="350">
        <v>25561694.38865114</v>
      </c>
      <c r="N229" s="350">
        <v>31596307.167422097</v>
      </c>
      <c r="O229" s="348">
        <v>96001680.561749056</v>
      </c>
      <c r="P229" s="369"/>
      <c r="Q229" s="350">
        <f t="shared" si="117"/>
        <v>836463.18093240168</v>
      </c>
      <c r="R229" s="350">
        <f t="shared" si="118"/>
        <v>2468666.4059116803</v>
      </c>
      <c r="S229" s="350">
        <f t="shared" si="119"/>
        <v>3906526.7683787458</v>
      </c>
      <c r="T229" s="350">
        <f t="shared" si="120"/>
        <v>5145161.1552079357</v>
      </c>
      <c r="U229" s="350">
        <f t="shared" si="121"/>
        <v>6180887.0718850084</v>
      </c>
      <c r="V229" s="350">
        <f t="shared" si="122"/>
        <v>18537704.582315788</v>
      </c>
      <c r="W229" s="365"/>
      <c r="X229" s="377">
        <f t="shared" si="100"/>
        <v>0</v>
      </c>
      <c r="Y229" s="377">
        <f t="shared" si="101"/>
        <v>0</v>
      </c>
      <c r="Z229" s="377">
        <f t="shared" si="102"/>
        <v>0</v>
      </c>
      <c r="AA229" s="377">
        <f t="shared" si="103"/>
        <v>0</v>
      </c>
      <c r="AB229" s="377">
        <f t="shared" si="104"/>
        <v>0</v>
      </c>
      <c r="AC229" s="377">
        <f t="shared" si="105"/>
        <v>0</v>
      </c>
      <c r="AD229" s="376"/>
      <c r="AE229" s="332">
        <v>214</v>
      </c>
      <c r="AF229" s="350">
        <v>6850635.0728749391</v>
      </c>
      <c r="AG229" s="350">
        <v>13755069.365170196</v>
      </c>
      <c r="AH229" s="350">
        <v>20711756.785329316</v>
      </c>
      <c r="AI229" s="350">
        <v>27720927.99726868</v>
      </c>
      <c r="AJ229" s="350">
        <v>34783593.822045237</v>
      </c>
      <c r="AK229" s="348">
        <v>103821983.04268837</v>
      </c>
      <c r="AL229" s="369"/>
      <c r="AM229" s="350">
        <v>8130496.3615561966</v>
      </c>
      <c r="AN229" s="350">
        <v>17533635.5222212</v>
      </c>
      <c r="AO229" s="350">
        <v>26684559.310263567</v>
      </c>
      <c r="AP229" s="350">
        <v>35577768.071097106</v>
      </c>
      <c r="AQ229" s="350">
        <v>44210414.64514567</v>
      </c>
      <c r="AR229" s="348">
        <v>132136873.91028373</v>
      </c>
      <c r="AS229" s="369"/>
      <c r="AT229" s="350">
        <f t="shared" si="123"/>
        <v>1279861.2886812575</v>
      </c>
      <c r="AU229" s="350">
        <f t="shared" si="106"/>
        <v>3778566.1570510045</v>
      </c>
      <c r="AV229" s="350">
        <f t="shared" si="107"/>
        <v>5972802.5249342509</v>
      </c>
      <c r="AW229" s="350">
        <f t="shared" si="108"/>
        <v>7856840.0738284253</v>
      </c>
      <c r="AX229" s="350">
        <f t="shared" si="109"/>
        <v>9426820.8231004328</v>
      </c>
      <c r="AY229" s="350">
        <f t="shared" si="110"/>
        <v>28314890.86759536</v>
      </c>
      <c r="AZ229" s="365"/>
      <c r="BA229" s="377">
        <f t="shared" si="111"/>
        <v>0</v>
      </c>
      <c r="BB229" s="377">
        <f t="shared" si="112"/>
        <v>0</v>
      </c>
      <c r="BC229" s="377">
        <f t="shared" si="113"/>
        <v>0</v>
      </c>
      <c r="BD229" s="377">
        <f t="shared" si="114"/>
        <v>0</v>
      </c>
      <c r="BE229" s="377">
        <f t="shared" si="115"/>
        <v>0</v>
      </c>
      <c r="BF229" s="377">
        <f t="shared" si="116"/>
        <v>0</v>
      </c>
      <c r="BG229" s="328"/>
    </row>
    <row r="230" spans="2:59">
      <c r="B230" s="332">
        <v>215</v>
      </c>
      <c r="C230" s="350">
        <v>9754897.1181524135</v>
      </c>
      <c r="D230" s="350">
        <v>18320079.375129607</v>
      </c>
      <c r="E230" s="350">
        <v>26949722.336836241</v>
      </c>
      <c r="F230" s="350">
        <v>35644440.245907679</v>
      </c>
      <c r="G230" s="350">
        <v>44405629.81382817</v>
      </c>
      <c r="H230" s="348">
        <v>135074768.8898541</v>
      </c>
      <c r="I230" s="369"/>
      <c r="J230" s="350">
        <v>10984363.243073303</v>
      </c>
      <c r="K230" s="350">
        <v>21945215.858446531</v>
      </c>
      <c r="L230" s="350">
        <v>32627661.038630955</v>
      </c>
      <c r="M230" s="350">
        <v>43023627.569908857</v>
      </c>
      <c r="N230" s="350">
        <v>53127616.971211545</v>
      </c>
      <c r="O230" s="348">
        <v>161708484.6812712</v>
      </c>
      <c r="P230" s="369"/>
      <c r="Q230" s="350">
        <f t="shared" si="117"/>
        <v>1229466.1249208897</v>
      </c>
      <c r="R230" s="350">
        <f t="shared" si="118"/>
        <v>3625136.4833169244</v>
      </c>
      <c r="S230" s="350">
        <f t="shared" si="119"/>
        <v>5677938.7017947137</v>
      </c>
      <c r="T230" s="350">
        <f t="shared" si="120"/>
        <v>7379187.3240011781</v>
      </c>
      <c r="U230" s="350">
        <f t="shared" si="121"/>
        <v>8721987.1573833749</v>
      </c>
      <c r="V230" s="350">
        <f t="shared" si="122"/>
        <v>26633715.791417092</v>
      </c>
      <c r="W230" s="365"/>
      <c r="X230" s="377">
        <f t="shared" si="100"/>
        <v>0</v>
      </c>
      <c r="Y230" s="377">
        <f t="shared" si="101"/>
        <v>0</v>
      </c>
      <c r="Z230" s="377">
        <f t="shared" si="102"/>
        <v>0</v>
      </c>
      <c r="AA230" s="377">
        <f t="shared" si="103"/>
        <v>0</v>
      </c>
      <c r="AB230" s="377">
        <f t="shared" si="104"/>
        <v>0</v>
      </c>
      <c r="AC230" s="377">
        <f t="shared" si="105"/>
        <v>0</v>
      </c>
      <c r="AD230" s="376"/>
      <c r="AE230" s="332">
        <v>215</v>
      </c>
      <c r="AF230" s="350">
        <v>5900978.071296664</v>
      </c>
      <c r="AG230" s="350">
        <v>11848297.541700862</v>
      </c>
      <c r="AH230" s="350">
        <v>17840626.643825516</v>
      </c>
      <c r="AI230" s="350">
        <v>23878164.066215247</v>
      </c>
      <c r="AJ230" s="350">
        <v>29961780.506670721</v>
      </c>
      <c r="AK230" s="348">
        <v>89429846.829709008</v>
      </c>
      <c r="AL230" s="369"/>
      <c r="AM230" s="350">
        <v>6932643.596326868</v>
      </c>
      <c r="AN230" s="350">
        <v>14893162.090160541</v>
      </c>
      <c r="AO230" s="350">
        <v>22634308.313008271</v>
      </c>
      <c r="AP230" s="350">
        <v>30151365.008480586</v>
      </c>
      <c r="AQ230" s="350">
        <v>37441808.018591791</v>
      </c>
      <c r="AR230" s="348">
        <v>112053287.02656806</v>
      </c>
      <c r="AS230" s="369"/>
      <c r="AT230" s="350">
        <f t="shared" si="123"/>
        <v>1031665.5250302041</v>
      </c>
      <c r="AU230" s="350">
        <f t="shared" si="106"/>
        <v>3044864.5484596789</v>
      </c>
      <c r="AV230" s="350">
        <f t="shared" si="107"/>
        <v>4793681.6691827551</v>
      </c>
      <c r="AW230" s="350">
        <f t="shared" si="108"/>
        <v>6273200.9422653392</v>
      </c>
      <c r="AX230" s="350">
        <f t="shared" si="109"/>
        <v>7480027.5119210705</v>
      </c>
      <c r="AY230" s="350">
        <f t="shared" si="110"/>
        <v>22623440.196859047</v>
      </c>
      <c r="AZ230" s="365"/>
      <c r="BA230" s="377">
        <f t="shared" si="111"/>
        <v>0</v>
      </c>
      <c r="BB230" s="377">
        <f t="shared" si="112"/>
        <v>0</v>
      </c>
      <c r="BC230" s="377">
        <f t="shared" si="113"/>
        <v>0</v>
      </c>
      <c r="BD230" s="377">
        <f t="shared" si="114"/>
        <v>0</v>
      </c>
      <c r="BE230" s="377">
        <f t="shared" si="115"/>
        <v>0</v>
      </c>
      <c r="BF230" s="377">
        <f t="shared" si="116"/>
        <v>0</v>
      </c>
      <c r="BG230" s="328"/>
    </row>
    <row r="231" spans="2:59">
      <c r="B231" s="332">
        <v>216</v>
      </c>
      <c r="C231" s="350">
        <v>7392901.5651798528</v>
      </c>
      <c r="D231" s="350">
        <v>13826755.402134435</v>
      </c>
      <c r="E231" s="350">
        <v>20309010.992711507</v>
      </c>
      <c r="F231" s="350">
        <v>26840146.805513941</v>
      </c>
      <c r="G231" s="350">
        <v>33421219.427408252</v>
      </c>
      <c r="H231" s="348">
        <v>101790034.19294798</v>
      </c>
      <c r="I231" s="369"/>
      <c r="J231" s="350">
        <v>8447937.158555178</v>
      </c>
      <c r="K231" s="350">
        <v>16939824.417527437</v>
      </c>
      <c r="L231" s="350">
        <v>25220600.727717057</v>
      </c>
      <c r="M231" s="350">
        <v>33284411.455538809</v>
      </c>
      <c r="N231" s="350">
        <v>41127504.273871407</v>
      </c>
      <c r="O231" s="348">
        <v>125020278.03320989</v>
      </c>
      <c r="P231" s="369"/>
      <c r="Q231" s="350">
        <f t="shared" si="117"/>
        <v>1055035.5933753252</v>
      </c>
      <c r="R231" s="350">
        <f t="shared" si="118"/>
        <v>3113069.015393002</v>
      </c>
      <c r="S231" s="350">
        <f t="shared" si="119"/>
        <v>4911589.7350055501</v>
      </c>
      <c r="T231" s="350">
        <f t="shared" si="120"/>
        <v>6444264.6500248685</v>
      </c>
      <c r="U231" s="350">
        <f t="shared" si="121"/>
        <v>7706284.846463155</v>
      </c>
      <c r="V231" s="350">
        <f t="shared" si="122"/>
        <v>23230243.840261906</v>
      </c>
      <c r="W231" s="365"/>
      <c r="X231" s="377">
        <f t="shared" si="100"/>
        <v>0</v>
      </c>
      <c r="Y231" s="377">
        <f t="shared" si="101"/>
        <v>0</v>
      </c>
      <c r="Z231" s="377">
        <f t="shared" si="102"/>
        <v>0</v>
      </c>
      <c r="AA231" s="377">
        <f t="shared" si="103"/>
        <v>0</v>
      </c>
      <c r="AB231" s="377">
        <f t="shared" si="104"/>
        <v>0</v>
      </c>
      <c r="AC231" s="377">
        <f t="shared" si="105"/>
        <v>0</v>
      </c>
      <c r="AD231" s="376"/>
      <c r="AE231" s="332">
        <v>216</v>
      </c>
      <c r="AF231" s="350">
        <v>5260720.2792721856</v>
      </c>
      <c r="AG231" s="350">
        <v>10562753.902723819</v>
      </c>
      <c r="AH231" s="350">
        <v>15904913.600106504</v>
      </c>
      <c r="AI231" s="350">
        <v>21287376.502201505</v>
      </c>
      <c r="AJ231" s="350">
        <v>26710918.835851502</v>
      </c>
      <c r="AK231" s="348">
        <v>79726683.120155513</v>
      </c>
      <c r="AL231" s="369"/>
      <c r="AM231" s="350">
        <v>6304294.0069837747</v>
      </c>
      <c r="AN231" s="350">
        <v>13644535.327914882</v>
      </c>
      <c r="AO231" s="350">
        <v>20792915.504372574</v>
      </c>
      <c r="AP231" s="350">
        <v>27745194.075886842</v>
      </c>
      <c r="AQ231" s="350">
        <v>34499246.181474134</v>
      </c>
      <c r="AR231" s="348">
        <v>102986185.09663221</v>
      </c>
      <c r="AS231" s="369"/>
      <c r="AT231" s="350">
        <f t="shared" si="123"/>
        <v>1043573.7277115891</v>
      </c>
      <c r="AU231" s="350">
        <f t="shared" si="106"/>
        <v>3081781.4251910634</v>
      </c>
      <c r="AV231" s="350">
        <f t="shared" si="107"/>
        <v>4888001.9042660706</v>
      </c>
      <c r="AW231" s="350">
        <f t="shared" si="108"/>
        <v>6457817.5736853369</v>
      </c>
      <c r="AX231" s="350">
        <f t="shared" si="109"/>
        <v>7788327.3456226327</v>
      </c>
      <c r="AY231" s="350">
        <f t="shared" si="110"/>
        <v>23259501.976476699</v>
      </c>
      <c r="AZ231" s="365"/>
      <c r="BA231" s="377">
        <f t="shared" si="111"/>
        <v>0</v>
      </c>
      <c r="BB231" s="377">
        <f t="shared" si="112"/>
        <v>0</v>
      </c>
      <c r="BC231" s="377">
        <f t="shared" si="113"/>
        <v>0</v>
      </c>
      <c r="BD231" s="377">
        <f t="shared" si="114"/>
        <v>0</v>
      </c>
      <c r="BE231" s="377">
        <f t="shared" si="115"/>
        <v>0</v>
      </c>
      <c r="BF231" s="377">
        <f t="shared" si="116"/>
        <v>0</v>
      </c>
      <c r="BG231" s="328"/>
    </row>
    <row r="232" spans="2:59">
      <c r="B232" s="332">
        <v>217</v>
      </c>
      <c r="C232" s="350">
        <v>7717463.8616080154</v>
      </c>
      <c r="D232" s="350">
        <v>14483540.260172432</v>
      </c>
      <c r="E232" s="350">
        <v>21300534.1478315</v>
      </c>
      <c r="F232" s="350">
        <v>28168933.767768726</v>
      </c>
      <c r="G232" s="350">
        <v>35089843.768588029</v>
      </c>
      <c r="H232" s="348">
        <v>106760315.8059687</v>
      </c>
      <c r="I232" s="369"/>
      <c r="J232" s="350">
        <v>9307990.1372764166</v>
      </c>
      <c r="K232" s="350">
        <v>19183924.758891135</v>
      </c>
      <c r="L232" s="350">
        <v>28852558.890926499</v>
      </c>
      <c r="M232" s="350">
        <v>38307596.408522189</v>
      </c>
      <c r="N232" s="350">
        <v>47545583.631621629</v>
      </c>
      <c r="O232" s="348">
        <v>143197653.82723787</v>
      </c>
      <c r="P232" s="369"/>
      <c r="Q232" s="350">
        <f t="shared" si="117"/>
        <v>1590526.2756684013</v>
      </c>
      <c r="R232" s="350">
        <f t="shared" si="118"/>
        <v>4700384.4987187032</v>
      </c>
      <c r="S232" s="350">
        <f t="shared" si="119"/>
        <v>7552024.7430949993</v>
      </c>
      <c r="T232" s="350">
        <f t="shared" si="120"/>
        <v>10138662.640753463</v>
      </c>
      <c r="U232" s="350">
        <f t="shared" si="121"/>
        <v>12455739.8630336</v>
      </c>
      <c r="V232" s="350">
        <f t="shared" si="122"/>
        <v>36437338.021269172</v>
      </c>
      <c r="W232" s="365"/>
      <c r="X232" s="377">
        <f t="shared" si="100"/>
        <v>0</v>
      </c>
      <c r="Y232" s="377">
        <f t="shared" si="101"/>
        <v>0</v>
      </c>
      <c r="Z232" s="377">
        <f t="shared" si="102"/>
        <v>0</v>
      </c>
      <c r="AA232" s="377">
        <f t="shared" si="103"/>
        <v>0</v>
      </c>
      <c r="AB232" s="377">
        <f t="shared" si="104"/>
        <v>0</v>
      </c>
      <c r="AC232" s="377">
        <f t="shared" si="105"/>
        <v>0</v>
      </c>
      <c r="AD232" s="376"/>
      <c r="AE232" s="332">
        <v>217</v>
      </c>
      <c r="AF232" s="350">
        <v>6994629.0237758858</v>
      </c>
      <c r="AG232" s="350">
        <v>14044188.076317105</v>
      </c>
      <c r="AH232" s="350">
        <v>21147098.568666704</v>
      </c>
      <c r="AI232" s="350">
        <v>28303596.013081152</v>
      </c>
      <c r="AJ232" s="350">
        <v>35514712.477131933</v>
      </c>
      <c r="AK232" s="348">
        <v>106004224.15897278</v>
      </c>
      <c r="AL232" s="369"/>
      <c r="AM232" s="350">
        <v>8395680.2648428921</v>
      </c>
      <c r="AN232" s="350">
        <v>18181808.059247747</v>
      </c>
      <c r="AO232" s="350">
        <v>27713243.118679024</v>
      </c>
      <c r="AP232" s="350">
        <v>36984343.522672728</v>
      </c>
      <c r="AQ232" s="350">
        <v>45992297.759126723</v>
      </c>
      <c r="AR232" s="348">
        <v>137267372.72456911</v>
      </c>
      <c r="AS232" s="369"/>
      <c r="AT232" s="350">
        <f t="shared" si="123"/>
        <v>1401051.2410670063</v>
      </c>
      <c r="AU232" s="350">
        <f t="shared" si="106"/>
        <v>4137619.9829306416</v>
      </c>
      <c r="AV232" s="350">
        <f t="shared" si="107"/>
        <v>6566144.5500123203</v>
      </c>
      <c r="AW232" s="350">
        <f t="shared" si="108"/>
        <v>8680747.5095915757</v>
      </c>
      <c r="AX232" s="350">
        <f t="shared" si="109"/>
        <v>10477585.28199479</v>
      </c>
      <c r="AY232" s="350">
        <f t="shared" si="110"/>
        <v>31263148.565596327</v>
      </c>
      <c r="AZ232" s="365"/>
      <c r="BA232" s="377">
        <f t="shared" si="111"/>
        <v>0</v>
      </c>
      <c r="BB232" s="377">
        <f t="shared" si="112"/>
        <v>0</v>
      </c>
      <c r="BC232" s="377">
        <f t="shared" si="113"/>
        <v>0</v>
      </c>
      <c r="BD232" s="377">
        <f t="shared" si="114"/>
        <v>0</v>
      </c>
      <c r="BE232" s="377">
        <f t="shared" si="115"/>
        <v>0</v>
      </c>
      <c r="BF232" s="377">
        <f t="shared" si="116"/>
        <v>0</v>
      </c>
      <c r="BG232" s="328"/>
    </row>
    <row r="233" spans="2:59">
      <c r="B233" s="332">
        <v>218</v>
      </c>
      <c r="C233" s="350">
        <v>9241895.9465158693</v>
      </c>
      <c r="D233" s="350">
        <v>17417665.771040335</v>
      </c>
      <c r="E233" s="350">
        <v>25654985.592351802</v>
      </c>
      <c r="F233" s="350">
        <v>33954423.578658864</v>
      </c>
      <c r="G233" s="350">
        <v>42317305.04432039</v>
      </c>
      <c r="H233" s="348">
        <v>128586275.93288726</v>
      </c>
      <c r="I233" s="369"/>
      <c r="J233" s="350">
        <v>10548469.667017188</v>
      </c>
      <c r="K233" s="350">
        <v>21272418.530843284</v>
      </c>
      <c r="L233" s="350">
        <v>31724961.402097285</v>
      </c>
      <c r="M233" s="350">
        <v>41898703.580914117</v>
      </c>
      <c r="N233" s="350">
        <v>51788903.343390554</v>
      </c>
      <c r="O233" s="348">
        <v>157233456.52426243</v>
      </c>
      <c r="P233" s="369"/>
      <c r="Q233" s="350">
        <f t="shared" si="117"/>
        <v>1306573.7205013186</v>
      </c>
      <c r="R233" s="350">
        <f t="shared" si="118"/>
        <v>3854752.7598029487</v>
      </c>
      <c r="S233" s="350">
        <f t="shared" si="119"/>
        <v>6069975.8097454831</v>
      </c>
      <c r="T233" s="350">
        <f t="shared" si="120"/>
        <v>7944280.0022552535</v>
      </c>
      <c r="U233" s="350">
        <f t="shared" si="121"/>
        <v>9471598.2990701646</v>
      </c>
      <c r="V233" s="350">
        <f t="shared" si="122"/>
        <v>28647180.591375172</v>
      </c>
      <c r="W233" s="365"/>
      <c r="X233" s="377">
        <f t="shared" si="100"/>
        <v>0</v>
      </c>
      <c r="Y233" s="377">
        <f t="shared" si="101"/>
        <v>0</v>
      </c>
      <c r="Z233" s="377">
        <f t="shared" si="102"/>
        <v>0</v>
      </c>
      <c r="AA233" s="377">
        <f t="shared" si="103"/>
        <v>0</v>
      </c>
      <c r="AB233" s="377">
        <f t="shared" si="104"/>
        <v>0</v>
      </c>
      <c r="AC233" s="377">
        <f t="shared" si="105"/>
        <v>0</v>
      </c>
      <c r="AD233" s="376"/>
      <c r="AE233" s="332">
        <v>218</v>
      </c>
      <c r="AF233" s="350">
        <v>9924730.2073923387</v>
      </c>
      <c r="AG233" s="350">
        <v>19927401.033783507</v>
      </c>
      <c r="AH233" s="350">
        <v>30005772.607773185</v>
      </c>
      <c r="AI233" s="350">
        <v>40160179.099422157</v>
      </c>
      <c r="AJ233" s="350">
        <v>50392084.916945338</v>
      </c>
      <c r="AK233" s="348">
        <v>150410167.86531651</v>
      </c>
      <c r="AL233" s="369"/>
      <c r="AM233" s="350">
        <v>11201114.908650938</v>
      </c>
      <c r="AN233" s="350">
        <v>23687971.415619422</v>
      </c>
      <c r="AO233" s="350">
        <v>35792130.581086367</v>
      </c>
      <c r="AP233" s="350">
        <v>47505788.30330883</v>
      </c>
      <c r="AQ233" s="350">
        <v>58824234.646408275</v>
      </c>
      <c r="AR233" s="348">
        <v>177011239.85507384</v>
      </c>
      <c r="AS233" s="369"/>
      <c r="AT233" s="350">
        <f t="shared" si="123"/>
        <v>1276384.7012585998</v>
      </c>
      <c r="AU233" s="350">
        <f t="shared" si="106"/>
        <v>3760570.3818359151</v>
      </c>
      <c r="AV233" s="350">
        <f t="shared" si="107"/>
        <v>5786357.9733131826</v>
      </c>
      <c r="AW233" s="350">
        <f t="shared" si="108"/>
        <v>7345609.2038866729</v>
      </c>
      <c r="AX233" s="350">
        <f t="shared" si="109"/>
        <v>8432149.7294629365</v>
      </c>
      <c r="AY233" s="350">
        <f t="shared" si="110"/>
        <v>26601071.989757329</v>
      </c>
      <c r="AZ233" s="365"/>
      <c r="BA233" s="377">
        <f t="shared" si="111"/>
        <v>0</v>
      </c>
      <c r="BB233" s="377">
        <f t="shared" si="112"/>
        <v>0</v>
      </c>
      <c r="BC233" s="377">
        <f t="shared" si="113"/>
        <v>0</v>
      </c>
      <c r="BD233" s="377">
        <f t="shared" si="114"/>
        <v>0</v>
      </c>
      <c r="BE233" s="377">
        <f t="shared" si="115"/>
        <v>0</v>
      </c>
      <c r="BF233" s="377">
        <f t="shared" si="116"/>
        <v>0</v>
      </c>
      <c r="BG233" s="328"/>
    </row>
    <row r="234" spans="2:59">
      <c r="B234" s="332">
        <v>219</v>
      </c>
      <c r="C234" s="350">
        <v>10116596.830188438</v>
      </c>
      <c r="D234" s="350">
        <v>19201030.097841591</v>
      </c>
      <c r="E234" s="350">
        <v>28353897.900641166</v>
      </c>
      <c r="F234" s="350">
        <v>37575791.743768163</v>
      </c>
      <c r="G234" s="350">
        <v>46868166.917200938</v>
      </c>
      <c r="H234" s="348">
        <v>142115483.4896403</v>
      </c>
      <c r="I234" s="369"/>
      <c r="J234" s="350">
        <v>11469835.424795911</v>
      </c>
      <c r="K234" s="350">
        <v>23191942.735593401</v>
      </c>
      <c r="L234" s="350">
        <v>34614893.730189368</v>
      </c>
      <c r="M234" s="350">
        <v>45730252.889010027</v>
      </c>
      <c r="N234" s="350">
        <v>56532419.1701755</v>
      </c>
      <c r="O234" s="348">
        <v>171539343.94976422</v>
      </c>
      <c r="P234" s="369"/>
      <c r="Q234" s="350">
        <f t="shared" si="117"/>
        <v>1353238.5946074724</v>
      </c>
      <c r="R234" s="350">
        <f t="shared" si="118"/>
        <v>3990912.6377518103</v>
      </c>
      <c r="S234" s="350">
        <f t="shared" si="119"/>
        <v>6260995.8295482025</v>
      </c>
      <c r="T234" s="350">
        <f t="shared" si="120"/>
        <v>8154461.145241864</v>
      </c>
      <c r="U234" s="350">
        <f t="shared" si="121"/>
        <v>9664252.2529745623</v>
      </c>
      <c r="V234" s="350">
        <f t="shared" si="122"/>
        <v>29423860.460123926</v>
      </c>
      <c r="W234" s="365"/>
      <c r="X234" s="377">
        <f t="shared" si="100"/>
        <v>0</v>
      </c>
      <c r="Y234" s="377">
        <f t="shared" si="101"/>
        <v>0</v>
      </c>
      <c r="Z234" s="377">
        <f t="shared" si="102"/>
        <v>0</v>
      </c>
      <c r="AA234" s="377">
        <f t="shared" si="103"/>
        <v>0</v>
      </c>
      <c r="AB234" s="377">
        <f t="shared" si="104"/>
        <v>0</v>
      </c>
      <c r="AC234" s="377">
        <f t="shared" si="105"/>
        <v>0</v>
      </c>
      <c r="AD234" s="376"/>
      <c r="AE234" s="332">
        <v>219</v>
      </c>
      <c r="AF234" s="350">
        <v>7820313.445378663</v>
      </c>
      <c r="AG234" s="350">
        <v>15702041.161771331</v>
      </c>
      <c r="AH234" s="350">
        <v>23643418.214911602</v>
      </c>
      <c r="AI234" s="350">
        <v>31644707.918216042</v>
      </c>
      <c r="AJ234" s="350">
        <v>39707064.170179956</v>
      </c>
      <c r="AK234" s="348">
        <v>118517544.91045761</v>
      </c>
      <c r="AL234" s="369"/>
      <c r="AM234" s="350">
        <v>9233832.9160476644</v>
      </c>
      <c r="AN234" s="350">
        <v>19874574.041291188</v>
      </c>
      <c r="AO234" s="350">
        <v>30225977.113617949</v>
      </c>
      <c r="AP234" s="350">
        <v>40281777.46061115</v>
      </c>
      <c r="AQ234" s="350">
        <v>50038676.812182806</v>
      </c>
      <c r="AR234" s="348">
        <v>149654838.34375077</v>
      </c>
      <c r="AS234" s="369"/>
      <c r="AT234" s="350">
        <f t="shared" si="123"/>
        <v>1413519.4706690013</v>
      </c>
      <c r="AU234" s="350">
        <f t="shared" si="106"/>
        <v>4172532.8795198575</v>
      </c>
      <c r="AV234" s="350">
        <f t="shared" si="107"/>
        <v>6582558.8987063468</v>
      </c>
      <c r="AW234" s="350">
        <f t="shared" si="108"/>
        <v>8637069.5423951074</v>
      </c>
      <c r="AX234" s="350">
        <f t="shared" si="109"/>
        <v>10331612.642002851</v>
      </c>
      <c r="AY234" s="350">
        <f t="shared" si="110"/>
        <v>31137293.433293164</v>
      </c>
      <c r="AZ234" s="365"/>
      <c r="BA234" s="377">
        <f t="shared" si="111"/>
        <v>0</v>
      </c>
      <c r="BB234" s="377">
        <f t="shared" si="112"/>
        <v>0</v>
      </c>
      <c r="BC234" s="377">
        <f t="shared" si="113"/>
        <v>0</v>
      </c>
      <c r="BD234" s="377">
        <f t="shared" si="114"/>
        <v>0</v>
      </c>
      <c r="BE234" s="377">
        <f t="shared" si="115"/>
        <v>0</v>
      </c>
      <c r="BF234" s="377">
        <f t="shared" si="116"/>
        <v>0</v>
      </c>
      <c r="BG234" s="328"/>
    </row>
    <row r="235" spans="2:59">
      <c r="B235" s="332">
        <v>220</v>
      </c>
      <c r="C235" s="350">
        <v>8592756.3307886533</v>
      </c>
      <c r="D235" s="350">
        <v>16194849.833264329</v>
      </c>
      <c r="E235" s="350">
        <v>23854174.688958909</v>
      </c>
      <c r="F235" s="350">
        <v>31571259.027760714</v>
      </c>
      <c r="G235" s="350">
        <v>39347335.095072664</v>
      </c>
      <c r="H235" s="348">
        <v>119560374.97584528</v>
      </c>
      <c r="I235" s="369"/>
      <c r="J235" s="350">
        <v>9557275.5632520728</v>
      </c>
      <c r="K235" s="350">
        <v>19036597.027392492</v>
      </c>
      <c r="L235" s="350">
        <v>28259932.407658294</v>
      </c>
      <c r="M235" s="350">
        <v>37220333.754977025</v>
      </c>
      <c r="N235" s="350">
        <v>45912989.845095553</v>
      </c>
      <c r="O235" s="348">
        <v>139987128.59837544</v>
      </c>
      <c r="P235" s="369"/>
      <c r="Q235" s="350">
        <f t="shared" si="117"/>
        <v>964519.23246341944</v>
      </c>
      <c r="R235" s="350">
        <f t="shared" si="118"/>
        <v>2841747.1941281632</v>
      </c>
      <c r="S235" s="350">
        <f t="shared" si="119"/>
        <v>4405757.7186993845</v>
      </c>
      <c r="T235" s="350">
        <f t="shared" si="120"/>
        <v>5649074.7272163108</v>
      </c>
      <c r="U235" s="350">
        <f t="shared" si="121"/>
        <v>6565654.7500228882</v>
      </c>
      <c r="V235" s="350">
        <f t="shared" si="122"/>
        <v>20426753.622530162</v>
      </c>
      <c r="W235" s="365"/>
      <c r="X235" s="377">
        <f t="shared" si="100"/>
        <v>0</v>
      </c>
      <c r="Y235" s="377">
        <f t="shared" si="101"/>
        <v>0</v>
      </c>
      <c r="Z235" s="377">
        <f t="shared" si="102"/>
        <v>0</v>
      </c>
      <c r="AA235" s="377">
        <f t="shared" si="103"/>
        <v>0</v>
      </c>
      <c r="AB235" s="377">
        <f t="shared" si="104"/>
        <v>0</v>
      </c>
      <c r="AC235" s="377">
        <f t="shared" si="105"/>
        <v>0</v>
      </c>
      <c r="AD235" s="376"/>
      <c r="AE235" s="332">
        <v>220</v>
      </c>
      <c r="AF235" s="350">
        <v>6388293.0826916397</v>
      </c>
      <c r="AG235" s="350">
        <v>12826754.533369752</v>
      </c>
      <c r="AH235" s="350">
        <v>19313942.604533527</v>
      </c>
      <c r="AI235" s="350">
        <v>25850072.392839804</v>
      </c>
      <c r="AJ235" s="350">
        <v>32436086.500119984</v>
      </c>
      <c r="AK235" s="348">
        <v>96815149.113554701</v>
      </c>
      <c r="AL235" s="369"/>
      <c r="AM235" s="350">
        <v>8250443.1076618787</v>
      </c>
      <c r="AN235" s="350">
        <v>18333373.945308421</v>
      </c>
      <c r="AO235" s="350">
        <v>28201137.888021674</v>
      </c>
      <c r="AP235" s="350">
        <v>37848417.323665023</v>
      </c>
      <c r="AQ235" s="350">
        <v>47273234.445486605</v>
      </c>
      <c r="AR235" s="348">
        <v>139906606.7101436</v>
      </c>
      <c r="AS235" s="369"/>
      <c r="AT235" s="350">
        <f t="shared" si="123"/>
        <v>1862150.024970239</v>
      </c>
      <c r="AU235" s="350">
        <f t="shared" si="106"/>
        <v>5506619.4119386692</v>
      </c>
      <c r="AV235" s="350">
        <f t="shared" si="107"/>
        <v>8887195.283488147</v>
      </c>
      <c r="AW235" s="350">
        <f t="shared" si="108"/>
        <v>11998344.930825219</v>
      </c>
      <c r="AX235" s="350">
        <f t="shared" si="109"/>
        <v>14837147.945366621</v>
      </c>
      <c r="AY235" s="350">
        <f t="shared" si="110"/>
        <v>43091457.596588895</v>
      </c>
      <c r="AZ235" s="365"/>
      <c r="BA235" s="377">
        <f t="shared" si="111"/>
        <v>0</v>
      </c>
      <c r="BB235" s="377">
        <f t="shared" si="112"/>
        <v>0</v>
      </c>
      <c r="BC235" s="377">
        <f t="shared" si="113"/>
        <v>0</v>
      </c>
      <c r="BD235" s="377">
        <f t="shared" si="114"/>
        <v>0</v>
      </c>
      <c r="BE235" s="377">
        <f t="shared" si="115"/>
        <v>0</v>
      </c>
      <c r="BF235" s="377">
        <f t="shared" si="116"/>
        <v>0</v>
      </c>
      <c r="BG235" s="328"/>
    </row>
    <row r="236" spans="2:59">
      <c r="B236" s="332">
        <v>221</v>
      </c>
      <c r="C236" s="350">
        <v>9655466.7383714318</v>
      </c>
      <c r="D236" s="350">
        <v>18228510.173661724</v>
      </c>
      <c r="E236" s="350">
        <v>26866104.62100552</v>
      </c>
      <c r="F236" s="350">
        <v>35568836.584758878</v>
      </c>
      <c r="G236" s="350">
        <v>44338091.744156167</v>
      </c>
      <c r="H236" s="348">
        <v>134657009.86195374</v>
      </c>
      <c r="I236" s="369"/>
      <c r="J236" s="350">
        <v>10955253.780055821</v>
      </c>
      <c r="K236" s="350">
        <v>22062152.898848295</v>
      </c>
      <c r="L236" s="350">
        <v>32883497.412100241</v>
      </c>
      <c r="M236" s="350">
        <v>43411495.802762553</v>
      </c>
      <c r="N236" s="350">
        <v>53641050.824872576</v>
      </c>
      <c r="O236" s="348">
        <v>162953450.71863949</v>
      </c>
      <c r="P236" s="369"/>
      <c r="Q236" s="350">
        <f t="shared" si="117"/>
        <v>1299787.0416843891</v>
      </c>
      <c r="R236" s="350">
        <f t="shared" si="118"/>
        <v>3833642.7251865715</v>
      </c>
      <c r="S236" s="350">
        <f t="shared" si="119"/>
        <v>6017392.7910947204</v>
      </c>
      <c r="T236" s="350">
        <f t="shared" si="120"/>
        <v>7842659.2180036753</v>
      </c>
      <c r="U236" s="350">
        <f t="shared" si="121"/>
        <v>9302959.0807164088</v>
      </c>
      <c r="V236" s="350">
        <f t="shared" si="122"/>
        <v>28296440.856685758</v>
      </c>
      <c r="W236" s="365"/>
      <c r="X236" s="377">
        <f t="shared" si="100"/>
        <v>0</v>
      </c>
      <c r="Y236" s="377">
        <f t="shared" si="101"/>
        <v>0</v>
      </c>
      <c r="Z236" s="377">
        <f t="shared" si="102"/>
        <v>0</v>
      </c>
      <c r="AA236" s="377">
        <f t="shared" si="103"/>
        <v>0</v>
      </c>
      <c r="AB236" s="377">
        <f t="shared" si="104"/>
        <v>0</v>
      </c>
      <c r="AC236" s="377">
        <f t="shared" si="105"/>
        <v>0</v>
      </c>
      <c r="AD236" s="376"/>
      <c r="AE236" s="332">
        <v>221</v>
      </c>
      <c r="AF236" s="350">
        <v>6269430.6512975357</v>
      </c>
      <c r="AG236" s="350">
        <v>12588096.223396081</v>
      </c>
      <c r="AH236" s="350">
        <v>18954581.794366412</v>
      </c>
      <c r="AI236" s="350">
        <v>25369098.458714675</v>
      </c>
      <c r="AJ236" s="350">
        <v>31832571.279949579</v>
      </c>
      <c r="AK236" s="348">
        <v>95013778.407724276</v>
      </c>
      <c r="AL236" s="369"/>
      <c r="AM236" s="350">
        <v>7433117.6622761749</v>
      </c>
      <c r="AN236" s="350">
        <v>16023576.598977029</v>
      </c>
      <c r="AO236" s="350">
        <v>24382990.620377477</v>
      </c>
      <c r="AP236" s="350">
        <v>32506328.80696588</v>
      </c>
      <c r="AQ236" s="350">
        <v>40390977.862345666</v>
      </c>
      <c r="AR236" s="348">
        <v>120736991.55094223</v>
      </c>
      <c r="AS236" s="369"/>
      <c r="AT236" s="350">
        <f t="shared" si="123"/>
        <v>1163687.0109786391</v>
      </c>
      <c r="AU236" s="350">
        <f t="shared" si="106"/>
        <v>3435480.3755809478</v>
      </c>
      <c r="AV236" s="350">
        <f t="shared" si="107"/>
        <v>5428408.8260110654</v>
      </c>
      <c r="AW236" s="350">
        <f t="shared" si="108"/>
        <v>7137230.3482512049</v>
      </c>
      <c r="AX236" s="350">
        <f t="shared" si="109"/>
        <v>8558406.5823960863</v>
      </c>
      <c r="AY236" s="350">
        <f t="shared" si="110"/>
        <v>25723213.143217951</v>
      </c>
      <c r="AZ236" s="365"/>
      <c r="BA236" s="377">
        <f t="shared" si="111"/>
        <v>0</v>
      </c>
      <c r="BB236" s="377">
        <f t="shared" si="112"/>
        <v>0</v>
      </c>
      <c r="BC236" s="377">
        <f t="shared" si="113"/>
        <v>0</v>
      </c>
      <c r="BD236" s="377">
        <f t="shared" si="114"/>
        <v>0</v>
      </c>
      <c r="BE236" s="377">
        <f t="shared" si="115"/>
        <v>0</v>
      </c>
      <c r="BF236" s="377">
        <f t="shared" si="116"/>
        <v>0</v>
      </c>
      <c r="BG236" s="328"/>
    </row>
    <row r="237" spans="2:59">
      <c r="B237" s="332">
        <v>222</v>
      </c>
      <c r="C237" s="350">
        <v>7888410.0762074348</v>
      </c>
      <c r="D237" s="350">
        <v>14807807.249169722</v>
      </c>
      <c r="E237" s="350">
        <v>21779276.842930898</v>
      </c>
      <c r="F237" s="350">
        <v>28803317.137298606</v>
      </c>
      <c r="G237" s="350">
        <v>35881057.365578637</v>
      </c>
      <c r="H237" s="348">
        <v>109159868.6711853</v>
      </c>
      <c r="I237" s="369"/>
      <c r="J237" s="350">
        <v>8792708.1772664897</v>
      </c>
      <c r="K237" s="350">
        <v>17472648.712047406</v>
      </c>
      <c r="L237" s="350">
        <v>25920989.097912252</v>
      </c>
      <c r="M237" s="350">
        <v>34131399.875395618</v>
      </c>
      <c r="N237" s="350">
        <v>42099519.880967289</v>
      </c>
      <c r="O237" s="348">
        <v>128417265.74358904</v>
      </c>
      <c r="P237" s="369"/>
      <c r="Q237" s="350">
        <f t="shared" si="117"/>
        <v>904298.10105905496</v>
      </c>
      <c r="R237" s="350">
        <f t="shared" si="118"/>
        <v>2664841.4628776833</v>
      </c>
      <c r="S237" s="350">
        <f t="shared" si="119"/>
        <v>4141712.2549813539</v>
      </c>
      <c r="T237" s="350">
        <f t="shared" si="120"/>
        <v>5328082.738097012</v>
      </c>
      <c r="U237" s="350">
        <f t="shared" si="121"/>
        <v>6218462.5153886527</v>
      </c>
      <c r="V237" s="350">
        <f t="shared" si="122"/>
        <v>19257397.072403744</v>
      </c>
      <c r="W237" s="365"/>
      <c r="X237" s="377">
        <f t="shared" si="100"/>
        <v>0</v>
      </c>
      <c r="Y237" s="377">
        <f t="shared" si="101"/>
        <v>0</v>
      </c>
      <c r="Z237" s="377">
        <f t="shared" si="102"/>
        <v>0</v>
      </c>
      <c r="AA237" s="377">
        <f t="shared" si="103"/>
        <v>0</v>
      </c>
      <c r="AB237" s="377">
        <f t="shared" si="104"/>
        <v>0</v>
      </c>
      <c r="AC237" s="377">
        <f t="shared" si="105"/>
        <v>0</v>
      </c>
      <c r="AD237" s="376"/>
      <c r="AE237" s="332">
        <v>222</v>
      </c>
      <c r="AF237" s="350">
        <v>6774718.5403908072</v>
      </c>
      <c r="AG237" s="350">
        <v>13602640.11457165</v>
      </c>
      <c r="AH237" s="350">
        <v>20482235.764274981</v>
      </c>
      <c r="AI237" s="350">
        <v>27413733.597273912</v>
      </c>
      <c r="AJ237" s="350">
        <v>34398133.233031854</v>
      </c>
      <c r="AK237" s="348">
        <v>102671461.2495432</v>
      </c>
      <c r="AL237" s="369"/>
      <c r="AM237" s="350">
        <v>7932496.7951434338</v>
      </c>
      <c r="AN237" s="350">
        <v>17019333.634598531</v>
      </c>
      <c r="AO237" s="350">
        <v>25853518.431271769</v>
      </c>
      <c r="AP237" s="350">
        <v>34429642.994107552</v>
      </c>
      <c r="AQ237" s="350">
        <v>42744782.437407479</v>
      </c>
      <c r="AR237" s="348">
        <v>127979774.29252876</v>
      </c>
      <c r="AS237" s="369"/>
      <c r="AT237" s="350">
        <f t="shared" si="123"/>
        <v>1157778.2547526266</v>
      </c>
      <c r="AU237" s="350">
        <f t="shared" si="106"/>
        <v>3416693.5200268812</v>
      </c>
      <c r="AV237" s="350">
        <f t="shared" si="107"/>
        <v>5371282.6669967882</v>
      </c>
      <c r="AW237" s="350">
        <f t="shared" si="108"/>
        <v>7015909.3968336396</v>
      </c>
      <c r="AX237" s="350">
        <f t="shared" si="109"/>
        <v>8346649.2043756247</v>
      </c>
      <c r="AY237" s="350">
        <f t="shared" si="110"/>
        <v>25308313.042985559</v>
      </c>
      <c r="AZ237" s="365"/>
      <c r="BA237" s="377">
        <f t="shared" si="111"/>
        <v>0</v>
      </c>
      <c r="BB237" s="377">
        <f t="shared" si="112"/>
        <v>0</v>
      </c>
      <c r="BC237" s="377">
        <f t="shared" si="113"/>
        <v>0</v>
      </c>
      <c r="BD237" s="377">
        <f t="shared" si="114"/>
        <v>0</v>
      </c>
      <c r="BE237" s="377">
        <f t="shared" si="115"/>
        <v>0</v>
      </c>
      <c r="BF237" s="377">
        <f t="shared" si="116"/>
        <v>0</v>
      </c>
      <c r="BG237" s="328"/>
    </row>
    <row r="238" spans="2:59">
      <c r="B238" s="332">
        <v>223</v>
      </c>
      <c r="C238" s="350">
        <v>6431653.5053663477</v>
      </c>
      <c r="D238" s="350">
        <v>12208442.826129336</v>
      </c>
      <c r="E238" s="350">
        <v>18028750.08198636</v>
      </c>
      <c r="F238" s="350">
        <v>23892951.022295818</v>
      </c>
      <c r="G238" s="350">
        <v>29801970.896558233</v>
      </c>
      <c r="H238" s="348">
        <v>90363768.332336098</v>
      </c>
      <c r="I238" s="369"/>
      <c r="J238" s="350">
        <v>7320650.0763182184</v>
      </c>
      <c r="K238" s="350">
        <v>14830710.343445165</v>
      </c>
      <c r="L238" s="350">
        <v>22151865.284214851</v>
      </c>
      <c r="M238" s="350">
        <v>29278728.900779642</v>
      </c>
      <c r="N238" s="350">
        <v>36207754.10476236</v>
      </c>
      <c r="O238" s="348">
        <v>109789708.70952024</v>
      </c>
      <c r="P238" s="369"/>
      <c r="Q238" s="350">
        <f t="shared" si="117"/>
        <v>888996.57095187064</v>
      </c>
      <c r="R238" s="350">
        <f t="shared" si="118"/>
        <v>2622267.5173158292</v>
      </c>
      <c r="S238" s="350">
        <f t="shared" si="119"/>
        <v>4123115.2022284903</v>
      </c>
      <c r="T238" s="350">
        <f t="shared" si="120"/>
        <v>5385777.8784838244</v>
      </c>
      <c r="U238" s="350">
        <f t="shared" si="121"/>
        <v>6405783.2082041278</v>
      </c>
      <c r="V238" s="350">
        <f t="shared" si="122"/>
        <v>19425940.377184138</v>
      </c>
      <c r="W238" s="365"/>
      <c r="X238" s="377">
        <f t="shared" si="100"/>
        <v>0</v>
      </c>
      <c r="Y238" s="377">
        <f t="shared" si="101"/>
        <v>0</v>
      </c>
      <c r="Z238" s="377">
        <f t="shared" si="102"/>
        <v>0</v>
      </c>
      <c r="AA238" s="377">
        <f t="shared" si="103"/>
        <v>0</v>
      </c>
      <c r="AB238" s="377">
        <f t="shared" si="104"/>
        <v>0</v>
      </c>
      <c r="AC238" s="377">
        <f t="shared" si="105"/>
        <v>0</v>
      </c>
      <c r="AD238" s="376"/>
      <c r="AE238" s="332">
        <v>223</v>
      </c>
      <c r="AF238" s="350">
        <v>7320917.6783785913</v>
      </c>
      <c r="AG238" s="350">
        <v>14699327.786633745</v>
      </c>
      <c r="AH238" s="350">
        <v>22133578.097068667</v>
      </c>
      <c r="AI238" s="350">
        <v>29623915.108223308</v>
      </c>
      <c r="AJ238" s="350">
        <v>37171419.032029375</v>
      </c>
      <c r="AK238" s="348">
        <v>110949157.70233369</v>
      </c>
      <c r="AL238" s="369"/>
      <c r="AM238" s="350">
        <v>8672154.6537215542</v>
      </c>
      <c r="AN238" s="350">
        <v>18688397.563991901</v>
      </c>
      <c r="AO238" s="350">
        <v>28434617.303954907</v>
      </c>
      <c r="AP238" s="350">
        <v>37904941.340931602</v>
      </c>
      <c r="AQ238" s="350">
        <v>47096310.368747205</v>
      </c>
      <c r="AR238" s="348">
        <v>140796421.23134717</v>
      </c>
      <c r="AS238" s="369"/>
      <c r="AT238" s="350">
        <f t="shared" si="123"/>
        <v>1351236.9753429629</v>
      </c>
      <c r="AU238" s="350">
        <f t="shared" si="106"/>
        <v>3989069.7773581557</v>
      </c>
      <c r="AV238" s="350">
        <f t="shared" si="107"/>
        <v>6301039.2068862393</v>
      </c>
      <c r="AW238" s="350">
        <f t="shared" si="108"/>
        <v>8281026.2327082939</v>
      </c>
      <c r="AX238" s="350">
        <f t="shared" si="109"/>
        <v>9924891.3367178291</v>
      </c>
      <c r="AY238" s="350">
        <f t="shared" si="110"/>
        <v>29847263.529013485</v>
      </c>
      <c r="AZ238" s="365"/>
      <c r="BA238" s="377">
        <f t="shared" si="111"/>
        <v>0</v>
      </c>
      <c r="BB238" s="377">
        <f t="shared" si="112"/>
        <v>0</v>
      </c>
      <c r="BC238" s="377">
        <f t="shared" si="113"/>
        <v>0</v>
      </c>
      <c r="BD238" s="377">
        <f t="shared" si="114"/>
        <v>0</v>
      </c>
      <c r="BE238" s="377">
        <f t="shared" si="115"/>
        <v>0</v>
      </c>
      <c r="BF238" s="377">
        <f t="shared" si="116"/>
        <v>0</v>
      </c>
      <c r="BG238" s="328"/>
    </row>
    <row r="239" spans="2:59">
      <c r="B239" s="332">
        <v>224</v>
      </c>
      <c r="C239" s="350">
        <v>6123009.9339756593</v>
      </c>
      <c r="D239" s="350">
        <v>11428680.474793587</v>
      </c>
      <c r="E239" s="350">
        <v>16774257.864885855</v>
      </c>
      <c r="F239" s="350">
        <v>22160143.582779944</v>
      </c>
      <c r="G239" s="350">
        <v>27587211.948172823</v>
      </c>
      <c r="H239" s="348">
        <v>84073303.804607868</v>
      </c>
      <c r="I239" s="369"/>
      <c r="J239" s="350">
        <v>7186853.4848774858</v>
      </c>
      <c r="K239" s="350">
        <v>14570685.855851762</v>
      </c>
      <c r="L239" s="350">
        <v>21792001.747617558</v>
      </c>
      <c r="M239" s="350">
        <v>28845725.708904099</v>
      </c>
      <c r="N239" s="350">
        <v>35728754.714095153</v>
      </c>
      <c r="O239" s="348">
        <v>108124021.51134607</v>
      </c>
      <c r="P239" s="369"/>
      <c r="Q239" s="350">
        <f t="shared" si="117"/>
        <v>1063843.5509018265</v>
      </c>
      <c r="R239" s="350">
        <f t="shared" si="118"/>
        <v>3142005.3810581751</v>
      </c>
      <c r="S239" s="350">
        <f t="shared" si="119"/>
        <v>5017743.8827317022</v>
      </c>
      <c r="T239" s="350">
        <f t="shared" si="120"/>
        <v>6685582.1261241548</v>
      </c>
      <c r="U239" s="350">
        <f t="shared" si="121"/>
        <v>8141542.7659223303</v>
      </c>
      <c r="V239" s="350">
        <f t="shared" si="122"/>
        <v>24050717.706738204</v>
      </c>
      <c r="W239" s="365"/>
      <c r="X239" s="377">
        <f t="shared" si="100"/>
        <v>0</v>
      </c>
      <c r="Y239" s="377">
        <f t="shared" si="101"/>
        <v>0</v>
      </c>
      <c r="Z239" s="377">
        <f t="shared" si="102"/>
        <v>0</v>
      </c>
      <c r="AA239" s="377">
        <f t="shared" si="103"/>
        <v>0</v>
      </c>
      <c r="AB239" s="377">
        <f t="shared" si="104"/>
        <v>0</v>
      </c>
      <c r="AC239" s="377">
        <f t="shared" si="105"/>
        <v>0</v>
      </c>
      <c r="AD239" s="376"/>
      <c r="AE239" s="332">
        <v>224</v>
      </c>
      <c r="AF239" s="350">
        <v>7384417.8273170814</v>
      </c>
      <c r="AG239" s="350">
        <v>14826826.762138361</v>
      </c>
      <c r="AH239" s="350">
        <v>22325560.245680504</v>
      </c>
      <c r="AI239" s="350">
        <v>29880866.914561596</v>
      </c>
      <c r="AJ239" s="350">
        <v>37493836.350251637</v>
      </c>
      <c r="AK239" s="348">
        <v>111911508.09994918</v>
      </c>
      <c r="AL239" s="369"/>
      <c r="AM239" s="350">
        <v>8268366.2698664535</v>
      </c>
      <c r="AN239" s="350">
        <v>17429897.222409926</v>
      </c>
      <c r="AO239" s="350">
        <v>26304716.411415733</v>
      </c>
      <c r="AP239" s="350">
        <v>34887035.848533966</v>
      </c>
      <c r="AQ239" s="350">
        <v>43173284.568084046</v>
      </c>
      <c r="AR239" s="348">
        <v>130063300.32031013</v>
      </c>
      <c r="AS239" s="369"/>
      <c r="AT239" s="350">
        <f t="shared" si="123"/>
        <v>883948.44254937209</v>
      </c>
      <c r="AU239" s="350">
        <f t="shared" si="106"/>
        <v>2603070.4602715652</v>
      </c>
      <c r="AV239" s="350">
        <f t="shared" si="107"/>
        <v>3979156.1657352298</v>
      </c>
      <c r="AW239" s="350">
        <f t="shared" si="108"/>
        <v>5006168.9339723699</v>
      </c>
      <c r="AX239" s="350">
        <f t="shared" si="109"/>
        <v>5679448.2178324088</v>
      </c>
      <c r="AY239" s="350">
        <f t="shared" si="110"/>
        <v>18151792.22036095</v>
      </c>
      <c r="AZ239" s="365"/>
      <c r="BA239" s="377">
        <f t="shared" si="111"/>
        <v>0</v>
      </c>
      <c r="BB239" s="377">
        <f t="shared" si="112"/>
        <v>0</v>
      </c>
      <c r="BC239" s="377">
        <f t="shared" si="113"/>
        <v>0</v>
      </c>
      <c r="BD239" s="377">
        <f t="shared" si="114"/>
        <v>0</v>
      </c>
      <c r="BE239" s="377">
        <f t="shared" si="115"/>
        <v>0</v>
      </c>
      <c r="BF239" s="377">
        <f t="shared" si="116"/>
        <v>0</v>
      </c>
      <c r="BG239" s="328"/>
    </row>
    <row r="240" spans="2:59">
      <c r="B240" s="332">
        <v>225</v>
      </c>
      <c r="C240" s="350">
        <v>10928417.250170838</v>
      </c>
      <c r="D240" s="350">
        <v>20427975.865243725</v>
      </c>
      <c r="E240" s="350">
        <v>29998995.78320488</v>
      </c>
      <c r="F240" s="350">
        <v>39642186.81089206</v>
      </c>
      <c r="G240" s="350">
        <v>49359110.451993942</v>
      </c>
      <c r="H240" s="348">
        <v>150356686.16150546</v>
      </c>
      <c r="I240" s="369"/>
      <c r="J240" s="350">
        <v>12213784.173463205</v>
      </c>
      <c r="K240" s="350">
        <v>24216574.661380351</v>
      </c>
      <c r="L240" s="350">
        <v>35899278.689916968</v>
      </c>
      <c r="M240" s="350">
        <v>47253332.464728802</v>
      </c>
      <c r="N240" s="350">
        <v>58272921.633912653</v>
      </c>
      <c r="O240" s="348">
        <v>177855891.62340197</v>
      </c>
      <c r="P240" s="369"/>
      <c r="Q240" s="350">
        <f t="shared" si="117"/>
        <v>1285366.9232923668</v>
      </c>
      <c r="R240" s="350">
        <f t="shared" si="118"/>
        <v>3788598.7961366251</v>
      </c>
      <c r="S240" s="350">
        <f t="shared" si="119"/>
        <v>5900282.9067120887</v>
      </c>
      <c r="T240" s="350">
        <f t="shared" si="120"/>
        <v>7611145.653836742</v>
      </c>
      <c r="U240" s="350">
        <f t="shared" si="121"/>
        <v>8913811.1819187105</v>
      </c>
      <c r="V240" s="350">
        <f t="shared" si="122"/>
        <v>27499205.461896509</v>
      </c>
      <c r="W240" s="365"/>
      <c r="X240" s="377">
        <f t="shared" si="100"/>
        <v>0</v>
      </c>
      <c r="Y240" s="377">
        <f t="shared" si="101"/>
        <v>0</v>
      </c>
      <c r="Z240" s="377">
        <f t="shared" si="102"/>
        <v>0</v>
      </c>
      <c r="AA240" s="377">
        <f t="shared" si="103"/>
        <v>0</v>
      </c>
      <c r="AB240" s="377">
        <f t="shared" si="104"/>
        <v>0</v>
      </c>
      <c r="AC240" s="377">
        <f t="shared" si="105"/>
        <v>0</v>
      </c>
      <c r="AD240" s="376"/>
      <c r="AE240" s="332">
        <v>225</v>
      </c>
      <c r="AF240" s="350">
        <v>5999802.1627833834</v>
      </c>
      <c r="AG240" s="350">
        <v>12046721.807318516</v>
      </c>
      <c r="AH240" s="350">
        <v>18139404.863016963</v>
      </c>
      <c r="AI240" s="350">
        <v>24278053.345874272</v>
      </c>
      <c r="AJ240" s="350">
        <v>30463552.535327923</v>
      </c>
      <c r="AK240" s="348">
        <v>90927534.714321062</v>
      </c>
      <c r="AL240" s="369"/>
      <c r="AM240" s="350">
        <v>7141769.1225377955</v>
      </c>
      <c r="AN240" s="350">
        <v>15418460.960388429</v>
      </c>
      <c r="AO240" s="350">
        <v>23474892.784466632</v>
      </c>
      <c r="AP240" s="350">
        <v>31306242.027506217</v>
      </c>
      <c r="AQ240" s="350">
        <v>38910036.470836639</v>
      </c>
      <c r="AR240" s="348">
        <v>116251401.36573571</v>
      </c>
      <c r="AS240" s="369"/>
      <c r="AT240" s="350">
        <f t="shared" si="123"/>
        <v>1141966.9597544121</v>
      </c>
      <c r="AU240" s="350">
        <f t="shared" si="106"/>
        <v>3371739.1530699134</v>
      </c>
      <c r="AV240" s="350">
        <f t="shared" si="107"/>
        <v>5335487.9214496687</v>
      </c>
      <c r="AW240" s="350">
        <f t="shared" si="108"/>
        <v>7028188.6816319451</v>
      </c>
      <c r="AX240" s="350">
        <f t="shared" si="109"/>
        <v>8446483.9355087169</v>
      </c>
      <c r="AY240" s="350">
        <f t="shared" si="110"/>
        <v>25323866.651414648</v>
      </c>
      <c r="AZ240" s="365"/>
      <c r="BA240" s="377">
        <f t="shared" si="111"/>
        <v>0</v>
      </c>
      <c r="BB240" s="377">
        <f t="shared" si="112"/>
        <v>0</v>
      </c>
      <c r="BC240" s="377">
        <f t="shared" si="113"/>
        <v>0</v>
      </c>
      <c r="BD240" s="377">
        <f t="shared" si="114"/>
        <v>0</v>
      </c>
      <c r="BE240" s="377">
        <f t="shared" si="115"/>
        <v>0</v>
      </c>
      <c r="BF240" s="377">
        <f t="shared" si="116"/>
        <v>0</v>
      </c>
      <c r="BG240" s="328"/>
    </row>
    <row r="241" spans="2:59">
      <c r="B241" s="332">
        <v>226</v>
      </c>
      <c r="C241" s="350">
        <v>8603732.9626623951</v>
      </c>
      <c r="D241" s="350">
        <v>16193569.112744119</v>
      </c>
      <c r="E241" s="350">
        <v>23840537.202716097</v>
      </c>
      <c r="F241" s="350">
        <v>31545170.995091148</v>
      </c>
      <c r="G241" s="350">
        <v>39308703.569689043</v>
      </c>
      <c r="H241" s="348">
        <v>119491713.84290281</v>
      </c>
      <c r="I241" s="369"/>
      <c r="J241" s="350">
        <v>9932028.6648580302</v>
      </c>
      <c r="K241" s="350">
        <v>20114202.110987607</v>
      </c>
      <c r="L241" s="350">
        <v>30051182.68723942</v>
      </c>
      <c r="M241" s="350">
        <v>39735960.261695571</v>
      </c>
      <c r="N241" s="350">
        <v>49164128.525689311</v>
      </c>
      <c r="O241" s="348">
        <v>148997502.25046992</v>
      </c>
      <c r="P241" s="369"/>
      <c r="Q241" s="350">
        <f t="shared" si="117"/>
        <v>1328295.7021956351</v>
      </c>
      <c r="R241" s="350">
        <f t="shared" si="118"/>
        <v>3920632.9982434884</v>
      </c>
      <c r="S241" s="350">
        <f t="shared" si="119"/>
        <v>6210645.4845233224</v>
      </c>
      <c r="T241" s="350">
        <f t="shared" si="120"/>
        <v>8190789.2666044235</v>
      </c>
      <c r="U241" s="350">
        <f t="shared" si="121"/>
        <v>9855424.9560002685</v>
      </c>
      <c r="V241" s="350">
        <f t="shared" si="122"/>
        <v>29505788.407567114</v>
      </c>
      <c r="W241" s="365"/>
      <c r="X241" s="377">
        <f t="shared" si="100"/>
        <v>0</v>
      </c>
      <c r="Y241" s="377">
        <f t="shared" si="101"/>
        <v>0</v>
      </c>
      <c r="Z241" s="377">
        <f t="shared" si="102"/>
        <v>0</v>
      </c>
      <c r="AA241" s="377">
        <f t="shared" si="103"/>
        <v>0</v>
      </c>
      <c r="AB241" s="377">
        <f t="shared" si="104"/>
        <v>0</v>
      </c>
      <c r="AC241" s="377">
        <f t="shared" si="105"/>
        <v>0</v>
      </c>
      <c r="AD241" s="376"/>
      <c r="AE241" s="332">
        <v>226</v>
      </c>
      <c r="AF241" s="350">
        <v>4550257.5956958598</v>
      </c>
      <c r="AG241" s="350">
        <v>9136249.1495146807</v>
      </c>
      <c r="AH241" s="350">
        <v>13756947.732598986</v>
      </c>
      <c r="AI241" s="350">
        <v>18412506.554136887</v>
      </c>
      <c r="AJ241" s="350">
        <v>23103597.011180386</v>
      </c>
      <c r="AK241" s="348">
        <v>68959558.043126792</v>
      </c>
      <c r="AL241" s="369"/>
      <c r="AM241" s="350">
        <v>5715683.7598346928</v>
      </c>
      <c r="AN241" s="350">
        <v>12581185.275296986</v>
      </c>
      <c r="AO241" s="350">
        <v>19288607.151631705</v>
      </c>
      <c r="AP241" s="350">
        <v>25834207.278431922</v>
      </c>
      <c r="AQ241" s="350">
        <v>32216413.90034169</v>
      </c>
      <c r="AR241" s="348">
        <v>95636097.365536988</v>
      </c>
      <c r="AS241" s="369"/>
      <c r="AT241" s="350">
        <f t="shared" si="123"/>
        <v>1165426.1641388331</v>
      </c>
      <c r="AU241" s="350">
        <f t="shared" si="106"/>
        <v>3444936.1257823054</v>
      </c>
      <c r="AV241" s="350">
        <f t="shared" si="107"/>
        <v>5531659.419032719</v>
      </c>
      <c r="AW241" s="350">
        <f t="shared" si="108"/>
        <v>7421700.724295035</v>
      </c>
      <c r="AX241" s="350">
        <f t="shared" si="109"/>
        <v>9112816.8891613036</v>
      </c>
      <c r="AY241" s="350">
        <f t="shared" si="110"/>
        <v>26676539.322410196</v>
      </c>
      <c r="AZ241" s="365"/>
      <c r="BA241" s="377">
        <f t="shared" si="111"/>
        <v>0</v>
      </c>
      <c r="BB241" s="377">
        <f t="shared" si="112"/>
        <v>0</v>
      </c>
      <c r="BC241" s="377">
        <f t="shared" si="113"/>
        <v>0</v>
      </c>
      <c r="BD241" s="377">
        <f t="shared" si="114"/>
        <v>0</v>
      </c>
      <c r="BE241" s="377">
        <f t="shared" si="115"/>
        <v>0</v>
      </c>
      <c r="BF241" s="377">
        <f t="shared" si="116"/>
        <v>0</v>
      </c>
      <c r="BG241" s="328"/>
    </row>
    <row r="242" spans="2:59">
      <c r="B242" s="332">
        <v>227</v>
      </c>
      <c r="C242" s="350">
        <v>10380498.575174037</v>
      </c>
      <c r="D242" s="350">
        <v>19481970.81982743</v>
      </c>
      <c r="E242" s="350">
        <v>28651935.575325616</v>
      </c>
      <c r="F242" s="350">
        <v>37891049.413703762</v>
      </c>
      <c r="G242" s="350">
        <v>47200798.182262674</v>
      </c>
      <c r="H242" s="348">
        <v>143606252.56629354</v>
      </c>
      <c r="I242" s="369"/>
      <c r="J242" s="350">
        <v>12164279.316902744</v>
      </c>
      <c r="K242" s="350">
        <v>24749710.060562216</v>
      </c>
      <c r="L242" s="350">
        <v>37050126.673170023</v>
      </c>
      <c r="M242" s="350">
        <v>49056950.160276219</v>
      </c>
      <c r="N242" s="350">
        <v>60764956.808520608</v>
      </c>
      <c r="O242" s="348">
        <v>183786023.0194318</v>
      </c>
      <c r="P242" s="369"/>
      <c r="Q242" s="350">
        <f t="shared" si="117"/>
        <v>1783780.7417287063</v>
      </c>
      <c r="R242" s="350">
        <f t="shared" si="118"/>
        <v>5267739.2407347858</v>
      </c>
      <c r="S242" s="350">
        <f t="shared" si="119"/>
        <v>8398191.097844407</v>
      </c>
      <c r="T242" s="350">
        <f t="shared" si="120"/>
        <v>11165900.746572457</v>
      </c>
      <c r="U242" s="350">
        <f t="shared" si="121"/>
        <v>13564158.626257934</v>
      </c>
      <c r="V242" s="350">
        <f t="shared" si="122"/>
        <v>40179770.453138262</v>
      </c>
      <c r="W242" s="365"/>
      <c r="X242" s="377">
        <f t="shared" si="100"/>
        <v>0</v>
      </c>
      <c r="Y242" s="377">
        <f t="shared" si="101"/>
        <v>0</v>
      </c>
      <c r="Z242" s="377">
        <f t="shared" si="102"/>
        <v>0</v>
      </c>
      <c r="AA242" s="377">
        <f t="shared" si="103"/>
        <v>0</v>
      </c>
      <c r="AB242" s="377">
        <f t="shared" si="104"/>
        <v>0</v>
      </c>
      <c r="AC242" s="377">
        <f t="shared" si="105"/>
        <v>0</v>
      </c>
      <c r="AD242" s="376"/>
      <c r="AE242" s="332">
        <v>227</v>
      </c>
      <c r="AF242" s="350">
        <v>6422943.267661659</v>
      </c>
      <c r="AG242" s="350">
        <v>12896327.017191838</v>
      </c>
      <c r="AH242" s="350">
        <v>19418701.681032479</v>
      </c>
      <c r="AI242" s="350">
        <v>25990283.522527501</v>
      </c>
      <c r="AJ242" s="350">
        <v>32612020.256192926</v>
      </c>
      <c r="AK242" s="348">
        <v>97340275.744606405</v>
      </c>
      <c r="AL242" s="369"/>
      <c r="AM242" s="350">
        <v>7870226.3429632718</v>
      </c>
      <c r="AN242" s="350">
        <v>17172486.258649506</v>
      </c>
      <c r="AO242" s="350">
        <v>26245684.307420943</v>
      </c>
      <c r="AP242" s="350">
        <v>35084594.230852567</v>
      </c>
      <c r="AQ242" s="350">
        <v>43686797.102319077</v>
      </c>
      <c r="AR242" s="348">
        <v>130059788.24220537</v>
      </c>
      <c r="AS242" s="369"/>
      <c r="AT242" s="350">
        <f t="shared" si="123"/>
        <v>1447283.0753016127</v>
      </c>
      <c r="AU242" s="350">
        <f t="shared" si="106"/>
        <v>4276159.2414576672</v>
      </c>
      <c r="AV242" s="350">
        <f t="shared" si="107"/>
        <v>6826982.6263884641</v>
      </c>
      <c r="AW242" s="350">
        <f t="shared" si="108"/>
        <v>9094310.7083250657</v>
      </c>
      <c r="AX242" s="350">
        <f t="shared" si="109"/>
        <v>11074776.84612615</v>
      </c>
      <c r="AY242" s="350">
        <f t="shared" si="110"/>
        <v>32719512.497598961</v>
      </c>
      <c r="AZ242" s="365"/>
      <c r="BA242" s="377">
        <f t="shared" si="111"/>
        <v>0</v>
      </c>
      <c r="BB242" s="377">
        <f t="shared" si="112"/>
        <v>0</v>
      </c>
      <c r="BC242" s="377">
        <f t="shared" si="113"/>
        <v>0</v>
      </c>
      <c r="BD242" s="377">
        <f t="shared" si="114"/>
        <v>0</v>
      </c>
      <c r="BE242" s="377">
        <f t="shared" si="115"/>
        <v>0</v>
      </c>
      <c r="BF242" s="377">
        <f t="shared" si="116"/>
        <v>0</v>
      </c>
      <c r="BG242" s="328"/>
    </row>
    <row r="243" spans="2:59">
      <c r="B243" s="332">
        <v>228</v>
      </c>
      <c r="C243" s="350">
        <v>6925903.0221790615</v>
      </c>
      <c r="D243" s="350">
        <v>12854264.085961968</v>
      </c>
      <c r="E243" s="350">
        <v>18827191.377245426</v>
      </c>
      <c r="F243" s="350">
        <v>24845155.500503607</v>
      </c>
      <c r="G243" s="350">
        <v>30909142.963662289</v>
      </c>
      <c r="H243" s="348">
        <v>94361656.949552357</v>
      </c>
      <c r="I243" s="369"/>
      <c r="J243" s="350">
        <v>7952131.1206829222</v>
      </c>
      <c r="K243" s="350">
        <v>15883168.695010804</v>
      </c>
      <c r="L243" s="350">
        <v>23624004.941842228</v>
      </c>
      <c r="M243" s="350">
        <v>31169172.989921167</v>
      </c>
      <c r="N243" s="350">
        <v>38515192.516829357</v>
      </c>
      <c r="O243" s="348">
        <v>117143670.26428647</v>
      </c>
      <c r="P243" s="369"/>
      <c r="Q243" s="350">
        <f t="shared" si="117"/>
        <v>1026228.0985038606</v>
      </c>
      <c r="R243" s="350">
        <f t="shared" si="118"/>
        <v>3028904.6090488359</v>
      </c>
      <c r="S243" s="350">
        <f t="shared" si="119"/>
        <v>4796813.564596802</v>
      </c>
      <c r="T243" s="350">
        <f t="shared" si="120"/>
        <v>6324017.4894175604</v>
      </c>
      <c r="U243" s="350">
        <f t="shared" si="121"/>
        <v>7606049.5531670675</v>
      </c>
      <c r="V243" s="350">
        <f t="shared" si="122"/>
        <v>22782013.314734116</v>
      </c>
      <c r="W243" s="365"/>
      <c r="X243" s="377">
        <f t="shared" si="100"/>
        <v>0</v>
      </c>
      <c r="Y243" s="377">
        <f t="shared" si="101"/>
        <v>0</v>
      </c>
      <c r="Z243" s="377">
        <f t="shared" si="102"/>
        <v>0</v>
      </c>
      <c r="AA243" s="377">
        <f t="shared" si="103"/>
        <v>0</v>
      </c>
      <c r="AB243" s="377">
        <f t="shared" si="104"/>
        <v>0</v>
      </c>
      <c r="AC243" s="377">
        <f t="shared" si="105"/>
        <v>0</v>
      </c>
      <c r="AD243" s="376"/>
      <c r="AE243" s="332">
        <v>228</v>
      </c>
      <c r="AF243" s="350">
        <v>8233068.4457767876</v>
      </c>
      <c r="AG243" s="350">
        <v>16530792.598813567</v>
      </c>
      <c r="AH243" s="350">
        <v>24891314.371871375</v>
      </c>
      <c r="AI243" s="350">
        <v>33314910.976010401</v>
      </c>
      <c r="AJ243" s="350">
        <v>41802797.212319851</v>
      </c>
      <c r="AK243" s="348">
        <v>124772883.60479198</v>
      </c>
      <c r="AL243" s="369"/>
      <c r="AM243" s="350">
        <v>9423403.7522158809</v>
      </c>
      <c r="AN243" s="350">
        <v>20040394.898842394</v>
      </c>
      <c r="AO243" s="350">
        <v>30343857.882515185</v>
      </c>
      <c r="AP243" s="350">
        <v>40327281.608244166</v>
      </c>
      <c r="AQ243" s="350">
        <v>49986892.132761039</v>
      </c>
      <c r="AR243" s="348">
        <v>150121830.27457866</v>
      </c>
      <c r="AS243" s="369"/>
      <c r="AT243" s="350">
        <f t="shared" si="123"/>
        <v>1190335.3064390933</v>
      </c>
      <c r="AU243" s="350">
        <f t="shared" si="106"/>
        <v>3509602.300028827</v>
      </c>
      <c r="AV243" s="350">
        <f t="shared" si="107"/>
        <v>5452543.51064381</v>
      </c>
      <c r="AW243" s="350">
        <f t="shared" si="108"/>
        <v>7012370.632233765</v>
      </c>
      <c r="AX243" s="350">
        <f t="shared" si="109"/>
        <v>8184094.9204411879</v>
      </c>
      <c r="AY243" s="350">
        <f t="shared" si="110"/>
        <v>25348946.669786677</v>
      </c>
      <c r="AZ243" s="365"/>
      <c r="BA243" s="377">
        <f t="shared" si="111"/>
        <v>0</v>
      </c>
      <c r="BB243" s="377">
        <f t="shared" si="112"/>
        <v>0</v>
      </c>
      <c r="BC243" s="377">
        <f t="shared" si="113"/>
        <v>0</v>
      </c>
      <c r="BD243" s="377">
        <f t="shared" si="114"/>
        <v>0</v>
      </c>
      <c r="BE243" s="377">
        <f t="shared" si="115"/>
        <v>0</v>
      </c>
      <c r="BF243" s="377">
        <f t="shared" si="116"/>
        <v>0</v>
      </c>
      <c r="BG243" s="328"/>
    </row>
    <row r="244" spans="2:59">
      <c r="B244" s="332">
        <v>229</v>
      </c>
      <c r="C244" s="350">
        <v>8698749.8227445949</v>
      </c>
      <c r="D244" s="350">
        <v>16441214.680173721</v>
      </c>
      <c r="E244" s="350">
        <v>24241982.793197412</v>
      </c>
      <c r="F244" s="350">
        <v>32101578.28981135</v>
      </c>
      <c r="G244" s="350">
        <v>40021250.184401721</v>
      </c>
      <c r="H244" s="348">
        <v>121504775.77032879</v>
      </c>
      <c r="I244" s="369"/>
      <c r="J244" s="350">
        <v>9615186.9184185863</v>
      </c>
      <c r="K244" s="350">
        <v>19140020.433004852</v>
      </c>
      <c r="L244" s="350">
        <v>28399964.255631972</v>
      </c>
      <c r="M244" s="350">
        <v>37388036.988317162</v>
      </c>
      <c r="N244" s="350">
        <v>46099359.276445284</v>
      </c>
      <c r="O244" s="348">
        <v>140642567.87181786</v>
      </c>
      <c r="P244" s="369"/>
      <c r="Q244" s="350">
        <f t="shared" si="117"/>
        <v>916437.09567399137</v>
      </c>
      <c r="R244" s="350">
        <f t="shared" si="118"/>
        <v>2698805.7528311312</v>
      </c>
      <c r="S244" s="350">
        <f t="shared" si="119"/>
        <v>4157981.4624345601</v>
      </c>
      <c r="T244" s="350">
        <f t="shared" si="120"/>
        <v>5286458.6985058114</v>
      </c>
      <c r="U244" s="350">
        <f t="shared" si="121"/>
        <v>6078109.0920435637</v>
      </c>
      <c r="V244" s="350">
        <f t="shared" si="122"/>
        <v>19137792.101489067</v>
      </c>
      <c r="W244" s="365"/>
      <c r="X244" s="377">
        <f t="shared" si="100"/>
        <v>0</v>
      </c>
      <c r="Y244" s="377">
        <f t="shared" si="101"/>
        <v>0</v>
      </c>
      <c r="Z244" s="377">
        <f t="shared" si="102"/>
        <v>0</v>
      </c>
      <c r="AA244" s="377">
        <f t="shared" si="103"/>
        <v>0</v>
      </c>
      <c r="AB244" s="377">
        <f t="shared" si="104"/>
        <v>0</v>
      </c>
      <c r="AC244" s="377">
        <f t="shared" si="105"/>
        <v>0</v>
      </c>
      <c r="AD244" s="376"/>
      <c r="AE244" s="332">
        <v>229</v>
      </c>
      <c r="AF244" s="350">
        <v>5179645.2637495566</v>
      </c>
      <c r="AG244" s="350">
        <v>10399967.175590795</v>
      </c>
      <c r="AH244" s="350">
        <v>15659796.762760969</v>
      </c>
      <c r="AI244" s="350">
        <v>20959308.42620967</v>
      </c>
      <c r="AJ244" s="350">
        <v>26299266.430044446</v>
      </c>
      <c r="AK244" s="348">
        <v>78497984.058355436</v>
      </c>
      <c r="AL244" s="369"/>
      <c r="AM244" s="350">
        <v>6011669.5840973575</v>
      </c>
      <c r="AN244" s="350">
        <v>12854557.868592579</v>
      </c>
      <c r="AO244" s="350">
        <v>19502687.572797246</v>
      </c>
      <c r="AP244" s="350">
        <v>25951938.872806862</v>
      </c>
      <c r="AQ244" s="350">
        <v>32200021.692975238</v>
      </c>
      <c r="AR244" s="348">
        <v>96520875.591269284</v>
      </c>
      <c r="AS244" s="369"/>
      <c r="AT244" s="350">
        <f t="shared" si="123"/>
        <v>832024.32034780085</v>
      </c>
      <c r="AU244" s="350">
        <f t="shared" si="106"/>
        <v>2454590.6930017844</v>
      </c>
      <c r="AV244" s="350">
        <f t="shared" si="107"/>
        <v>3842890.8100362774</v>
      </c>
      <c r="AW244" s="350">
        <f t="shared" si="108"/>
        <v>4992630.4465971924</v>
      </c>
      <c r="AX244" s="350">
        <f t="shared" si="109"/>
        <v>5900755.2629307918</v>
      </c>
      <c r="AY244" s="350">
        <f t="shared" si="110"/>
        <v>18022891.532913849</v>
      </c>
      <c r="AZ244" s="365"/>
      <c r="BA244" s="377">
        <f t="shared" si="111"/>
        <v>0</v>
      </c>
      <c r="BB244" s="377">
        <f t="shared" si="112"/>
        <v>0</v>
      </c>
      <c r="BC244" s="377">
        <f t="shared" si="113"/>
        <v>0</v>
      </c>
      <c r="BD244" s="377">
        <f t="shared" si="114"/>
        <v>0</v>
      </c>
      <c r="BE244" s="377">
        <f t="shared" si="115"/>
        <v>0</v>
      </c>
      <c r="BF244" s="377">
        <f t="shared" si="116"/>
        <v>0</v>
      </c>
      <c r="BG244" s="328"/>
    </row>
    <row r="245" spans="2:59">
      <c r="B245" s="332">
        <v>230</v>
      </c>
      <c r="C245" s="350">
        <v>6178811.9552974347</v>
      </c>
      <c r="D245" s="350">
        <v>11739873.486441597</v>
      </c>
      <c r="E245" s="350">
        <v>17342831.461211197</v>
      </c>
      <c r="F245" s="350">
        <v>22988044.291502506</v>
      </c>
      <c r="G245" s="350">
        <v>28676401.236174792</v>
      </c>
      <c r="H245" s="348">
        <v>86925962.430627525</v>
      </c>
      <c r="I245" s="369"/>
      <c r="J245" s="350">
        <v>7436355.3274613256</v>
      </c>
      <c r="K245" s="350">
        <v>15455685.545104064</v>
      </c>
      <c r="L245" s="350">
        <v>23307747.38126453</v>
      </c>
      <c r="M245" s="350">
        <v>30987147.730542168</v>
      </c>
      <c r="N245" s="350">
        <v>38490782.320349328</v>
      </c>
      <c r="O245" s="348">
        <v>115677718.30472142</v>
      </c>
      <c r="P245" s="369"/>
      <c r="Q245" s="350">
        <f t="shared" si="117"/>
        <v>1257543.3721638909</v>
      </c>
      <c r="R245" s="350">
        <f t="shared" si="118"/>
        <v>3715812.0586624667</v>
      </c>
      <c r="S245" s="350">
        <f t="shared" si="119"/>
        <v>5964915.920053333</v>
      </c>
      <c r="T245" s="350">
        <f t="shared" si="120"/>
        <v>7999103.4390396625</v>
      </c>
      <c r="U245" s="350">
        <f t="shared" si="121"/>
        <v>9814381.0841745362</v>
      </c>
      <c r="V245" s="350">
        <f t="shared" si="122"/>
        <v>28751755.87409389</v>
      </c>
      <c r="W245" s="365"/>
      <c r="X245" s="377">
        <f t="shared" si="100"/>
        <v>0</v>
      </c>
      <c r="Y245" s="377">
        <f t="shared" si="101"/>
        <v>0</v>
      </c>
      <c r="Z245" s="377">
        <f t="shared" si="102"/>
        <v>0</v>
      </c>
      <c r="AA245" s="377">
        <f t="shared" si="103"/>
        <v>0</v>
      </c>
      <c r="AB245" s="377">
        <f t="shared" si="104"/>
        <v>0</v>
      </c>
      <c r="AC245" s="377">
        <f t="shared" si="105"/>
        <v>0</v>
      </c>
      <c r="AD245" s="376"/>
      <c r="AE245" s="332">
        <v>230</v>
      </c>
      <c r="AF245" s="350">
        <v>6306913.9922729302</v>
      </c>
      <c r="AG245" s="350">
        <v>12663357.268491935</v>
      </c>
      <c r="AH245" s="350">
        <v>19067906.44726726</v>
      </c>
      <c r="AI245" s="350">
        <v>25520773.885185741</v>
      </c>
      <c r="AJ245" s="350">
        <v>32022890.176476955</v>
      </c>
      <c r="AK245" s="348">
        <v>95581841.769694835</v>
      </c>
      <c r="AL245" s="369"/>
      <c r="AM245" s="350">
        <v>7492307.0127088875</v>
      </c>
      <c r="AN245" s="350">
        <v>16163117.585695555</v>
      </c>
      <c r="AO245" s="350">
        <v>24601943.610031009</v>
      </c>
      <c r="AP245" s="350">
        <v>32803719.916151121</v>
      </c>
      <c r="AQ245" s="350">
        <v>40765832.520314261</v>
      </c>
      <c r="AR245" s="348">
        <v>121826920.64490084</v>
      </c>
      <c r="AS245" s="369"/>
      <c r="AT245" s="350">
        <f t="shared" si="123"/>
        <v>1185393.0204359572</v>
      </c>
      <c r="AU245" s="350">
        <f t="shared" si="106"/>
        <v>3499760.3172036204</v>
      </c>
      <c r="AV245" s="350">
        <f t="shared" si="107"/>
        <v>5534037.1627637483</v>
      </c>
      <c r="AW245" s="350">
        <f t="shared" si="108"/>
        <v>7282946.0309653804</v>
      </c>
      <c r="AX245" s="350">
        <f t="shared" si="109"/>
        <v>8742942.3438373059</v>
      </c>
      <c r="AY245" s="350">
        <f t="shared" si="110"/>
        <v>26245078.875206009</v>
      </c>
      <c r="AZ245" s="365"/>
      <c r="BA245" s="377">
        <f t="shared" si="111"/>
        <v>0</v>
      </c>
      <c r="BB245" s="377">
        <f t="shared" si="112"/>
        <v>0</v>
      </c>
      <c r="BC245" s="377">
        <f t="shared" si="113"/>
        <v>0</v>
      </c>
      <c r="BD245" s="377">
        <f t="shared" si="114"/>
        <v>0</v>
      </c>
      <c r="BE245" s="377">
        <f t="shared" si="115"/>
        <v>0</v>
      </c>
      <c r="BF245" s="377">
        <f t="shared" si="116"/>
        <v>0</v>
      </c>
      <c r="BG245" s="328"/>
    </row>
    <row r="246" spans="2:59">
      <c r="B246" s="332">
        <v>231</v>
      </c>
      <c r="C246" s="350">
        <v>8365367.4269152582</v>
      </c>
      <c r="D246" s="350">
        <v>15908875.026440229</v>
      </c>
      <c r="E246" s="350">
        <v>23509219.236042608</v>
      </c>
      <c r="F246" s="350">
        <v>31166882.029860266</v>
      </c>
      <c r="G246" s="350">
        <v>38883067.845534265</v>
      </c>
      <c r="H246" s="348">
        <v>117833411.56479263</v>
      </c>
      <c r="I246" s="369"/>
      <c r="J246" s="350">
        <v>9397020.8970875666</v>
      </c>
      <c r="K246" s="350">
        <v>18949848.513311412</v>
      </c>
      <c r="L246" s="350">
        <v>28250567.38189863</v>
      </c>
      <c r="M246" s="350">
        <v>37292217.53908217</v>
      </c>
      <c r="N246" s="350">
        <v>46070079.952446729</v>
      </c>
      <c r="O246" s="348">
        <v>139959734.2838265</v>
      </c>
      <c r="P246" s="369"/>
      <c r="Q246" s="350">
        <f t="shared" si="117"/>
        <v>1031653.4701723084</v>
      </c>
      <c r="R246" s="350">
        <f t="shared" si="118"/>
        <v>3040973.4868711829</v>
      </c>
      <c r="S246" s="350">
        <f t="shared" si="119"/>
        <v>4741348.1458560228</v>
      </c>
      <c r="T246" s="350">
        <f t="shared" si="120"/>
        <v>6125335.509221904</v>
      </c>
      <c r="U246" s="350">
        <f t="shared" si="121"/>
        <v>7187012.1069124639</v>
      </c>
      <c r="V246" s="350">
        <f t="shared" si="122"/>
        <v>22126322.719033867</v>
      </c>
      <c r="W246" s="365"/>
      <c r="X246" s="377">
        <f t="shared" si="100"/>
        <v>0</v>
      </c>
      <c r="Y246" s="377">
        <f t="shared" si="101"/>
        <v>0</v>
      </c>
      <c r="Z246" s="377">
        <f t="shared" si="102"/>
        <v>0</v>
      </c>
      <c r="AA246" s="377">
        <f t="shared" si="103"/>
        <v>0</v>
      </c>
      <c r="AB246" s="377">
        <f t="shared" si="104"/>
        <v>0</v>
      </c>
      <c r="AC246" s="377">
        <f t="shared" si="105"/>
        <v>0</v>
      </c>
      <c r="AD246" s="376"/>
      <c r="AE246" s="332">
        <v>231</v>
      </c>
      <c r="AF246" s="350">
        <v>5477279.2863429114</v>
      </c>
      <c r="AG246" s="350">
        <v>10997572.592118718</v>
      </c>
      <c r="AH246" s="350">
        <v>16559643.772770476</v>
      </c>
      <c r="AI246" s="350">
        <v>22163677.250717107</v>
      </c>
      <c r="AJ246" s="350">
        <v>27810481.206394229</v>
      </c>
      <c r="AK246" s="348">
        <v>83008654.108343437</v>
      </c>
      <c r="AL246" s="369"/>
      <c r="AM246" s="350">
        <v>6504938.0507314606</v>
      </c>
      <c r="AN246" s="350">
        <v>14031613.512082394</v>
      </c>
      <c r="AO246" s="350">
        <v>21356766.518004023</v>
      </c>
      <c r="AP246" s="350">
        <v>28475998.700037941</v>
      </c>
      <c r="AQ246" s="350">
        <v>35387038.101185486</v>
      </c>
      <c r="AR246" s="348">
        <v>105756354.88204131</v>
      </c>
      <c r="AS246" s="369"/>
      <c r="AT246" s="350">
        <f t="shared" si="123"/>
        <v>1027658.7643885491</v>
      </c>
      <c r="AU246" s="350">
        <f t="shared" si="106"/>
        <v>3034040.9199636765</v>
      </c>
      <c r="AV246" s="350">
        <f t="shared" si="107"/>
        <v>4797122.7452335469</v>
      </c>
      <c r="AW246" s="350">
        <f t="shared" si="108"/>
        <v>6312321.4493208341</v>
      </c>
      <c r="AX246" s="350">
        <f t="shared" si="109"/>
        <v>7576556.8947912566</v>
      </c>
      <c r="AY246" s="350">
        <f t="shared" si="110"/>
        <v>22747700.773697868</v>
      </c>
      <c r="AZ246" s="365"/>
      <c r="BA246" s="377">
        <f t="shared" si="111"/>
        <v>0</v>
      </c>
      <c r="BB246" s="377">
        <f t="shared" si="112"/>
        <v>0</v>
      </c>
      <c r="BC246" s="377">
        <f t="shared" si="113"/>
        <v>0</v>
      </c>
      <c r="BD246" s="377">
        <f t="shared" si="114"/>
        <v>0</v>
      </c>
      <c r="BE246" s="377">
        <f t="shared" si="115"/>
        <v>0</v>
      </c>
      <c r="BF246" s="377">
        <f t="shared" si="116"/>
        <v>0</v>
      </c>
      <c r="BG246" s="328"/>
    </row>
    <row r="247" spans="2:59">
      <c r="B247" s="332">
        <v>232</v>
      </c>
      <c r="C247" s="350">
        <v>8671994.1006285027</v>
      </c>
      <c r="D247" s="350">
        <v>16372267.757907975</v>
      </c>
      <c r="E247" s="350">
        <v>24130521.024482369</v>
      </c>
      <c r="F247" s="350">
        <v>31947280.563619193</v>
      </c>
      <c r="G247" s="350">
        <v>39823790.929214709</v>
      </c>
      <c r="H247" s="348">
        <v>120945854.37585276</v>
      </c>
      <c r="I247" s="369"/>
      <c r="J247" s="350">
        <v>10247598.393617904</v>
      </c>
      <c r="K247" s="350">
        <v>21026075.150917687</v>
      </c>
      <c r="L247" s="350">
        <v>31566688.828475073</v>
      </c>
      <c r="M247" s="350">
        <v>41862087.875959113</v>
      </c>
      <c r="N247" s="350">
        <v>51907859.968130872</v>
      </c>
      <c r="O247" s="348">
        <v>156610310.21710065</v>
      </c>
      <c r="P247" s="369"/>
      <c r="Q247" s="350">
        <f t="shared" si="117"/>
        <v>1575604.2929894011</v>
      </c>
      <c r="R247" s="350">
        <f t="shared" si="118"/>
        <v>4653807.3930097111</v>
      </c>
      <c r="S247" s="350">
        <f t="shared" si="119"/>
        <v>7436167.8039927036</v>
      </c>
      <c r="T247" s="350">
        <f t="shared" si="120"/>
        <v>9914807.3123399206</v>
      </c>
      <c r="U247" s="350">
        <f t="shared" si="121"/>
        <v>12084069.038916163</v>
      </c>
      <c r="V247" s="350">
        <f t="shared" si="122"/>
        <v>35664455.841247886</v>
      </c>
      <c r="W247" s="365"/>
      <c r="X247" s="377">
        <f t="shared" si="100"/>
        <v>0</v>
      </c>
      <c r="Y247" s="377">
        <f t="shared" si="101"/>
        <v>0</v>
      </c>
      <c r="Z247" s="377">
        <f t="shared" si="102"/>
        <v>0</v>
      </c>
      <c r="AA247" s="377">
        <f t="shared" si="103"/>
        <v>0</v>
      </c>
      <c r="AB247" s="377">
        <f t="shared" si="104"/>
        <v>0</v>
      </c>
      <c r="AC247" s="377">
        <f t="shared" si="105"/>
        <v>0</v>
      </c>
      <c r="AD247" s="376"/>
      <c r="AE247" s="332">
        <v>232</v>
      </c>
      <c r="AF247" s="350">
        <v>5064636.4186897818</v>
      </c>
      <c r="AG247" s="350">
        <v>10169046.301164269</v>
      </c>
      <c r="AH247" s="350">
        <v>15312086.630532306</v>
      </c>
      <c r="AI247" s="350">
        <v>20493927.935344741</v>
      </c>
      <c r="AJ247" s="350">
        <v>25715317.509988643</v>
      </c>
      <c r="AK247" s="348">
        <v>76755014.795719743</v>
      </c>
      <c r="AL247" s="369"/>
      <c r="AM247" s="350">
        <v>6060865.7991381036</v>
      </c>
      <c r="AN247" s="350">
        <v>13110908.504921898</v>
      </c>
      <c r="AO247" s="350">
        <v>19975988.353493296</v>
      </c>
      <c r="AP247" s="350">
        <v>26652025.329028741</v>
      </c>
      <c r="AQ247" s="350">
        <v>33136965.216055971</v>
      </c>
      <c r="AR247" s="348">
        <v>98936753.202638015</v>
      </c>
      <c r="AS247" s="369"/>
      <c r="AT247" s="350">
        <f t="shared" si="123"/>
        <v>996229.38044832181</v>
      </c>
      <c r="AU247" s="350">
        <f t="shared" si="106"/>
        <v>2941862.2037576288</v>
      </c>
      <c r="AV247" s="350">
        <f t="shared" si="107"/>
        <v>4663901.7229609899</v>
      </c>
      <c r="AW247" s="350">
        <f t="shared" si="108"/>
        <v>6158097.3936839998</v>
      </c>
      <c r="AX247" s="350">
        <f t="shared" si="109"/>
        <v>7421647.7060673274</v>
      </c>
      <c r="AY247" s="350">
        <f t="shared" si="110"/>
        <v>22181738.406918272</v>
      </c>
      <c r="AZ247" s="365"/>
      <c r="BA247" s="377">
        <f t="shared" si="111"/>
        <v>0</v>
      </c>
      <c r="BB247" s="377">
        <f t="shared" si="112"/>
        <v>0</v>
      </c>
      <c r="BC247" s="377">
        <f t="shared" si="113"/>
        <v>0</v>
      </c>
      <c r="BD247" s="377">
        <f t="shared" si="114"/>
        <v>0</v>
      </c>
      <c r="BE247" s="377">
        <f t="shared" si="115"/>
        <v>0</v>
      </c>
      <c r="BF247" s="377">
        <f t="shared" si="116"/>
        <v>0</v>
      </c>
      <c r="BG247" s="328"/>
    </row>
    <row r="248" spans="2:59">
      <c r="B248" s="332">
        <v>233</v>
      </c>
      <c r="C248" s="350">
        <v>8913837.4044979904</v>
      </c>
      <c r="D248" s="350">
        <v>16623562.627831237</v>
      </c>
      <c r="E248" s="350">
        <v>24391272.189584047</v>
      </c>
      <c r="F248" s="350">
        <v>32217553.77215825</v>
      </c>
      <c r="G248" s="350">
        <v>40103679.725096539</v>
      </c>
      <c r="H248" s="348">
        <v>122249905.71916807</v>
      </c>
      <c r="I248" s="369"/>
      <c r="J248" s="350">
        <v>10329887.320513878</v>
      </c>
      <c r="K248" s="350">
        <v>20804158.368061397</v>
      </c>
      <c r="L248" s="350">
        <v>31035772.122075427</v>
      </c>
      <c r="M248" s="350">
        <v>41017461.798711717</v>
      </c>
      <c r="N248" s="350">
        <v>50744659.558050312</v>
      </c>
      <c r="O248" s="348">
        <v>153931939.16741273</v>
      </c>
      <c r="P248" s="369"/>
      <c r="Q248" s="350">
        <f t="shared" si="117"/>
        <v>1416049.9160158876</v>
      </c>
      <c r="R248" s="350">
        <f t="shared" si="118"/>
        <v>4180595.7402301598</v>
      </c>
      <c r="S248" s="350">
        <f t="shared" si="119"/>
        <v>6644499.9324913807</v>
      </c>
      <c r="T248" s="350">
        <f t="shared" si="120"/>
        <v>8799908.0265534669</v>
      </c>
      <c r="U248" s="350">
        <f t="shared" si="121"/>
        <v>10640979.832953773</v>
      </c>
      <c r="V248" s="350">
        <f t="shared" si="122"/>
        <v>31682033.448244661</v>
      </c>
      <c r="W248" s="365"/>
      <c r="X248" s="377">
        <f t="shared" si="100"/>
        <v>0</v>
      </c>
      <c r="Y248" s="377">
        <f t="shared" si="101"/>
        <v>0</v>
      </c>
      <c r="Z248" s="377">
        <f t="shared" si="102"/>
        <v>0</v>
      </c>
      <c r="AA248" s="377">
        <f t="shared" si="103"/>
        <v>0</v>
      </c>
      <c r="AB248" s="377">
        <f t="shared" si="104"/>
        <v>0</v>
      </c>
      <c r="AC248" s="377">
        <f t="shared" si="105"/>
        <v>0</v>
      </c>
      <c r="AD248" s="376"/>
      <c r="AE248" s="332">
        <v>233</v>
      </c>
      <c r="AF248" s="350">
        <v>7835393.0051254742</v>
      </c>
      <c r="AG248" s="350">
        <v>15732318.70364988</v>
      </c>
      <c r="AH248" s="350">
        <v>23689008.758063212</v>
      </c>
      <c r="AI248" s="350">
        <v>31705726.98951748</v>
      </c>
      <c r="AJ248" s="350">
        <v>39783629.521518722</v>
      </c>
      <c r="AK248" s="348">
        <v>118746076.97787477</v>
      </c>
      <c r="AL248" s="369"/>
      <c r="AM248" s="350">
        <v>8827434.7826343775</v>
      </c>
      <c r="AN248" s="350">
        <v>18654834.815333083</v>
      </c>
      <c r="AO248" s="350">
        <v>28179633.854316138</v>
      </c>
      <c r="AP248" s="350">
        <v>37395675.127713814</v>
      </c>
      <c r="AQ248" s="350">
        <v>46299224.387016609</v>
      </c>
      <c r="AR248" s="348">
        <v>139356802.96701401</v>
      </c>
      <c r="AS248" s="369"/>
      <c r="AT248" s="350">
        <f t="shared" si="123"/>
        <v>992041.77750890329</v>
      </c>
      <c r="AU248" s="350">
        <f t="shared" si="106"/>
        <v>2922516.1116832029</v>
      </c>
      <c r="AV248" s="350">
        <f t="shared" si="107"/>
        <v>4490625.0962529257</v>
      </c>
      <c r="AW248" s="350">
        <f t="shared" si="108"/>
        <v>5689948.1381963342</v>
      </c>
      <c r="AX248" s="350">
        <f t="shared" si="109"/>
        <v>6515594.8654978871</v>
      </c>
      <c r="AY248" s="350">
        <f t="shared" si="110"/>
        <v>20610725.989139244</v>
      </c>
      <c r="AZ248" s="365"/>
      <c r="BA248" s="377">
        <f t="shared" si="111"/>
        <v>0</v>
      </c>
      <c r="BB248" s="377">
        <f t="shared" si="112"/>
        <v>0</v>
      </c>
      <c r="BC248" s="377">
        <f t="shared" si="113"/>
        <v>0</v>
      </c>
      <c r="BD248" s="377">
        <f t="shared" si="114"/>
        <v>0</v>
      </c>
      <c r="BE248" s="377">
        <f t="shared" si="115"/>
        <v>0</v>
      </c>
      <c r="BF248" s="377">
        <f t="shared" si="116"/>
        <v>0</v>
      </c>
      <c r="BG248" s="328"/>
    </row>
    <row r="249" spans="2:59">
      <c r="B249" s="332">
        <v>234</v>
      </c>
      <c r="C249" s="350">
        <v>10289460.366062783</v>
      </c>
      <c r="D249" s="350">
        <v>19496228.982100297</v>
      </c>
      <c r="E249" s="350">
        <v>28772343.180132955</v>
      </c>
      <c r="F249" s="350">
        <v>38118411.995606348</v>
      </c>
      <c r="G249" s="350">
        <v>47535914.477747172</v>
      </c>
      <c r="H249" s="348">
        <v>144212359.00164956</v>
      </c>
      <c r="I249" s="369"/>
      <c r="J249" s="350">
        <v>11402799.243869171</v>
      </c>
      <c r="K249" s="350">
        <v>22775345.893999301</v>
      </c>
      <c r="L249" s="350">
        <v>33826988.692191906</v>
      </c>
      <c r="M249" s="350">
        <v>44549639.023816876</v>
      </c>
      <c r="N249" s="350">
        <v>54937756.223513193</v>
      </c>
      <c r="O249" s="348">
        <v>167492529.07739043</v>
      </c>
      <c r="P249" s="369"/>
      <c r="Q249" s="350">
        <f t="shared" si="117"/>
        <v>1113338.8778063878</v>
      </c>
      <c r="R249" s="350">
        <f t="shared" si="118"/>
        <v>3279116.9118990041</v>
      </c>
      <c r="S249" s="350">
        <f t="shared" si="119"/>
        <v>5054645.512058951</v>
      </c>
      <c r="T249" s="350">
        <f t="shared" si="120"/>
        <v>6431227.0282105282</v>
      </c>
      <c r="U249" s="350">
        <f t="shared" si="121"/>
        <v>7401841.7457660213</v>
      </c>
      <c r="V249" s="350">
        <f t="shared" si="122"/>
        <v>23280170.075740874</v>
      </c>
      <c r="W249" s="365"/>
      <c r="X249" s="377">
        <f t="shared" si="100"/>
        <v>0</v>
      </c>
      <c r="Y249" s="377">
        <f t="shared" si="101"/>
        <v>0</v>
      </c>
      <c r="Z249" s="377">
        <f t="shared" si="102"/>
        <v>0</v>
      </c>
      <c r="AA249" s="377">
        <f t="shared" si="103"/>
        <v>0</v>
      </c>
      <c r="AB249" s="377">
        <f t="shared" si="104"/>
        <v>0</v>
      </c>
      <c r="AC249" s="377">
        <f t="shared" si="105"/>
        <v>0</v>
      </c>
      <c r="AD249" s="376"/>
      <c r="AE249" s="332">
        <v>234</v>
      </c>
      <c r="AF249" s="350">
        <v>5699037.8304964826</v>
      </c>
      <c r="AG249" s="350">
        <v>11442831.188541289</v>
      </c>
      <c r="AH249" s="350">
        <v>17230093.881806862</v>
      </c>
      <c r="AI249" s="350">
        <v>23061017.799420498</v>
      </c>
      <c r="AJ249" s="350">
        <v>28936443.84260992</v>
      </c>
      <c r="AK249" s="348">
        <v>86369424.542875051</v>
      </c>
      <c r="AL249" s="369"/>
      <c r="AM249" s="350">
        <v>6767213.2573828865</v>
      </c>
      <c r="AN249" s="350">
        <v>14596478.235198118</v>
      </c>
      <c r="AO249" s="350">
        <v>22216029.070001058</v>
      </c>
      <c r="AP249" s="350">
        <v>29621289.624973342</v>
      </c>
      <c r="AQ249" s="350">
        <v>36809894.854356602</v>
      </c>
      <c r="AR249" s="348">
        <v>110010905.041912</v>
      </c>
      <c r="AS249" s="369"/>
      <c r="AT249" s="350">
        <f t="shared" si="123"/>
        <v>1068175.4268864039</v>
      </c>
      <c r="AU249" s="350">
        <f t="shared" si="106"/>
        <v>3153647.0466568284</v>
      </c>
      <c r="AV249" s="350">
        <f t="shared" si="107"/>
        <v>4985935.1881941967</v>
      </c>
      <c r="AW249" s="350">
        <f t="shared" si="108"/>
        <v>6560271.8255528435</v>
      </c>
      <c r="AX249" s="350">
        <f t="shared" si="109"/>
        <v>7873451.0117466822</v>
      </c>
      <c r="AY249" s="350">
        <f t="shared" si="110"/>
        <v>23641480.499036953</v>
      </c>
      <c r="AZ249" s="365"/>
      <c r="BA249" s="377">
        <f t="shared" si="111"/>
        <v>0</v>
      </c>
      <c r="BB249" s="377">
        <f t="shared" si="112"/>
        <v>0</v>
      </c>
      <c r="BC249" s="377">
        <f t="shared" si="113"/>
        <v>0</v>
      </c>
      <c r="BD249" s="377">
        <f t="shared" si="114"/>
        <v>0</v>
      </c>
      <c r="BE249" s="377">
        <f t="shared" si="115"/>
        <v>0</v>
      </c>
      <c r="BF249" s="377">
        <f t="shared" si="116"/>
        <v>0</v>
      </c>
      <c r="BG249" s="328"/>
    </row>
    <row r="250" spans="2:59">
      <c r="B250" s="332">
        <v>235</v>
      </c>
      <c r="C250" s="350">
        <v>6845894.8271904429</v>
      </c>
      <c r="D250" s="350">
        <v>12580298.890039124</v>
      </c>
      <c r="E250" s="350">
        <v>18357768.993599735</v>
      </c>
      <c r="F250" s="350">
        <v>24178798.623268303</v>
      </c>
      <c r="G250" s="350">
        <v>30044358.666095369</v>
      </c>
      <c r="H250" s="348">
        <v>92007120.00019297</v>
      </c>
      <c r="I250" s="369"/>
      <c r="J250" s="350">
        <v>7727629.4412216274</v>
      </c>
      <c r="K250" s="350">
        <v>15181157.105940513</v>
      </c>
      <c r="L250" s="350">
        <v>22444829.906586062</v>
      </c>
      <c r="M250" s="350">
        <v>29513531.656536043</v>
      </c>
      <c r="N250" s="350">
        <v>36383906.322118804</v>
      </c>
      <c r="O250" s="348">
        <v>111251054.43240304</v>
      </c>
      <c r="P250" s="369"/>
      <c r="Q250" s="350">
        <f t="shared" si="117"/>
        <v>881734.61403118446</v>
      </c>
      <c r="R250" s="350">
        <f t="shared" si="118"/>
        <v>2600858.2159013897</v>
      </c>
      <c r="S250" s="350">
        <f t="shared" si="119"/>
        <v>4087060.912986327</v>
      </c>
      <c r="T250" s="350">
        <f t="shared" si="120"/>
        <v>5334733.0332677402</v>
      </c>
      <c r="U250" s="350">
        <f t="shared" si="121"/>
        <v>6339547.6560234353</v>
      </c>
      <c r="V250" s="350">
        <f t="shared" si="122"/>
        <v>19243934.432210073</v>
      </c>
      <c r="W250" s="365"/>
      <c r="X250" s="377">
        <f t="shared" si="100"/>
        <v>0</v>
      </c>
      <c r="Y250" s="377">
        <f t="shared" si="101"/>
        <v>0</v>
      </c>
      <c r="Z250" s="377">
        <f t="shared" si="102"/>
        <v>0</v>
      </c>
      <c r="AA250" s="377">
        <f t="shared" si="103"/>
        <v>0</v>
      </c>
      <c r="AB250" s="377">
        <f t="shared" si="104"/>
        <v>0</v>
      </c>
      <c r="AC250" s="377">
        <f t="shared" si="105"/>
        <v>0</v>
      </c>
      <c r="AD250" s="376"/>
      <c r="AE250" s="332">
        <v>235</v>
      </c>
      <c r="AF250" s="350">
        <v>8683941.0034584086</v>
      </c>
      <c r="AG250" s="350">
        <v>17436078.494177975</v>
      </c>
      <c r="AH250" s="350">
        <v>26254452.629352979</v>
      </c>
      <c r="AI250" s="350">
        <v>35139355.801122278</v>
      </c>
      <c r="AJ250" s="350">
        <v>44092069.337469362</v>
      </c>
      <c r="AK250" s="348">
        <v>131605897.26558101</v>
      </c>
      <c r="AL250" s="369"/>
      <c r="AM250" s="350">
        <v>9877593.0882656164</v>
      </c>
      <c r="AN250" s="350">
        <v>20954390.203464314</v>
      </c>
      <c r="AO250" s="350">
        <v>31698636.18691783</v>
      </c>
      <c r="AP250" s="350">
        <v>42103480.871773407</v>
      </c>
      <c r="AQ250" s="350">
        <v>52164880.979911163</v>
      </c>
      <c r="AR250" s="348">
        <v>156798981.33033234</v>
      </c>
      <c r="AS250" s="369"/>
      <c r="AT250" s="350">
        <f t="shared" si="123"/>
        <v>1193652.0848072078</v>
      </c>
      <c r="AU250" s="350">
        <f t="shared" si="106"/>
        <v>3518311.7092863396</v>
      </c>
      <c r="AV250" s="350">
        <f t="shared" si="107"/>
        <v>5444183.5575648509</v>
      </c>
      <c r="AW250" s="350">
        <f t="shared" si="108"/>
        <v>6964125.0706511289</v>
      </c>
      <c r="AX250" s="350">
        <f t="shared" si="109"/>
        <v>8072811.6424418017</v>
      </c>
      <c r="AY250" s="350">
        <f t="shared" si="110"/>
        <v>25193084.064751327</v>
      </c>
      <c r="AZ250" s="365"/>
      <c r="BA250" s="377">
        <f t="shared" si="111"/>
        <v>0</v>
      </c>
      <c r="BB250" s="377">
        <f t="shared" si="112"/>
        <v>0</v>
      </c>
      <c r="BC250" s="377">
        <f t="shared" si="113"/>
        <v>0</v>
      </c>
      <c r="BD250" s="377">
        <f t="shared" si="114"/>
        <v>0</v>
      </c>
      <c r="BE250" s="377">
        <f t="shared" si="115"/>
        <v>0</v>
      </c>
      <c r="BF250" s="377">
        <f t="shared" si="116"/>
        <v>0</v>
      </c>
      <c r="BG250" s="328"/>
    </row>
    <row r="251" spans="2:59">
      <c r="B251" s="332">
        <v>236</v>
      </c>
      <c r="C251" s="350">
        <v>10267679.300696926</v>
      </c>
      <c r="D251" s="350">
        <v>19509196.827794753</v>
      </c>
      <c r="E251" s="350">
        <v>28820339.085050356</v>
      </c>
      <c r="F251" s="350">
        <v>38201701.577910475</v>
      </c>
      <c r="G251" s="350">
        <v>47654762.050922953</v>
      </c>
      <c r="H251" s="348">
        <v>144453678.84237546</v>
      </c>
      <c r="I251" s="369"/>
      <c r="J251" s="350">
        <v>11687612.965218386</v>
      </c>
      <c r="K251" s="350">
        <v>23697511.329821475</v>
      </c>
      <c r="L251" s="350">
        <v>35403050.24941536</v>
      </c>
      <c r="M251" s="350">
        <v>46795674.935988665</v>
      </c>
      <c r="N251" s="350">
        <v>57869775.634139083</v>
      </c>
      <c r="O251" s="348">
        <v>175453625.11458299</v>
      </c>
      <c r="P251" s="369"/>
      <c r="Q251" s="350">
        <f t="shared" si="117"/>
        <v>1419933.6645214595</v>
      </c>
      <c r="R251" s="350">
        <f t="shared" si="118"/>
        <v>4188314.5020267218</v>
      </c>
      <c r="S251" s="350">
        <f t="shared" si="119"/>
        <v>6582711.1643650047</v>
      </c>
      <c r="T251" s="350">
        <f t="shared" si="120"/>
        <v>8593973.3580781892</v>
      </c>
      <c r="U251" s="350">
        <f t="shared" si="121"/>
        <v>10215013.583216131</v>
      </c>
      <c r="V251" s="350">
        <f t="shared" si="122"/>
        <v>30999946.272207528</v>
      </c>
      <c r="W251" s="365"/>
      <c r="X251" s="377">
        <f t="shared" si="100"/>
        <v>0</v>
      </c>
      <c r="Y251" s="377">
        <f t="shared" si="101"/>
        <v>0</v>
      </c>
      <c r="Z251" s="377">
        <f t="shared" si="102"/>
        <v>0</v>
      </c>
      <c r="AA251" s="377">
        <f t="shared" si="103"/>
        <v>0</v>
      </c>
      <c r="AB251" s="377">
        <f t="shared" si="104"/>
        <v>0</v>
      </c>
      <c r="AC251" s="377">
        <f t="shared" si="105"/>
        <v>0</v>
      </c>
      <c r="AD251" s="376"/>
      <c r="AE251" s="332">
        <v>236</v>
      </c>
      <c r="AF251" s="350">
        <v>6221676.6023614164</v>
      </c>
      <c r="AG251" s="350">
        <v>12492213.104736779</v>
      </c>
      <c r="AH251" s="350">
        <v>18810205.362611078</v>
      </c>
      <c r="AI251" s="350">
        <v>25175862.862590492</v>
      </c>
      <c r="AJ251" s="350">
        <v>31590103.622005135</v>
      </c>
      <c r="AK251" s="348">
        <v>94290061.554304898</v>
      </c>
      <c r="AL251" s="369"/>
      <c r="AM251" s="350">
        <v>7207370.8442947343</v>
      </c>
      <c r="AN251" s="350">
        <v>15399938.580894416</v>
      </c>
      <c r="AO251" s="350">
        <v>23358155.796801135</v>
      </c>
      <c r="AP251" s="350">
        <v>31077077.72880888</v>
      </c>
      <c r="AQ251" s="350">
        <v>38553939.697883941</v>
      </c>
      <c r="AR251" s="348">
        <v>115596482.6486831</v>
      </c>
      <c r="AS251" s="369"/>
      <c r="AT251" s="350">
        <f t="shared" si="123"/>
        <v>985694.24193331786</v>
      </c>
      <c r="AU251" s="350">
        <f t="shared" si="106"/>
        <v>2907725.4761576373</v>
      </c>
      <c r="AV251" s="350">
        <f t="shared" si="107"/>
        <v>4547950.4341900572</v>
      </c>
      <c r="AW251" s="350">
        <f t="shared" si="108"/>
        <v>5901214.8662183881</v>
      </c>
      <c r="AX251" s="350">
        <f t="shared" si="109"/>
        <v>6963836.0758788064</v>
      </c>
      <c r="AY251" s="350">
        <f t="shared" si="110"/>
        <v>21306421.094378203</v>
      </c>
      <c r="AZ251" s="365"/>
      <c r="BA251" s="377">
        <f t="shared" si="111"/>
        <v>0</v>
      </c>
      <c r="BB251" s="377">
        <f t="shared" si="112"/>
        <v>0</v>
      </c>
      <c r="BC251" s="377">
        <f t="shared" si="113"/>
        <v>0</v>
      </c>
      <c r="BD251" s="377">
        <f t="shared" si="114"/>
        <v>0</v>
      </c>
      <c r="BE251" s="377">
        <f t="shared" si="115"/>
        <v>0</v>
      </c>
      <c r="BF251" s="377">
        <f t="shared" si="116"/>
        <v>0</v>
      </c>
      <c r="BG251" s="328"/>
    </row>
    <row r="252" spans="2:59">
      <c r="B252" s="332">
        <v>237</v>
      </c>
      <c r="C252" s="350">
        <v>7928605.8852414731</v>
      </c>
      <c r="D252" s="350">
        <v>15037299.335150631</v>
      </c>
      <c r="E252" s="350">
        <v>22199540.231592797</v>
      </c>
      <c r="F252" s="350">
        <v>29415794.629158095</v>
      </c>
      <c r="G252" s="350">
        <v>36687202.701751947</v>
      </c>
      <c r="H252" s="348">
        <v>111268442.78289494</v>
      </c>
      <c r="I252" s="369"/>
      <c r="J252" s="350">
        <v>9120860.5529817007</v>
      </c>
      <c r="K252" s="350">
        <v>18555671.142166488</v>
      </c>
      <c r="L252" s="350">
        <v>27762387.343764577</v>
      </c>
      <c r="M252" s="350">
        <v>36734311.218694299</v>
      </c>
      <c r="N252" s="350">
        <v>45467130.962339059</v>
      </c>
      <c r="O252" s="348">
        <v>137640361.21994615</v>
      </c>
      <c r="P252" s="369"/>
      <c r="Q252" s="350">
        <f t="shared" si="117"/>
        <v>1192254.6677402277</v>
      </c>
      <c r="R252" s="350">
        <f t="shared" si="118"/>
        <v>3518371.8070158567</v>
      </c>
      <c r="S252" s="350">
        <f t="shared" si="119"/>
        <v>5562847.1121717803</v>
      </c>
      <c r="T252" s="350">
        <f t="shared" si="120"/>
        <v>7318516.5895362049</v>
      </c>
      <c r="U252" s="350">
        <f t="shared" si="121"/>
        <v>8779928.2605871111</v>
      </c>
      <c r="V252" s="350">
        <f t="shared" si="122"/>
        <v>26371918.437051207</v>
      </c>
      <c r="W252" s="365"/>
      <c r="X252" s="377">
        <f t="shared" si="100"/>
        <v>0</v>
      </c>
      <c r="Y252" s="377">
        <f t="shared" si="101"/>
        <v>0</v>
      </c>
      <c r="Z252" s="377">
        <f t="shared" si="102"/>
        <v>0</v>
      </c>
      <c r="AA252" s="377">
        <f t="shared" si="103"/>
        <v>0</v>
      </c>
      <c r="AB252" s="377">
        <f t="shared" si="104"/>
        <v>0</v>
      </c>
      <c r="AC252" s="377">
        <f t="shared" si="105"/>
        <v>0</v>
      </c>
      <c r="AD252" s="376"/>
      <c r="AE252" s="332">
        <v>237</v>
      </c>
      <c r="AF252" s="350">
        <v>9646957.6914710663</v>
      </c>
      <c r="AG252" s="350">
        <v>19369674.606439084</v>
      </c>
      <c r="AH252" s="350">
        <v>29165973.562836461</v>
      </c>
      <c r="AI252" s="350">
        <v>39036179.378000371</v>
      </c>
      <c r="AJ252" s="350">
        <v>48981715.474411547</v>
      </c>
      <c r="AK252" s="348">
        <v>146200500.71315852</v>
      </c>
      <c r="AL252" s="369"/>
      <c r="AM252" s="350">
        <v>11089948.910011046</v>
      </c>
      <c r="AN252" s="350">
        <v>23625045.425006855</v>
      </c>
      <c r="AO252" s="350">
        <v>35794215.342844516</v>
      </c>
      <c r="AP252" s="350">
        <v>47589815.755934551</v>
      </c>
      <c r="AQ252" s="350">
        <v>59007473.462409005</v>
      </c>
      <c r="AR252" s="348">
        <v>177106498.89620596</v>
      </c>
      <c r="AS252" s="369"/>
      <c r="AT252" s="350">
        <f t="shared" si="123"/>
        <v>1442991.2185399793</v>
      </c>
      <c r="AU252" s="350">
        <f t="shared" si="106"/>
        <v>4255370.8185677715</v>
      </c>
      <c r="AV252" s="350">
        <f t="shared" si="107"/>
        <v>6628241.7800080553</v>
      </c>
      <c r="AW252" s="350">
        <f t="shared" si="108"/>
        <v>8553636.3779341802</v>
      </c>
      <c r="AX252" s="350">
        <f t="shared" si="109"/>
        <v>10025757.987997457</v>
      </c>
      <c r="AY252" s="350">
        <f t="shared" si="110"/>
        <v>30905998.183047444</v>
      </c>
      <c r="AZ252" s="365"/>
      <c r="BA252" s="377">
        <f t="shared" si="111"/>
        <v>0</v>
      </c>
      <c r="BB252" s="377">
        <f t="shared" si="112"/>
        <v>0</v>
      </c>
      <c r="BC252" s="377">
        <f t="shared" si="113"/>
        <v>0</v>
      </c>
      <c r="BD252" s="377">
        <f t="shared" si="114"/>
        <v>0</v>
      </c>
      <c r="BE252" s="377">
        <f t="shared" si="115"/>
        <v>0</v>
      </c>
      <c r="BF252" s="377">
        <f t="shared" si="116"/>
        <v>0</v>
      </c>
      <c r="BG252" s="328"/>
    </row>
    <row r="253" spans="2:59">
      <c r="B253" s="332">
        <v>238</v>
      </c>
      <c r="C253" s="350">
        <v>8974263.0927826874</v>
      </c>
      <c r="D253" s="350">
        <v>16671842.171559494</v>
      </c>
      <c r="E253" s="350">
        <v>24427292.839170076</v>
      </c>
      <c r="F253" s="350">
        <v>32241221.298108883</v>
      </c>
      <c r="G253" s="350">
        <v>40114906.354312301</v>
      </c>
      <c r="H253" s="348">
        <v>122429525.75593343</v>
      </c>
      <c r="I253" s="369"/>
      <c r="J253" s="350">
        <v>10150881.283577343</v>
      </c>
      <c r="K253" s="350">
        <v>20142396.005728558</v>
      </c>
      <c r="L253" s="350">
        <v>29881373.607182823</v>
      </c>
      <c r="M253" s="350">
        <v>39360781.705122665</v>
      </c>
      <c r="N253" s="350">
        <v>48575969.358633064</v>
      </c>
      <c r="O253" s="348">
        <v>148111401.96024445</v>
      </c>
      <c r="P253" s="369"/>
      <c r="Q253" s="350">
        <f t="shared" si="117"/>
        <v>1176618.1907946561</v>
      </c>
      <c r="R253" s="350">
        <f t="shared" si="118"/>
        <v>3470553.8341690637</v>
      </c>
      <c r="S253" s="350">
        <f t="shared" si="119"/>
        <v>5454080.7680127472</v>
      </c>
      <c r="T253" s="350">
        <f t="shared" si="120"/>
        <v>7119560.4070137814</v>
      </c>
      <c r="U253" s="350">
        <f t="shared" si="121"/>
        <v>8461063.0043207631</v>
      </c>
      <c r="V253" s="350">
        <f t="shared" si="122"/>
        <v>25681876.204311013</v>
      </c>
      <c r="W253" s="365"/>
      <c r="X253" s="377">
        <f t="shared" si="100"/>
        <v>0</v>
      </c>
      <c r="Y253" s="377">
        <f t="shared" si="101"/>
        <v>0</v>
      </c>
      <c r="Z253" s="377">
        <f t="shared" si="102"/>
        <v>0</v>
      </c>
      <c r="AA253" s="377">
        <f t="shared" si="103"/>
        <v>0</v>
      </c>
      <c r="AB253" s="377">
        <f t="shared" si="104"/>
        <v>0</v>
      </c>
      <c r="AC253" s="377">
        <f t="shared" si="105"/>
        <v>0</v>
      </c>
      <c r="AD253" s="376"/>
      <c r="AE253" s="332">
        <v>238</v>
      </c>
      <c r="AF253" s="350">
        <v>5337437.555037789</v>
      </c>
      <c r="AG253" s="350">
        <v>10716790.928260479</v>
      </c>
      <c r="AH253" s="350">
        <v>16136855.535414323</v>
      </c>
      <c r="AI253" s="350">
        <v>21597811.090385228</v>
      </c>
      <c r="AJ253" s="350">
        <v>27100445.139760248</v>
      </c>
      <c r="AK253" s="348">
        <v>80889340.248858064</v>
      </c>
      <c r="AL253" s="369"/>
      <c r="AM253" s="350">
        <v>6430546.9029299561</v>
      </c>
      <c r="AN253" s="350">
        <v>13945288.663341809</v>
      </c>
      <c r="AO253" s="350">
        <v>21266399.170569602</v>
      </c>
      <c r="AP253" s="350">
        <v>28389566.419191614</v>
      </c>
      <c r="AQ253" s="350">
        <v>35312669.316523321</v>
      </c>
      <c r="AR253" s="348">
        <v>105344470.47255629</v>
      </c>
      <c r="AS253" s="369"/>
      <c r="AT253" s="350">
        <f t="shared" si="123"/>
        <v>1093109.347892167</v>
      </c>
      <c r="AU253" s="350">
        <f t="shared" si="106"/>
        <v>3228497.7350813299</v>
      </c>
      <c r="AV253" s="350">
        <f t="shared" si="107"/>
        <v>5129543.6351552792</v>
      </c>
      <c r="AW253" s="350">
        <f t="shared" si="108"/>
        <v>6791755.3288063854</v>
      </c>
      <c r="AX253" s="350">
        <f t="shared" si="109"/>
        <v>8212224.1767630726</v>
      </c>
      <c r="AY253" s="350">
        <f t="shared" si="110"/>
        <v>24455130.223698229</v>
      </c>
      <c r="AZ253" s="365"/>
      <c r="BA253" s="377">
        <f t="shared" si="111"/>
        <v>0</v>
      </c>
      <c r="BB253" s="377">
        <f t="shared" si="112"/>
        <v>0</v>
      </c>
      <c r="BC253" s="377">
        <f t="shared" si="113"/>
        <v>0</v>
      </c>
      <c r="BD253" s="377">
        <f t="shared" si="114"/>
        <v>0</v>
      </c>
      <c r="BE253" s="377">
        <f t="shared" si="115"/>
        <v>0</v>
      </c>
      <c r="BF253" s="377">
        <f t="shared" si="116"/>
        <v>0</v>
      </c>
      <c r="BG253" s="328"/>
    </row>
    <row r="254" spans="2:59">
      <c r="B254" s="332">
        <v>239</v>
      </c>
      <c r="C254" s="350">
        <v>6562405.1549176555</v>
      </c>
      <c r="D254" s="350">
        <v>12428077.948566947</v>
      </c>
      <c r="E254" s="350">
        <v>18337929.122003548</v>
      </c>
      <c r="F254" s="350">
        <v>24292348.507845476</v>
      </c>
      <c r="G254" s="350">
        <v>30292279.203893829</v>
      </c>
      <c r="H254" s="348">
        <v>91913039.937227458</v>
      </c>
      <c r="I254" s="369"/>
      <c r="J254" s="350">
        <v>7358173.686741868</v>
      </c>
      <c r="K254" s="350">
        <v>14773630.625524297</v>
      </c>
      <c r="L254" s="350">
        <v>21991484.32172101</v>
      </c>
      <c r="M254" s="350">
        <v>29006399.460066594</v>
      </c>
      <c r="N254" s="350">
        <v>35814768.5973555</v>
      </c>
      <c r="O254" s="348">
        <v>108944456.69140927</v>
      </c>
      <c r="P254" s="369"/>
      <c r="Q254" s="350">
        <f t="shared" si="117"/>
        <v>795768.53182421252</v>
      </c>
      <c r="R254" s="350">
        <f t="shared" si="118"/>
        <v>2345552.6769573502</v>
      </c>
      <c r="S254" s="350">
        <f t="shared" si="119"/>
        <v>3653555.1997174621</v>
      </c>
      <c r="T254" s="350">
        <f t="shared" si="120"/>
        <v>4714050.9522211179</v>
      </c>
      <c r="U254" s="350">
        <f t="shared" si="121"/>
        <v>5522489.3934616707</v>
      </c>
      <c r="V254" s="350">
        <f t="shared" si="122"/>
        <v>17031416.754181817</v>
      </c>
      <c r="W254" s="365"/>
      <c r="X254" s="377">
        <f t="shared" si="100"/>
        <v>0</v>
      </c>
      <c r="Y254" s="377">
        <f t="shared" si="101"/>
        <v>0</v>
      </c>
      <c r="Z254" s="377">
        <f t="shared" si="102"/>
        <v>0</v>
      </c>
      <c r="AA254" s="377">
        <f t="shared" si="103"/>
        <v>0</v>
      </c>
      <c r="AB254" s="377">
        <f t="shared" si="104"/>
        <v>0</v>
      </c>
      <c r="AC254" s="377">
        <f t="shared" si="105"/>
        <v>0</v>
      </c>
      <c r="AD254" s="376"/>
      <c r="AE254" s="332">
        <v>239</v>
      </c>
      <c r="AF254" s="350">
        <v>7115151.5237010494</v>
      </c>
      <c r="AG254" s="350">
        <v>14286179.560157545</v>
      </c>
      <c r="AH254" s="350">
        <v>21511478.320186928</v>
      </c>
      <c r="AI254" s="350">
        <v>28791287.374091607</v>
      </c>
      <c r="AJ254" s="350">
        <v>36126656.572711252</v>
      </c>
      <c r="AK254" s="348">
        <v>107830753.35084838</v>
      </c>
      <c r="AL254" s="369"/>
      <c r="AM254" s="350">
        <v>8333195.5968972407</v>
      </c>
      <c r="AN254" s="350">
        <v>17880752.717878919</v>
      </c>
      <c r="AO254" s="350">
        <v>27163024.407838557</v>
      </c>
      <c r="AP254" s="350">
        <v>36174330.121176235</v>
      </c>
      <c r="AQ254" s="350">
        <v>44911600.108753733</v>
      </c>
      <c r="AR254" s="348">
        <v>134462902.95254469</v>
      </c>
      <c r="AS254" s="369"/>
      <c r="AT254" s="350">
        <f t="shared" si="123"/>
        <v>1218044.0731961913</v>
      </c>
      <c r="AU254" s="350">
        <f t="shared" si="106"/>
        <v>3594573.1577213742</v>
      </c>
      <c r="AV254" s="350">
        <f t="shared" si="107"/>
        <v>5651546.087651629</v>
      </c>
      <c r="AW254" s="350">
        <f t="shared" si="108"/>
        <v>7383042.7470846288</v>
      </c>
      <c r="AX254" s="350">
        <f t="shared" si="109"/>
        <v>8784943.5360424817</v>
      </c>
      <c r="AY254" s="350">
        <f t="shared" si="110"/>
        <v>26632149.601696312</v>
      </c>
      <c r="AZ254" s="365"/>
      <c r="BA254" s="377">
        <f t="shared" si="111"/>
        <v>0</v>
      </c>
      <c r="BB254" s="377">
        <f t="shared" si="112"/>
        <v>0</v>
      </c>
      <c r="BC254" s="377">
        <f t="shared" si="113"/>
        <v>0</v>
      </c>
      <c r="BD254" s="377">
        <f t="shared" si="114"/>
        <v>0</v>
      </c>
      <c r="BE254" s="377">
        <f t="shared" si="115"/>
        <v>0</v>
      </c>
      <c r="BF254" s="377">
        <f t="shared" si="116"/>
        <v>0</v>
      </c>
      <c r="BG254" s="328"/>
    </row>
    <row r="255" spans="2:59">
      <c r="B255" s="332">
        <v>240</v>
      </c>
      <c r="C255" s="350">
        <v>6370956.503519183</v>
      </c>
      <c r="D255" s="350">
        <v>11963543.389631182</v>
      </c>
      <c r="E255" s="350">
        <v>17598219.079111379</v>
      </c>
      <c r="F255" s="350">
        <v>23275385.043478318</v>
      </c>
      <c r="G255" s="350">
        <v>28995953.433869492</v>
      </c>
      <c r="H255" s="348">
        <v>88204057.449609548</v>
      </c>
      <c r="I255" s="369"/>
      <c r="J255" s="350">
        <v>7139764.2593975533</v>
      </c>
      <c r="K255" s="350">
        <v>14229812.522643043</v>
      </c>
      <c r="L255" s="350">
        <v>21128047.998702813</v>
      </c>
      <c r="M255" s="350">
        <v>27829558.527066112</v>
      </c>
      <c r="N255" s="350">
        <v>34331081.338224322</v>
      </c>
      <c r="O255" s="348">
        <v>104658264.64603384</v>
      </c>
      <c r="P255" s="369"/>
      <c r="Q255" s="350">
        <f t="shared" si="117"/>
        <v>768807.75587837026</v>
      </c>
      <c r="R255" s="350">
        <f t="shared" si="118"/>
        <v>2266269.1330118608</v>
      </c>
      <c r="S255" s="350">
        <f t="shared" si="119"/>
        <v>3529828.9195914343</v>
      </c>
      <c r="T255" s="350">
        <f t="shared" si="120"/>
        <v>4554173.483587794</v>
      </c>
      <c r="U255" s="350">
        <f t="shared" si="121"/>
        <v>5335127.9043548293</v>
      </c>
      <c r="V255" s="350">
        <f t="shared" si="122"/>
        <v>16454207.196424291</v>
      </c>
      <c r="W255" s="365"/>
      <c r="X255" s="377">
        <f t="shared" si="100"/>
        <v>0</v>
      </c>
      <c r="Y255" s="377">
        <f t="shared" si="101"/>
        <v>0</v>
      </c>
      <c r="Z255" s="377">
        <f t="shared" si="102"/>
        <v>0</v>
      </c>
      <c r="AA255" s="377">
        <f t="shared" si="103"/>
        <v>0</v>
      </c>
      <c r="AB255" s="377">
        <f t="shared" si="104"/>
        <v>0</v>
      </c>
      <c r="AC255" s="377">
        <f t="shared" si="105"/>
        <v>0</v>
      </c>
      <c r="AD255" s="376"/>
      <c r="AE255" s="332">
        <v>240</v>
      </c>
      <c r="AF255" s="350">
        <v>4416568.1721800687</v>
      </c>
      <c r="AG255" s="350">
        <v>8867820.4163698591</v>
      </c>
      <c r="AH255" s="350">
        <v>13352759.975526135</v>
      </c>
      <c r="AI255" s="350">
        <v>17871535.557454921</v>
      </c>
      <c r="AJ255" s="350">
        <v>22424798.833141521</v>
      </c>
      <c r="AK255" s="348">
        <v>66933482.9546725</v>
      </c>
      <c r="AL255" s="369"/>
      <c r="AM255" s="350">
        <v>4948578.1787588969</v>
      </c>
      <c r="AN255" s="350">
        <v>10434564.44812494</v>
      </c>
      <c r="AO255" s="350">
        <v>15749170.070977291</v>
      </c>
      <c r="AP255" s="350">
        <v>20888932.351434756</v>
      </c>
      <c r="AQ255" s="350">
        <v>25851718.889283367</v>
      </c>
      <c r="AR255" s="348">
        <v>77872963.938579261</v>
      </c>
      <c r="AS255" s="369"/>
      <c r="AT255" s="350">
        <f t="shared" si="123"/>
        <v>532010.00657882821</v>
      </c>
      <c r="AU255" s="350">
        <f t="shared" si="106"/>
        <v>1566744.0317550804</v>
      </c>
      <c r="AV255" s="350">
        <f t="shared" si="107"/>
        <v>2396410.0954511557</v>
      </c>
      <c r="AW255" s="350">
        <f t="shared" si="108"/>
        <v>3017396.7939798348</v>
      </c>
      <c r="AX255" s="350">
        <f t="shared" si="109"/>
        <v>3426920.0561418459</v>
      </c>
      <c r="AY255" s="350">
        <f t="shared" si="110"/>
        <v>10939480.983906761</v>
      </c>
      <c r="AZ255" s="365"/>
      <c r="BA255" s="377">
        <f t="shared" si="111"/>
        <v>0</v>
      </c>
      <c r="BB255" s="377">
        <f t="shared" si="112"/>
        <v>0</v>
      </c>
      <c r="BC255" s="377">
        <f t="shared" si="113"/>
        <v>0</v>
      </c>
      <c r="BD255" s="377">
        <f t="shared" si="114"/>
        <v>0</v>
      </c>
      <c r="BE255" s="377">
        <f t="shared" si="115"/>
        <v>0</v>
      </c>
      <c r="BF255" s="377">
        <f t="shared" si="116"/>
        <v>0</v>
      </c>
      <c r="BG255" s="328"/>
    </row>
    <row r="256" spans="2:59">
      <c r="B256" s="332">
        <v>241</v>
      </c>
      <c r="C256" s="350">
        <v>8787856.4102361798</v>
      </c>
      <c r="D256" s="350">
        <v>16620134.759991597</v>
      </c>
      <c r="E256" s="350">
        <v>24511396.080687758</v>
      </c>
      <c r="F256" s="350">
        <v>32462167.498968236</v>
      </c>
      <c r="G256" s="350">
        <v>40473711.177264586</v>
      </c>
      <c r="H256" s="348">
        <v>122855265.92714836</v>
      </c>
      <c r="I256" s="369"/>
      <c r="J256" s="350">
        <v>10072803.995518414</v>
      </c>
      <c r="K256" s="350">
        <v>20411610.390561461</v>
      </c>
      <c r="L256" s="350">
        <v>30495816.552461669</v>
      </c>
      <c r="M256" s="350">
        <v>40318148.090342969</v>
      </c>
      <c r="N256" s="350">
        <v>49873918.317760482</v>
      </c>
      <c r="O256" s="348">
        <v>151172297.346645</v>
      </c>
      <c r="P256" s="369"/>
      <c r="Q256" s="350">
        <f t="shared" si="117"/>
        <v>1284947.5852822345</v>
      </c>
      <c r="R256" s="350">
        <f t="shared" si="118"/>
        <v>3791475.6305698641</v>
      </c>
      <c r="S256" s="350">
        <f t="shared" si="119"/>
        <v>5984420.4717739113</v>
      </c>
      <c r="T256" s="350">
        <f t="shared" si="120"/>
        <v>7855980.5913747326</v>
      </c>
      <c r="U256" s="350">
        <f t="shared" si="121"/>
        <v>9400207.1404958963</v>
      </c>
      <c r="V256" s="350">
        <f t="shared" si="122"/>
        <v>28317031.419496641</v>
      </c>
      <c r="W256" s="365"/>
      <c r="X256" s="377">
        <f t="shared" si="100"/>
        <v>0</v>
      </c>
      <c r="Y256" s="377">
        <f t="shared" si="101"/>
        <v>0</v>
      </c>
      <c r="Z256" s="377">
        <f t="shared" si="102"/>
        <v>0</v>
      </c>
      <c r="AA256" s="377">
        <f t="shared" si="103"/>
        <v>0</v>
      </c>
      <c r="AB256" s="377">
        <f t="shared" si="104"/>
        <v>0</v>
      </c>
      <c r="AC256" s="377">
        <f t="shared" si="105"/>
        <v>0</v>
      </c>
      <c r="AD256" s="376"/>
      <c r="AE256" s="332">
        <v>241</v>
      </c>
      <c r="AF256" s="350">
        <v>7517201.295794161</v>
      </c>
      <c r="AG256" s="350">
        <v>15093436.470584508</v>
      </c>
      <c r="AH256" s="350">
        <v>22727008.998234712</v>
      </c>
      <c r="AI256" s="350">
        <v>30418171.986241035</v>
      </c>
      <c r="AJ256" s="350">
        <v>38168034.60846521</v>
      </c>
      <c r="AK256" s="348">
        <v>113923853.35931963</v>
      </c>
      <c r="AL256" s="369"/>
      <c r="AM256" s="350">
        <v>9155897.5016831346</v>
      </c>
      <c r="AN256" s="350">
        <v>19934535.202896722</v>
      </c>
      <c r="AO256" s="350">
        <v>30443434.490983948</v>
      </c>
      <c r="AP256" s="350">
        <v>40676494.325415179</v>
      </c>
      <c r="AQ256" s="350">
        <v>50630827.813774526</v>
      </c>
      <c r="AR256" s="348">
        <v>150841189.33475351</v>
      </c>
      <c r="AS256" s="369"/>
      <c r="AT256" s="350">
        <f t="shared" si="123"/>
        <v>1638696.2058889735</v>
      </c>
      <c r="AU256" s="350">
        <f t="shared" si="106"/>
        <v>4841098.7323122136</v>
      </c>
      <c r="AV256" s="350">
        <f t="shared" si="107"/>
        <v>7716425.4927492365</v>
      </c>
      <c r="AW256" s="350">
        <f t="shared" si="108"/>
        <v>10258322.339174144</v>
      </c>
      <c r="AX256" s="350">
        <f t="shared" si="109"/>
        <v>12462793.205309317</v>
      </c>
      <c r="AY256" s="350">
        <f t="shared" si="110"/>
        <v>36917335.975433886</v>
      </c>
      <c r="AZ256" s="365"/>
      <c r="BA256" s="377">
        <f t="shared" si="111"/>
        <v>0</v>
      </c>
      <c r="BB256" s="377">
        <f t="shared" si="112"/>
        <v>0</v>
      </c>
      <c r="BC256" s="377">
        <f t="shared" si="113"/>
        <v>0</v>
      </c>
      <c r="BD256" s="377">
        <f t="shared" si="114"/>
        <v>0</v>
      </c>
      <c r="BE256" s="377">
        <f t="shared" si="115"/>
        <v>0</v>
      </c>
      <c r="BF256" s="377">
        <f t="shared" si="116"/>
        <v>0</v>
      </c>
      <c r="BG256" s="328"/>
    </row>
    <row r="257" spans="2:59">
      <c r="B257" s="332">
        <v>242</v>
      </c>
      <c r="C257" s="350">
        <v>6765257.3053697906</v>
      </c>
      <c r="D257" s="350">
        <v>12791377.680757869</v>
      </c>
      <c r="E257" s="350">
        <v>18862878.167253338</v>
      </c>
      <c r="F257" s="350">
        <v>24980165.357233092</v>
      </c>
      <c r="G257" s="350">
        <v>31144210.798206016</v>
      </c>
      <c r="H257" s="348">
        <v>94543889.308820099</v>
      </c>
      <c r="I257" s="369"/>
      <c r="J257" s="350">
        <v>7562784.0753332637</v>
      </c>
      <c r="K257" s="350">
        <v>15141741.184784487</v>
      </c>
      <c r="L257" s="350">
        <v>22521516.203906283</v>
      </c>
      <c r="M257" s="350">
        <v>29696455.931137197</v>
      </c>
      <c r="N257" s="350">
        <v>36662645.944999613</v>
      </c>
      <c r="O257" s="348">
        <v>111585143.34016085</v>
      </c>
      <c r="P257" s="369"/>
      <c r="Q257" s="350">
        <f t="shared" si="117"/>
        <v>797526.76996347308</v>
      </c>
      <c r="R257" s="350">
        <f t="shared" si="118"/>
        <v>2350363.5040266179</v>
      </c>
      <c r="S257" s="350">
        <f t="shared" si="119"/>
        <v>3658638.036652945</v>
      </c>
      <c r="T257" s="350">
        <f t="shared" si="120"/>
        <v>4716290.5739041045</v>
      </c>
      <c r="U257" s="350">
        <f t="shared" si="121"/>
        <v>5518435.1467935964</v>
      </c>
      <c r="V257" s="350">
        <f t="shared" si="122"/>
        <v>17041254.031340748</v>
      </c>
      <c r="W257" s="365"/>
      <c r="X257" s="377">
        <f t="shared" si="100"/>
        <v>0</v>
      </c>
      <c r="Y257" s="377">
        <f t="shared" si="101"/>
        <v>0</v>
      </c>
      <c r="Z257" s="377">
        <f t="shared" si="102"/>
        <v>0</v>
      </c>
      <c r="AA257" s="377">
        <f t="shared" si="103"/>
        <v>0</v>
      </c>
      <c r="AB257" s="377">
        <f t="shared" si="104"/>
        <v>0</v>
      </c>
      <c r="AC257" s="377">
        <f t="shared" si="105"/>
        <v>0</v>
      </c>
      <c r="AD257" s="376"/>
      <c r="AE257" s="332">
        <v>242</v>
      </c>
      <c r="AF257" s="350">
        <v>5512300.6951310867</v>
      </c>
      <c r="AG257" s="350">
        <v>11067890.438861821</v>
      </c>
      <c r="AH257" s="350">
        <v>16665525.182798043</v>
      </c>
      <c r="AI257" s="350">
        <v>22305390.528545018</v>
      </c>
      <c r="AJ257" s="350">
        <v>27988299.823997591</v>
      </c>
      <c r="AK257" s="348">
        <v>83539406.669333562</v>
      </c>
      <c r="AL257" s="369"/>
      <c r="AM257" s="350">
        <v>6805430.2058899719</v>
      </c>
      <c r="AN257" s="350">
        <v>14889152.082261449</v>
      </c>
      <c r="AO257" s="350">
        <v>22777817.115529127</v>
      </c>
      <c r="AP257" s="350">
        <v>30466925.587808684</v>
      </c>
      <c r="AQ257" s="350">
        <v>37954453.22029905</v>
      </c>
      <c r="AR257" s="348">
        <v>112893778.21178828</v>
      </c>
      <c r="AS257" s="369"/>
      <c r="AT257" s="350">
        <f t="shared" si="123"/>
        <v>1293129.5107588852</v>
      </c>
      <c r="AU257" s="350">
        <f t="shared" si="106"/>
        <v>3821261.6433996279</v>
      </c>
      <c r="AV257" s="350">
        <f t="shared" si="107"/>
        <v>6112291.9327310845</v>
      </c>
      <c r="AW257" s="350">
        <f t="shared" si="108"/>
        <v>8161535.0592636652</v>
      </c>
      <c r="AX257" s="350">
        <f t="shared" si="109"/>
        <v>9966153.3963014595</v>
      </c>
      <c r="AY257" s="350">
        <f t="shared" si="110"/>
        <v>29354371.54245472</v>
      </c>
      <c r="AZ257" s="365"/>
      <c r="BA257" s="377">
        <f t="shared" si="111"/>
        <v>0</v>
      </c>
      <c r="BB257" s="377">
        <f t="shared" si="112"/>
        <v>0</v>
      </c>
      <c r="BC257" s="377">
        <f t="shared" si="113"/>
        <v>0</v>
      </c>
      <c r="BD257" s="377">
        <f t="shared" si="114"/>
        <v>0</v>
      </c>
      <c r="BE257" s="377">
        <f t="shared" si="115"/>
        <v>0</v>
      </c>
      <c r="BF257" s="377">
        <f t="shared" si="116"/>
        <v>0</v>
      </c>
      <c r="BG257" s="328"/>
    </row>
    <row r="258" spans="2:59">
      <c r="B258" s="332">
        <v>243</v>
      </c>
      <c r="C258" s="350">
        <v>9383905.4054071233</v>
      </c>
      <c r="D258" s="350">
        <v>17998397.5529112</v>
      </c>
      <c r="E258" s="350">
        <v>26677844.2517322</v>
      </c>
      <c r="F258" s="350">
        <v>35422751.739388824</v>
      </c>
      <c r="G258" s="350">
        <v>44234476.236843243</v>
      </c>
      <c r="H258" s="348">
        <v>133717375.18628259</v>
      </c>
      <c r="I258" s="369"/>
      <c r="J258" s="350">
        <v>10704009.297426222</v>
      </c>
      <c r="K258" s="350">
        <v>21892190.212567106</v>
      </c>
      <c r="L258" s="350">
        <v>32793723.126302943</v>
      </c>
      <c r="M258" s="350">
        <v>43400697.922484145</v>
      </c>
      <c r="N258" s="350">
        <v>53707977.209881224</v>
      </c>
      <c r="O258" s="348">
        <v>162498597.76866165</v>
      </c>
      <c r="P258" s="369"/>
      <c r="Q258" s="350">
        <f t="shared" si="117"/>
        <v>1320103.8920190986</v>
      </c>
      <c r="R258" s="350">
        <f t="shared" si="118"/>
        <v>3893792.6596559063</v>
      </c>
      <c r="S258" s="350">
        <f t="shared" si="119"/>
        <v>6115878.8745707422</v>
      </c>
      <c r="T258" s="350">
        <f t="shared" si="120"/>
        <v>7977946.1830953211</v>
      </c>
      <c r="U258" s="350">
        <f t="shared" si="121"/>
        <v>9473500.9730379805</v>
      </c>
      <c r="V258" s="350">
        <f t="shared" si="122"/>
        <v>28781222.582379058</v>
      </c>
      <c r="W258" s="365"/>
      <c r="X258" s="377">
        <f t="shared" si="100"/>
        <v>0</v>
      </c>
      <c r="Y258" s="377">
        <f t="shared" si="101"/>
        <v>0</v>
      </c>
      <c r="Z258" s="377">
        <f t="shared" si="102"/>
        <v>0</v>
      </c>
      <c r="AA258" s="377">
        <f t="shared" si="103"/>
        <v>0</v>
      </c>
      <c r="AB258" s="377">
        <f t="shared" si="104"/>
        <v>0</v>
      </c>
      <c r="AC258" s="377">
        <f t="shared" si="105"/>
        <v>0</v>
      </c>
      <c r="AD258" s="376"/>
      <c r="AE258" s="332">
        <v>243</v>
      </c>
      <c r="AF258" s="350">
        <v>6100111.7797839027</v>
      </c>
      <c r="AG258" s="350">
        <v>12248128.790051984</v>
      </c>
      <c r="AH258" s="350">
        <v>18442674.321752332</v>
      </c>
      <c r="AI258" s="350">
        <v>24683953.768349722</v>
      </c>
      <c r="AJ258" s="350">
        <v>30972867.210109867</v>
      </c>
      <c r="AK258" s="348">
        <v>92447735.870047808</v>
      </c>
      <c r="AL258" s="369"/>
      <c r="AM258" s="350">
        <v>7115201.5097535755</v>
      </c>
      <c r="AN258" s="350">
        <v>15243336.563653789</v>
      </c>
      <c r="AO258" s="350">
        <v>23143157.28140869</v>
      </c>
      <c r="AP258" s="350">
        <v>30809801.753723465</v>
      </c>
      <c r="AQ258" s="350">
        <v>38240608.596391708</v>
      </c>
      <c r="AR258" s="348">
        <v>114552105.70493123</v>
      </c>
      <c r="AS258" s="369"/>
      <c r="AT258" s="350">
        <f t="shared" si="123"/>
        <v>1015089.7299696729</v>
      </c>
      <c r="AU258" s="350">
        <f t="shared" si="106"/>
        <v>2995207.7736018058</v>
      </c>
      <c r="AV258" s="350">
        <f t="shared" si="107"/>
        <v>4700482.9596563578</v>
      </c>
      <c r="AW258" s="350">
        <f t="shared" si="108"/>
        <v>6125847.9853737429</v>
      </c>
      <c r="AX258" s="350">
        <f t="shared" si="109"/>
        <v>7267741.3862818405</v>
      </c>
      <c r="AY258" s="350">
        <f t="shared" si="110"/>
        <v>22104369.834883422</v>
      </c>
      <c r="AZ258" s="365"/>
      <c r="BA258" s="377">
        <f t="shared" si="111"/>
        <v>0</v>
      </c>
      <c r="BB258" s="377">
        <f t="shared" si="112"/>
        <v>0</v>
      </c>
      <c r="BC258" s="377">
        <f t="shared" si="113"/>
        <v>0</v>
      </c>
      <c r="BD258" s="377">
        <f t="shared" si="114"/>
        <v>0</v>
      </c>
      <c r="BE258" s="377">
        <f t="shared" si="115"/>
        <v>0</v>
      </c>
      <c r="BF258" s="377">
        <f t="shared" si="116"/>
        <v>0</v>
      </c>
      <c r="BG258" s="328"/>
    </row>
    <row r="259" spans="2:59">
      <c r="B259" s="332">
        <v>244</v>
      </c>
      <c r="C259" s="350">
        <v>8540422.8413394354</v>
      </c>
      <c r="D259" s="350">
        <v>15943002.942556046</v>
      </c>
      <c r="E259" s="350">
        <v>23401262.622278988</v>
      </c>
      <c r="F259" s="350">
        <v>30915761.371978417</v>
      </c>
      <c r="G259" s="350">
        <v>38487718.773400828</v>
      </c>
      <c r="H259" s="348">
        <v>117288168.55155371</v>
      </c>
      <c r="I259" s="369"/>
      <c r="J259" s="350">
        <v>9828948.4037561342</v>
      </c>
      <c r="K259" s="350">
        <v>19746162.15111794</v>
      </c>
      <c r="L259" s="350">
        <v>29423571.12888822</v>
      </c>
      <c r="M259" s="350">
        <v>38854406.162633613</v>
      </c>
      <c r="N259" s="350">
        <v>48034407.434813641</v>
      </c>
      <c r="O259" s="348">
        <v>145887495.28120956</v>
      </c>
      <c r="P259" s="369"/>
      <c r="Q259" s="350">
        <f t="shared" si="117"/>
        <v>1288525.5624166988</v>
      </c>
      <c r="R259" s="350">
        <f t="shared" si="118"/>
        <v>3803159.2085618936</v>
      </c>
      <c r="S259" s="350">
        <f t="shared" si="119"/>
        <v>6022308.5066092312</v>
      </c>
      <c r="T259" s="350">
        <f t="shared" si="120"/>
        <v>7938644.7906551957</v>
      </c>
      <c r="U259" s="350">
        <f t="shared" si="121"/>
        <v>9546688.6614128128</v>
      </c>
      <c r="V259" s="350">
        <f t="shared" si="122"/>
        <v>28599326.729655847</v>
      </c>
      <c r="W259" s="365"/>
      <c r="X259" s="377">
        <f t="shared" si="100"/>
        <v>0</v>
      </c>
      <c r="Y259" s="377">
        <f t="shared" si="101"/>
        <v>0</v>
      </c>
      <c r="Z259" s="377">
        <f t="shared" si="102"/>
        <v>0</v>
      </c>
      <c r="AA259" s="377">
        <f t="shared" si="103"/>
        <v>0</v>
      </c>
      <c r="AB259" s="377">
        <f t="shared" si="104"/>
        <v>0</v>
      </c>
      <c r="AC259" s="377">
        <f t="shared" si="105"/>
        <v>0</v>
      </c>
      <c r="AD259" s="376"/>
      <c r="AE259" s="332">
        <v>244</v>
      </c>
      <c r="AF259" s="350">
        <v>8468616.4706280958</v>
      </c>
      <c r="AG259" s="350">
        <v>17003738.44780314</v>
      </c>
      <c r="AH259" s="350">
        <v>25603454.684424564</v>
      </c>
      <c r="AI259" s="350">
        <v>34268050.322558858</v>
      </c>
      <c r="AJ259" s="350">
        <v>42998774.918745041</v>
      </c>
      <c r="AK259" s="348">
        <v>128342634.84415969</v>
      </c>
      <c r="AL259" s="369"/>
      <c r="AM259" s="350">
        <v>9877707.9277781881</v>
      </c>
      <c r="AN259" s="350">
        <v>21161518.381970502</v>
      </c>
      <c r="AO259" s="350">
        <v>32128362.478103247</v>
      </c>
      <c r="AP259" s="350">
        <v>42771490.598608986</v>
      </c>
      <c r="AQ259" s="350">
        <v>53087207.886207044</v>
      </c>
      <c r="AR259" s="348">
        <v>159026287.27266797</v>
      </c>
      <c r="AS259" s="369"/>
      <c r="AT259" s="350">
        <f t="shared" si="123"/>
        <v>1409091.4571500923</v>
      </c>
      <c r="AU259" s="350">
        <f t="shared" si="106"/>
        <v>4157779.9341673627</v>
      </c>
      <c r="AV259" s="350">
        <f t="shared" si="107"/>
        <v>6524907.7936786823</v>
      </c>
      <c r="AW259" s="350">
        <f t="shared" si="108"/>
        <v>8503440.276050128</v>
      </c>
      <c r="AX259" s="350">
        <f t="shared" si="109"/>
        <v>10088432.967462003</v>
      </c>
      <c r="AY259" s="350">
        <f t="shared" si="110"/>
        <v>30683652.428508282</v>
      </c>
      <c r="AZ259" s="365"/>
      <c r="BA259" s="377">
        <f t="shared" si="111"/>
        <v>0</v>
      </c>
      <c r="BB259" s="377">
        <f t="shared" si="112"/>
        <v>0</v>
      </c>
      <c r="BC259" s="377">
        <f t="shared" si="113"/>
        <v>0</v>
      </c>
      <c r="BD259" s="377">
        <f t="shared" si="114"/>
        <v>0</v>
      </c>
      <c r="BE259" s="377">
        <f t="shared" si="115"/>
        <v>0</v>
      </c>
      <c r="BF259" s="377">
        <f t="shared" si="116"/>
        <v>0</v>
      </c>
      <c r="BG259" s="328"/>
    </row>
    <row r="260" spans="2:59">
      <c r="B260" s="332">
        <v>245</v>
      </c>
      <c r="C260" s="350">
        <v>6509597.1560099982</v>
      </c>
      <c r="D260" s="350">
        <v>12164936.817280626</v>
      </c>
      <c r="E260" s="350">
        <v>17862818.250764549</v>
      </c>
      <c r="F260" s="350">
        <v>23603664.968614087</v>
      </c>
      <c r="G260" s="350">
        <v>29388406.986756619</v>
      </c>
      <c r="H260" s="348">
        <v>89529424.17942588</v>
      </c>
      <c r="I260" s="369"/>
      <c r="J260" s="350">
        <v>7282071.670706911</v>
      </c>
      <c r="K260" s="350">
        <v>14441927.52997192</v>
      </c>
      <c r="L260" s="350">
        <v>21410037.216797955</v>
      </c>
      <c r="M260" s="350">
        <v>28181359.154123254</v>
      </c>
      <c r="N260" s="350">
        <v>34752499.663976729</v>
      </c>
      <c r="O260" s="348">
        <v>106067895.23557678</v>
      </c>
      <c r="P260" s="369"/>
      <c r="Q260" s="350">
        <f t="shared" si="117"/>
        <v>772474.51469691284</v>
      </c>
      <c r="R260" s="350">
        <f t="shared" si="118"/>
        <v>2276990.712691294</v>
      </c>
      <c r="S260" s="350">
        <f t="shared" si="119"/>
        <v>3547218.9660334066</v>
      </c>
      <c r="T260" s="350">
        <f t="shared" si="120"/>
        <v>4577694.1855091676</v>
      </c>
      <c r="U260" s="350">
        <f t="shared" si="121"/>
        <v>5364092.6772201099</v>
      </c>
      <c r="V260" s="350">
        <f t="shared" si="122"/>
        <v>16538471.056150898</v>
      </c>
      <c r="W260" s="365"/>
      <c r="X260" s="377">
        <f t="shared" si="100"/>
        <v>0</v>
      </c>
      <c r="Y260" s="377">
        <f t="shared" si="101"/>
        <v>0</v>
      </c>
      <c r="Z260" s="377">
        <f t="shared" si="102"/>
        <v>0</v>
      </c>
      <c r="AA260" s="377">
        <f t="shared" si="103"/>
        <v>0</v>
      </c>
      <c r="AB260" s="377">
        <f t="shared" si="104"/>
        <v>0</v>
      </c>
      <c r="AC260" s="377">
        <f t="shared" si="105"/>
        <v>0</v>
      </c>
      <c r="AD260" s="376"/>
      <c r="AE260" s="332">
        <v>245</v>
      </c>
      <c r="AF260" s="350">
        <v>7646186.4593430404</v>
      </c>
      <c r="AG260" s="350">
        <v>15352419.740430187</v>
      </c>
      <c r="AH260" s="350">
        <v>23116974.206995886</v>
      </c>
      <c r="AI260" s="350">
        <v>30940107.30952397</v>
      </c>
      <c r="AJ260" s="350">
        <v>38822947.25382255</v>
      </c>
      <c r="AK260" s="348">
        <v>115878634.97011563</v>
      </c>
      <c r="AL260" s="369"/>
      <c r="AM260" s="350">
        <v>9314762.6571869552</v>
      </c>
      <c r="AN260" s="350">
        <v>20281811.291566845</v>
      </c>
      <c r="AO260" s="350">
        <v>30974545.937730856</v>
      </c>
      <c r="AP260" s="350">
        <v>41386760.371018015</v>
      </c>
      <c r="AQ260" s="350">
        <v>51515519.948425189</v>
      </c>
      <c r="AR260" s="348">
        <v>153473400.20592785</v>
      </c>
      <c r="AS260" s="369"/>
      <c r="AT260" s="350">
        <f t="shared" si="123"/>
        <v>1668576.1978439149</v>
      </c>
      <c r="AU260" s="350">
        <f t="shared" si="106"/>
        <v>4929391.5511366576</v>
      </c>
      <c r="AV260" s="350">
        <f t="shared" si="107"/>
        <v>7857571.7307349704</v>
      </c>
      <c r="AW260" s="350">
        <f t="shared" si="108"/>
        <v>10446653.061494045</v>
      </c>
      <c r="AX260" s="350">
        <f t="shared" si="109"/>
        <v>12692572.694602638</v>
      </c>
      <c r="AY260" s="350">
        <f t="shared" si="110"/>
        <v>37594765.235812217</v>
      </c>
      <c r="AZ260" s="365"/>
      <c r="BA260" s="377">
        <f t="shared" si="111"/>
        <v>0</v>
      </c>
      <c r="BB260" s="377">
        <f t="shared" si="112"/>
        <v>0</v>
      </c>
      <c r="BC260" s="377">
        <f t="shared" si="113"/>
        <v>0</v>
      </c>
      <c r="BD260" s="377">
        <f t="shared" si="114"/>
        <v>0</v>
      </c>
      <c r="BE260" s="377">
        <f t="shared" si="115"/>
        <v>0</v>
      </c>
      <c r="BF260" s="377">
        <f t="shared" si="116"/>
        <v>0</v>
      </c>
      <c r="BG260" s="328"/>
    </row>
    <row r="261" spans="2:59">
      <c r="B261" s="332">
        <v>246</v>
      </c>
      <c r="C261" s="350">
        <v>9216518.1326578166</v>
      </c>
      <c r="D261" s="350">
        <v>17296706.247094017</v>
      </c>
      <c r="E261" s="350">
        <v>25437701.031176366</v>
      </c>
      <c r="F261" s="350">
        <v>33640085.597680457</v>
      </c>
      <c r="G261" s="350">
        <v>41905179.159346357</v>
      </c>
      <c r="H261" s="348">
        <v>127496190.16795501</v>
      </c>
      <c r="I261" s="369"/>
      <c r="J261" s="350">
        <v>10374422.541120199</v>
      </c>
      <c r="K261" s="350">
        <v>20710785.039565995</v>
      </c>
      <c r="L261" s="350">
        <v>30771452.006726727</v>
      </c>
      <c r="M261" s="350">
        <v>40549311.941843033</v>
      </c>
      <c r="N261" s="350">
        <v>50039695.623368233</v>
      </c>
      <c r="O261" s="348">
        <v>152445667.15262419</v>
      </c>
      <c r="P261" s="369"/>
      <c r="Q261" s="350">
        <f t="shared" si="117"/>
        <v>1157904.4084623829</v>
      </c>
      <c r="R261" s="350">
        <f t="shared" si="118"/>
        <v>3414078.7924719788</v>
      </c>
      <c r="S261" s="350">
        <f t="shared" si="119"/>
        <v>5333750.975550361</v>
      </c>
      <c r="T261" s="350">
        <f t="shared" si="120"/>
        <v>6909226.3441625759</v>
      </c>
      <c r="U261" s="350">
        <f t="shared" si="121"/>
        <v>8134516.4640218765</v>
      </c>
      <c r="V261" s="350">
        <f t="shared" si="122"/>
        <v>24949476.984669179</v>
      </c>
      <c r="W261" s="365"/>
      <c r="X261" s="377">
        <f t="shared" si="100"/>
        <v>0</v>
      </c>
      <c r="Y261" s="377">
        <f t="shared" si="101"/>
        <v>0</v>
      </c>
      <c r="Z261" s="377">
        <f t="shared" si="102"/>
        <v>0</v>
      </c>
      <c r="AA261" s="377">
        <f t="shared" si="103"/>
        <v>0</v>
      </c>
      <c r="AB261" s="377">
        <f t="shared" si="104"/>
        <v>0</v>
      </c>
      <c r="AC261" s="377">
        <f t="shared" si="105"/>
        <v>0</v>
      </c>
      <c r="AD261" s="376"/>
      <c r="AE261" s="332">
        <v>246</v>
      </c>
      <c r="AF261" s="350">
        <v>6261866.8394717947</v>
      </c>
      <c r="AG261" s="350">
        <v>12572909.199825067</v>
      </c>
      <c r="AH261" s="350">
        <v>18931713.866176069</v>
      </c>
      <c r="AI261" s="350">
        <v>25338491.678354051</v>
      </c>
      <c r="AJ261" s="350">
        <v>31794166.583816409</v>
      </c>
      <c r="AK261" s="348">
        <v>94899148.167643398</v>
      </c>
      <c r="AL261" s="369"/>
      <c r="AM261" s="350">
        <v>7309261.7227278156</v>
      </c>
      <c r="AN261" s="350">
        <v>15663520.183859499</v>
      </c>
      <c r="AO261" s="350">
        <v>23783571.538504668</v>
      </c>
      <c r="AP261" s="350">
        <v>31664423.43139134</v>
      </c>
      <c r="AQ261" s="350">
        <v>39303349.364158474</v>
      </c>
      <c r="AR261" s="348">
        <v>117724126.2406418</v>
      </c>
      <c r="AS261" s="369"/>
      <c r="AT261" s="350">
        <f t="shared" si="123"/>
        <v>1047394.883256021</v>
      </c>
      <c r="AU261" s="350">
        <f t="shared" si="106"/>
        <v>3090610.9840344321</v>
      </c>
      <c r="AV261" s="350">
        <f t="shared" si="107"/>
        <v>4851857.6723285988</v>
      </c>
      <c r="AW261" s="350">
        <f t="shared" si="108"/>
        <v>6325931.7530372888</v>
      </c>
      <c r="AX261" s="350">
        <f t="shared" si="109"/>
        <v>7509182.7803420648</v>
      </c>
      <c r="AY261" s="350">
        <f t="shared" si="110"/>
        <v>22824978.072998405</v>
      </c>
      <c r="AZ261" s="365"/>
      <c r="BA261" s="377">
        <f t="shared" si="111"/>
        <v>0</v>
      </c>
      <c r="BB261" s="377">
        <f t="shared" si="112"/>
        <v>0</v>
      </c>
      <c r="BC261" s="377">
        <f t="shared" si="113"/>
        <v>0</v>
      </c>
      <c r="BD261" s="377">
        <f t="shared" si="114"/>
        <v>0</v>
      </c>
      <c r="BE261" s="377">
        <f t="shared" si="115"/>
        <v>0</v>
      </c>
      <c r="BF261" s="377">
        <f t="shared" si="116"/>
        <v>0</v>
      </c>
      <c r="BG261" s="328"/>
    </row>
    <row r="262" spans="2:59">
      <c r="B262" s="332">
        <v>247</v>
      </c>
      <c r="C262" s="350">
        <v>6595526.128153516</v>
      </c>
      <c r="D262" s="350">
        <v>12337091.156826187</v>
      </c>
      <c r="E262" s="350">
        <v>18121850.408007912</v>
      </c>
      <c r="F262" s="350">
        <v>23950230.372521546</v>
      </c>
      <c r="G262" s="350">
        <v>29823173.732496329</v>
      </c>
      <c r="H262" s="348">
        <v>90827871.798005491</v>
      </c>
      <c r="I262" s="369"/>
      <c r="J262" s="350">
        <v>7761610.0704492154</v>
      </c>
      <c r="K262" s="350">
        <v>15781209.141908171</v>
      </c>
      <c r="L262" s="350">
        <v>23626214.079392571</v>
      </c>
      <c r="M262" s="350">
        <v>31291059.65764989</v>
      </c>
      <c r="N262" s="350">
        <v>38772337.109602474</v>
      </c>
      <c r="O262" s="348">
        <v>117232430.05900231</v>
      </c>
      <c r="P262" s="369"/>
      <c r="Q262" s="350">
        <f t="shared" si="117"/>
        <v>1166083.9422956994</v>
      </c>
      <c r="R262" s="350">
        <f t="shared" si="118"/>
        <v>3444117.9850819837</v>
      </c>
      <c r="S262" s="350">
        <f t="shared" si="119"/>
        <v>5504363.6713846587</v>
      </c>
      <c r="T262" s="350">
        <f t="shared" si="120"/>
        <v>7340829.2851283439</v>
      </c>
      <c r="U262" s="350">
        <f t="shared" si="121"/>
        <v>8949163.377106145</v>
      </c>
      <c r="V262" s="350">
        <f t="shared" si="122"/>
        <v>26404558.260996819</v>
      </c>
      <c r="W262" s="365"/>
      <c r="X262" s="377">
        <f t="shared" si="100"/>
        <v>0</v>
      </c>
      <c r="Y262" s="377">
        <f t="shared" si="101"/>
        <v>0</v>
      </c>
      <c r="Z262" s="377">
        <f t="shared" si="102"/>
        <v>0</v>
      </c>
      <c r="AA262" s="377">
        <f t="shared" si="103"/>
        <v>0</v>
      </c>
      <c r="AB262" s="377">
        <f t="shared" si="104"/>
        <v>0</v>
      </c>
      <c r="AC262" s="377">
        <f t="shared" si="105"/>
        <v>0</v>
      </c>
      <c r="AD262" s="376"/>
      <c r="AE262" s="332">
        <v>247</v>
      </c>
      <c r="AF262" s="350">
        <v>6372432.2899308484</v>
      </c>
      <c r="AG262" s="350">
        <v>12794908.390305568</v>
      </c>
      <c r="AH262" s="350">
        <v>19265990.133180209</v>
      </c>
      <c r="AI262" s="350">
        <v>25785892.081171699</v>
      </c>
      <c r="AJ262" s="350">
        <v>32355554.495828658</v>
      </c>
      <c r="AK262" s="348">
        <v>96574777.39041698</v>
      </c>
      <c r="AL262" s="369"/>
      <c r="AM262" s="350">
        <v>7358574.8610139647</v>
      </c>
      <c r="AN262" s="350">
        <v>15703586.589848552</v>
      </c>
      <c r="AO262" s="350">
        <v>23807867.408659972</v>
      </c>
      <c r="AP262" s="350">
        <v>31666359.36758158</v>
      </c>
      <c r="AQ262" s="350">
        <v>39276207.062503174</v>
      </c>
      <c r="AR262" s="348">
        <v>117812595.28960724</v>
      </c>
      <c r="AS262" s="369"/>
      <c r="AT262" s="350">
        <f t="shared" si="123"/>
        <v>986142.57108311635</v>
      </c>
      <c r="AU262" s="350">
        <f t="shared" si="106"/>
        <v>2908678.1995429844</v>
      </c>
      <c r="AV262" s="350">
        <f t="shared" si="107"/>
        <v>4541877.2754797637</v>
      </c>
      <c r="AW262" s="350">
        <f t="shared" si="108"/>
        <v>5880467.286409881</v>
      </c>
      <c r="AX262" s="350">
        <f t="shared" si="109"/>
        <v>6920652.5666745156</v>
      </c>
      <c r="AY262" s="350">
        <f t="shared" si="110"/>
        <v>21237817.899190262</v>
      </c>
      <c r="AZ262" s="365"/>
      <c r="BA262" s="377">
        <f t="shared" si="111"/>
        <v>0</v>
      </c>
      <c r="BB262" s="377">
        <f t="shared" si="112"/>
        <v>0</v>
      </c>
      <c r="BC262" s="377">
        <f t="shared" si="113"/>
        <v>0</v>
      </c>
      <c r="BD262" s="377">
        <f t="shared" si="114"/>
        <v>0</v>
      </c>
      <c r="BE262" s="377">
        <f t="shared" si="115"/>
        <v>0</v>
      </c>
      <c r="BF262" s="377">
        <f t="shared" si="116"/>
        <v>0</v>
      </c>
      <c r="BG262" s="328"/>
    </row>
    <row r="263" spans="2:59">
      <c r="B263" s="332">
        <v>248</v>
      </c>
      <c r="C263" s="350">
        <v>6333244.0640888121</v>
      </c>
      <c r="D263" s="350">
        <v>11969140.232322119</v>
      </c>
      <c r="E263" s="350">
        <v>17647476.156168297</v>
      </c>
      <c r="F263" s="350">
        <v>23368633.685053743</v>
      </c>
      <c r="G263" s="350">
        <v>29133522.143600449</v>
      </c>
      <c r="H263" s="348">
        <v>88452016.28123343</v>
      </c>
      <c r="I263" s="369"/>
      <c r="J263" s="350">
        <v>7312096.5287930034</v>
      </c>
      <c r="K263" s="350">
        <v>14858242.617784865</v>
      </c>
      <c r="L263" s="350">
        <v>22223688.459085099</v>
      </c>
      <c r="M263" s="350">
        <v>29403153.793574654</v>
      </c>
      <c r="N263" s="350">
        <v>36393287.909430675</v>
      </c>
      <c r="O263" s="348">
        <v>110190469.30866832</v>
      </c>
      <c r="P263" s="369"/>
      <c r="Q263" s="350">
        <f t="shared" si="117"/>
        <v>978852.46470419131</v>
      </c>
      <c r="R263" s="350">
        <f t="shared" si="118"/>
        <v>2889102.385462746</v>
      </c>
      <c r="S263" s="350">
        <f t="shared" si="119"/>
        <v>4576212.3029168025</v>
      </c>
      <c r="T263" s="350">
        <f t="shared" si="120"/>
        <v>6034520.1085209101</v>
      </c>
      <c r="U263" s="350">
        <f t="shared" si="121"/>
        <v>7259765.7658302262</v>
      </c>
      <c r="V263" s="350">
        <f t="shared" si="122"/>
        <v>21738453.027434886</v>
      </c>
      <c r="W263" s="365"/>
      <c r="X263" s="377">
        <f t="shared" si="100"/>
        <v>0</v>
      </c>
      <c r="Y263" s="377">
        <f t="shared" si="101"/>
        <v>0</v>
      </c>
      <c r="Z263" s="377">
        <f t="shared" si="102"/>
        <v>0</v>
      </c>
      <c r="AA263" s="377">
        <f t="shared" si="103"/>
        <v>0</v>
      </c>
      <c r="AB263" s="377">
        <f t="shared" si="104"/>
        <v>0</v>
      </c>
      <c r="AC263" s="377">
        <f t="shared" si="105"/>
        <v>0</v>
      </c>
      <c r="AD263" s="376"/>
      <c r="AE263" s="332">
        <v>248</v>
      </c>
      <c r="AF263" s="350">
        <v>9726437.7960343771</v>
      </c>
      <c r="AG263" s="350">
        <v>19529258.986542478</v>
      </c>
      <c r="AH263" s="350">
        <v>29406268.451919936</v>
      </c>
      <c r="AI263" s="350">
        <v>39357793.685634233</v>
      </c>
      <c r="AJ263" s="350">
        <v>49385269.837569833</v>
      </c>
      <c r="AK263" s="348">
        <v>147405028.75770086</v>
      </c>
      <c r="AL263" s="369"/>
      <c r="AM263" s="350">
        <v>11009576.688697873</v>
      </c>
      <c r="AN263" s="350">
        <v>23310356.047712546</v>
      </c>
      <c r="AO263" s="350">
        <v>35237050.289349839</v>
      </c>
      <c r="AP263" s="350">
        <v>46782002.111751691</v>
      </c>
      <c r="AQ263" s="350">
        <v>57940628.349450134</v>
      </c>
      <c r="AR263" s="348">
        <v>174279613.48696208</v>
      </c>
      <c r="AS263" s="369"/>
      <c r="AT263" s="350">
        <f t="shared" si="123"/>
        <v>1283138.8926634956</v>
      </c>
      <c r="AU263" s="350">
        <f t="shared" si="106"/>
        <v>3781097.0611700676</v>
      </c>
      <c r="AV263" s="350">
        <f t="shared" si="107"/>
        <v>5830781.8374299034</v>
      </c>
      <c r="AW263" s="350">
        <f t="shared" si="108"/>
        <v>7424208.4261174574</v>
      </c>
      <c r="AX263" s="350">
        <f t="shared" si="109"/>
        <v>8555358.5118803009</v>
      </c>
      <c r="AY263" s="350">
        <f t="shared" si="110"/>
        <v>26874584.72926122</v>
      </c>
      <c r="AZ263" s="365"/>
      <c r="BA263" s="377">
        <f t="shared" si="111"/>
        <v>0</v>
      </c>
      <c r="BB263" s="377">
        <f t="shared" si="112"/>
        <v>0</v>
      </c>
      <c r="BC263" s="377">
        <f t="shared" si="113"/>
        <v>0</v>
      </c>
      <c r="BD263" s="377">
        <f t="shared" si="114"/>
        <v>0</v>
      </c>
      <c r="BE263" s="377">
        <f t="shared" si="115"/>
        <v>0</v>
      </c>
      <c r="BF263" s="377">
        <f t="shared" si="116"/>
        <v>0</v>
      </c>
      <c r="BG263" s="328"/>
    </row>
    <row r="264" spans="2:59">
      <c r="B264" s="332">
        <v>249</v>
      </c>
      <c r="C264" s="350">
        <v>7229160.4013698762</v>
      </c>
      <c r="D264" s="350">
        <v>13552224.694066392</v>
      </c>
      <c r="E264" s="350">
        <v>19922867.743340559</v>
      </c>
      <c r="F264" s="350">
        <v>26341550.26391862</v>
      </c>
      <c r="G264" s="350">
        <v>32809306.508623764</v>
      </c>
      <c r="H264" s="348">
        <v>99855109.611319214</v>
      </c>
      <c r="I264" s="369"/>
      <c r="J264" s="350">
        <v>8052756.7661151439</v>
      </c>
      <c r="K264" s="350">
        <v>15979194.471633751</v>
      </c>
      <c r="L264" s="350">
        <v>23693985.040909499</v>
      </c>
      <c r="M264" s="350">
        <v>31191345.07017377</v>
      </c>
      <c r="N264" s="350">
        <v>38467283.029264174</v>
      </c>
      <c r="O264" s="348">
        <v>117384564.37809634</v>
      </c>
      <c r="P264" s="369"/>
      <c r="Q264" s="350">
        <f t="shared" si="117"/>
        <v>823596.36474526767</v>
      </c>
      <c r="R264" s="350">
        <f t="shared" si="118"/>
        <v>2426969.7775673587</v>
      </c>
      <c r="S264" s="350">
        <f t="shared" si="119"/>
        <v>3771117.2975689396</v>
      </c>
      <c r="T264" s="350">
        <f t="shared" si="120"/>
        <v>4849794.8062551506</v>
      </c>
      <c r="U264" s="350">
        <f t="shared" si="121"/>
        <v>5657976.5206404105</v>
      </c>
      <c r="V264" s="350">
        <f t="shared" si="122"/>
        <v>17529454.766777128</v>
      </c>
      <c r="W264" s="365"/>
      <c r="X264" s="377">
        <f t="shared" si="100"/>
        <v>0</v>
      </c>
      <c r="Y264" s="377">
        <f t="shared" si="101"/>
        <v>0</v>
      </c>
      <c r="Z264" s="377">
        <f t="shared" si="102"/>
        <v>0</v>
      </c>
      <c r="AA264" s="377">
        <f t="shared" si="103"/>
        <v>0</v>
      </c>
      <c r="AB264" s="377">
        <f t="shared" si="104"/>
        <v>0</v>
      </c>
      <c r="AC264" s="377">
        <f t="shared" si="105"/>
        <v>0</v>
      </c>
      <c r="AD264" s="376"/>
      <c r="AE264" s="332">
        <v>249</v>
      </c>
      <c r="AF264" s="350">
        <v>6784639.7769115185</v>
      </c>
      <c r="AG264" s="350">
        <v>13622560.500795549</v>
      </c>
      <c r="AH264" s="350">
        <v>20512230.974301614</v>
      </c>
      <c r="AI264" s="350">
        <v>27453879.639255259</v>
      </c>
      <c r="AJ264" s="350">
        <v>34448507.579012603</v>
      </c>
      <c r="AK264" s="348">
        <v>102821818.47027653</v>
      </c>
      <c r="AL264" s="369"/>
      <c r="AM264" s="350">
        <v>7787939.2194427662</v>
      </c>
      <c r="AN264" s="350">
        <v>16581090.424137449</v>
      </c>
      <c r="AO264" s="350">
        <v>25116542.119610418</v>
      </c>
      <c r="AP264" s="350">
        <v>33388922.366671674</v>
      </c>
      <c r="AQ264" s="350">
        <v>41395143.828299657</v>
      </c>
      <c r="AR264" s="348">
        <v>124269637.95816197</v>
      </c>
      <c r="AS264" s="369"/>
      <c r="AT264" s="350">
        <f t="shared" si="123"/>
        <v>1003299.4425312476</v>
      </c>
      <c r="AU264" s="350">
        <f t="shared" si="106"/>
        <v>2958529.9233419001</v>
      </c>
      <c r="AV264" s="350">
        <f t="shared" si="107"/>
        <v>4604311.1453088038</v>
      </c>
      <c r="AW264" s="350">
        <f t="shared" si="108"/>
        <v>5935042.7274164148</v>
      </c>
      <c r="AX264" s="350">
        <f t="shared" si="109"/>
        <v>6946636.2492870539</v>
      </c>
      <c r="AY264" s="350">
        <f t="shared" si="110"/>
        <v>21447819.48788543</v>
      </c>
      <c r="AZ264" s="365"/>
      <c r="BA264" s="377">
        <f t="shared" si="111"/>
        <v>0</v>
      </c>
      <c r="BB264" s="377">
        <f t="shared" si="112"/>
        <v>0</v>
      </c>
      <c r="BC264" s="377">
        <f t="shared" si="113"/>
        <v>0</v>
      </c>
      <c r="BD264" s="377">
        <f t="shared" si="114"/>
        <v>0</v>
      </c>
      <c r="BE264" s="377">
        <f t="shared" si="115"/>
        <v>0</v>
      </c>
      <c r="BF264" s="377">
        <f t="shared" si="116"/>
        <v>0</v>
      </c>
      <c r="BG264" s="328"/>
    </row>
    <row r="265" spans="2:59">
      <c r="B265" s="332">
        <v>250</v>
      </c>
      <c r="C265" s="350">
        <v>7857955.414542824</v>
      </c>
      <c r="D265" s="350">
        <v>14835045.958702218</v>
      </c>
      <c r="E265" s="350">
        <v>21864670.751056999</v>
      </c>
      <c r="F265" s="350">
        <v>28947307.098250806</v>
      </c>
      <c r="G265" s="350">
        <v>36084082.715996414</v>
      </c>
      <c r="H265" s="348">
        <v>109589061.93854927</v>
      </c>
      <c r="I265" s="369"/>
      <c r="J265" s="350">
        <v>9099797.6947420686</v>
      </c>
      <c r="K265" s="350">
        <v>18500786.992997985</v>
      </c>
      <c r="L265" s="350">
        <v>27677755.753028825</v>
      </c>
      <c r="M265" s="350">
        <v>36624205.11628288</v>
      </c>
      <c r="N265" s="350">
        <v>45336063.06355986</v>
      </c>
      <c r="O265" s="348">
        <v>137238608.62061161</v>
      </c>
      <c r="P265" s="369"/>
      <c r="Q265" s="350">
        <f t="shared" si="117"/>
        <v>1241842.2801992446</v>
      </c>
      <c r="R265" s="350">
        <f t="shared" si="118"/>
        <v>3665741.0342957675</v>
      </c>
      <c r="S265" s="350">
        <f t="shared" si="119"/>
        <v>5813085.001971826</v>
      </c>
      <c r="T265" s="350">
        <f t="shared" si="120"/>
        <v>7676898.018032074</v>
      </c>
      <c r="U265" s="350">
        <f t="shared" si="121"/>
        <v>9251980.3475634456</v>
      </c>
      <c r="V265" s="350">
        <f t="shared" si="122"/>
        <v>27649546.682062343</v>
      </c>
      <c r="W265" s="365"/>
      <c r="X265" s="377">
        <f t="shared" si="100"/>
        <v>0</v>
      </c>
      <c r="Y265" s="377">
        <f t="shared" si="101"/>
        <v>0</v>
      </c>
      <c r="Z265" s="377">
        <f t="shared" si="102"/>
        <v>0</v>
      </c>
      <c r="AA265" s="377">
        <f t="shared" si="103"/>
        <v>0</v>
      </c>
      <c r="AB265" s="377">
        <f t="shared" si="104"/>
        <v>0</v>
      </c>
      <c r="AC265" s="377">
        <f t="shared" si="105"/>
        <v>0</v>
      </c>
      <c r="AD265" s="376"/>
      <c r="AE265" s="332">
        <v>250</v>
      </c>
      <c r="AF265" s="350">
        <v>4632606.083161097</v>
      </c>
      <c r="AG265" s="350">
        <v>9301592.8213278465</v>
      </c>
      <c r="AH265" s="350">
        <v>14005914.700752493</v>
      </c>
      <c r="AI265" s="350">
        <v>18745727.703333184</v>
      </c>
      <c r="AJ265" s="350">
        <v>23521715.376759671</v>
      </c>
      <c r="AK265" s="348">
        <v>70207556.685334295</v>
      </c>
      <c r="AL265" s="369"/>
      <c r="AM265" s="350">
        <v>5593885.3625846878</v>
      </c>
      <c r="AN265" s="350">
        <v>12140883.364552183</v>
      </c>
      <c r="AO265" s="350">
        <v>18520194.917943276</v>
      </c>
      <c r="AP265" s="350">
        <v>24728073.895071037</v>
      </c>
      <c r="AQ265" s="350">
        <v>30762691.982137796</v>
      </c>
      <c r="AR265" s="348">
        <v>91745729.522288978</v>
      </c>
      <c r="AS265" s="369"/>
      <c r="AT265" s="350">
        <f t="shared" si="123"/>
        <v>961279.27942359075</v>
      </c>
      <c r="AU265" s="350">
        <f t="shared" si="106"/>
        <v>2839290.5432243366</v>
      </c>
      <c r="AV265" s="350">
        <f t="shared" si="107"/>
        <v>4514280.2171907835</v>
      </c>
      <c r="AW265" s="350">
        <f t="shared" si="108"/>
        <v>5982346.191737853</v>
      </c>
      <c r="AX265" s="350">
        <f t="shared" si="109"/>
        <v>7240976.6053781249</v>
      </c>
      <c r="AY265" s="350">
        <f t="shared" si="110"/>
        <v>21538172.836954683</v>
      </c>
      <c r="AZ265" s="365"/>
      <c r="BA265" s="377">
        <f t="shared" si="111"/>
        <v>0</v>
      </c>
      <c r="BB265" s="377">
        <f t="shared" si="112"/>
        <v>0</v>
      </c>
      <c r="BC265" s="377">
        <f t="shared" si="113"/>
        <v>0</v>
      </c>
      <c r="BD265" s="377">
        <f t="shared" si="114"/>
        <v>0</v>
      </c>
      <c r="BE265" s="377">
        <f t="shared" si="115"/>
        <v>0</v>
      </c>
      <c r="BF265" s="377">
        <f t="shared" si="116"/>
        <v>0</v>
      </c>
      <c r="BG265" s="328"/>
    </row>
    <row r="266" spans="2:59">
      <c r="B266" s="332">
        <v>251</v>
      </c>
      <c r="C266" s="350">
        <v>8471277.7581462897</v>
      </c>
      <c r="D266" s="350">
        <v>15972928.592035461</v>
      </c>
      <c r="E266" s="350">
        <v>23531056.893397078</v>
      </c>
      <c r="F266" s="350">
        <v>31146181.739073202</v>
      </c>
      <c r="G266" s="350">
        <v>38819518.190538198</v>
      </c>
      <c r="H266" s="348">
        <v>117940963.17319024</v>
      </c>
      <c r="I266" s="369"/>
      <c r="J266" s="350">
        <v>9538735.2864978053</v>
      </c>
      <c r="K266" s="350">
        <v>19120203.136761494</v>
      </c>
      <c r="L266" s="350">
        <v>28449269.182470344</v>
      </c>
      <c r="M266" s="350">
        <v>37519168.120263547</v>
      </c>
      <c r="N266" s="350">
        <v>46325399.174369708</v>
      </c>
      <c r="O266" s="348">
        <v>140952774.90036291</v>
      </c>
      <c r="P266" s="369"/>
      <c r="Q266" s="350">
        <f t="shared" si="117"/>
        <v>1067457.5283515155</v>
      </c>
      <c r="R266" s="350">
        <f t="shared" si="118"/>
        <v>3147274.5447260328</v>
      </c>
      <c r="S266" s="350">
        <f t="shared" si="119"/>
        <v>4918212.2890732661</v>
      </c>
      <c r="T266" s="350">
        <f t="shared" si="120"/>
        <v>6372986.3811903447</v>
      </c>
      <c r="U266" s="350">
        <f t="shared" si="121"/>
        <v>7505880.9838315099</v>
      </c>
      <c r="V266" s="350">
        <f t="shared" si="122"/>
        <v>23011811.727172673</v>
      </c>
      <c r="W266" s="365"/>
      <c r="X266" s="377">
        <f t="shared" si="100"/>
        <v>0</v>
      </c>
      <c r="Y266" s="377">
        <f t="shared" si="101"/>
        <v>0</v>
      </c>
      <c r="Z266" s="377">
        <f t="shared" si="102"/>
        <v>0</v>
      </c>
      <c r="AA266" s="377">
        <f t="shared" si="103"/>
        <v>0</v>
      </c>
      <c r="AB266" s="377">
        <f t="shared" si="104"/>
        <v>0</v>
      </c>
      <c r="AC266" s="377">
        <f t="shared" si="105"/>
        <v>0</v>
      </c>
      <c r="AD266" s="376"/>
      <c r="AE266" s="332">
        <v>251</v>
      </c>
      <c r="AF266" s="350">
        <v>11369826.782222796</v>
      </c>
      <c r="AG266" s="350">
        <v>22828942.776222438</v>
      </c>
      <c r="AH266" s="350">
        <v>34374781.972716674</v>
      </c>
      <c r="AI266" s="350">
        <v>46007727.198807843</v>
      </c>
      <c r="AJ266" s="350">
        <v>57729456.088788688</v>
      </c>
      <c r="AK266" s="348">
        <v>172310734.81875843</v>
      </c>
      <c r="AL266" s="369"/>
      <c r="AM266" s="350">
        <v>13387577.430046439</v>
      </c>
      <c r="AN266" s="350">
        <v>28784574.108415395</v>
      </c>
      <c r="AO266" s="350">
        <v>43759788.472394168</v>
      </c>
      <c r="AP266" s="350">
        <v>58304122.97824803</v>
      </c>
      <c r="AQ266" s="350">
        <v>72412744.505568743</v>
      </c>
      <c r="AR266" s="348">
        <v>216648807.49467278</v>
      </c>
      <c r="AS266" s="369"/>
      <c r="AT266" s="350">
        <f t="shared" si="123"/>
        <v>2017750.6478236429</v>
      </c>
      <c r="AU266" s="350">
        <f t="shared" si="106"/>
        <v>5955631.3321929574</v>
      </c>
      <c r="AV266" s="350">
        <f t="shared" si="107"/>
        <v>9385006.4996774942</v>
      </c>
      <c r="AW266" s="350">
        <f t="shared" si="108"/>
        <v>12296395.779440187</v>
      </c>
      <c r="AX266" s="350">
        <f t="shared" si="109"/>
        <v>14683288.416780055</v>
      </c>
      <c r="AY266" s="350">
        <f t="shared" si="110"/>
        <v>44338072.675914347</v>
      </c>
      <c r="AZ266" s="365"/>
      <c r="BA266" s="377">
        <f t="shared" si="111"/>
        <v>0</v>
      </c>
      <c r="BB266" s="377">
        <f t="shared" si="112"/>
        <v>0</v>
      </c>
      <c r="BC266" s="377">
        <f t="shared" si="113"/>
        <v>0</v>
      </c>
      <c r="BD266" s="377">
        <f t="shared" si="114"/>
        <v>0</v>
      </c>
      <c r="BE266" s="377">
        <f t="shared" si="115"/>
        <v>0</v>
      </c>
      <c r="BF266" s="377">
        <f t="shared" si="116"/>
        <v>0</v>
      </c>
      <c r="BG266" s="328"/>
    </row>
    <row r="267" spans="2:59">
      <c r="B267" s="332">
        <v>252</v>
      </c>
      <c r="C267" s="350">
        <v>5395712.4947695341</v>
      </c>
      <c r="D267" s="350">
        <v>10148066.627346475</v>
      </c>
      <c r="E267" s="350">
        <v>14936191.314837115</v>
      </c>
      <c r="F267" s="350">
        <v>19760422.993255559</v>
      </c>
      <c r="G267" s="350">
        <v>24621534.718845889</v>
      </c>
      <c r="H267" s="348">
        <v>74861928.149054572</v>
      </c>
      <c r="I267" s="369"/>
      <c r="J267" s="350">
        <v>6088484.5339974444</v>
      </c>
      <c r="K267" s="350">
        <v>12190912.212111544</v>
      </c>
      <c r="L267" s="350">
        <v>18135646.341650471</v>
      </c>
      <c r="M267" s="350">
        <v>23918336.843021758</v>
      </c>
      <c r="N267" s="350">
        <v>29536082.716407884</v>
      </c>
      <c r="O267" s="348">
        <v>89869462.647189096</v>
      </c>
      <c r="P267" s="369"/>
      <c r="Q267" s="350">
        <f t="shared" si="117"/>
        <v>692772.03922791034</v>
      </c>
      <c r="R267" s="350">
        <f t="shared" si="118"/>
        <v>2042845.5847650692</v>
      </c>
      <c r="S267" s="350">
        <f t="shared" si="119"/>
        <v>3199455.0268133562</v>
      </c>
      <c r="T267" s="350">
        <f t="shared" si="120"/>
        <v>4157913.8497661985</v>
      </c>
      <c r="U267" s="350">
        <f t="shared" si="121"/>
        <v>4914547.9975619949</v>
      </c>
      <c r="V267" s="350">
        <f t="shared" si="122"/>
        <v>15007534.498134524</v>
      </c>
      <c r="W267" s="365"/>
      <c r="X267" s="377">
        <f t="shared" si="100"/>
        <v>0</v>
      </c>
      <c r="Y267" s="377">
        <f t="shared" si="101"/>
        <v>0</v>
      </c>
      <c r="Z267" s="377">
        <f t="shared" si="102"/>
        <v>0</v>
      </c>
      <c r="AA267" s="377">
        <f t="shared" si="103"/>
        <v>0</v>
      </c>
      <c r="AB267" s="377">
        <f t="shared" si="104"/>
        <v>0</v>
      </c>
      <c r="AC267" s="377">
        <f t="shared" si="105"/>
        <v>0</v>
      </c>
      <c r="AD267" s="376"/>
      <c r="AE267" s="332">
        <v>252</v>
      </c>
      <c r="AF267" s="350">
        <v>6710120.524907059</v>
      </c>
      <c r="AG267" s="350">
        <v>13472936.78424108</v>
      </c>
      <c r="AH267" s="350">
        <v>20286934.398594026</v>
      </c>
      <c r="AI267" s="350">
        <v>27152339.300695226</v>
      </c>
      <c r="AJ267" s="350">
        <v>34070141.578478001</v>
      </c>
      <c r="AK267" s="348">
        <v>101692472.5869154</v>
      </c>
      <c r="AL267" s="369"/>
      <c r="AM267" s="350">
        <v>8145269.3451858144</v>
      </c>
      <c r="AN267" s="350">
        <v>17712391.445440877</v>
      </c>
      <c r="AO267" s="350">
        <v>27037908.555599555</v>
      </c>
      <c r="AP267" s="350">
        <v>36116382.479472712</v>
      </c>
      <c r="AQ267" s="350">
        <v>44945208.312494837</v>
      </c>
      <c r="AR267" s="348">
        <v>133957160.13819379</v>
      </c>
      <c r="AS267" s="369"/>
      <c r="AT267" s="350">
        <f t="shared" si="123"/>
        <v>1435148.8202787554</v>
      </c>
      <c r="AU267" s="350">
        <f t="shared" si="106"/>
        <v>4239454.6611997969</v>
      </c>
      <c r="AV267" s="350">
        <f t="shared" si="107"/>
        <v>6750974.1570055299</v>
      </c>
      <c r="AW267" s="350">
        <f t="shared" si="108"/>
        <v>8964043.1787774861</v>
      </c>
      <c r="AX267" s="350">
        <f t="shared" si="109"/>
        <v>10875066.734016836</v>
      </c>
      <c r="AY267" s="350">
        <f t="shared" si="110"/>
        <v>32264687.551278383</v>
      </c>
      <c r="AZ267" s="365"/>
      <c r="BA267" s="377">
        <f t="shared" si="111"/>
        <v>0</v>
      </c>
      <c r="BB267" s="377">
        <f t="shared" si="112"/>
        <v>0</v>
      </c>
      <c r="BC267" s="377">
        <f t="shared" si="113"/>
        <v>0</v>
      </c>
      <c r="BD267" s="377">
        <f t="shared" si="114"/>
        <v>0</v>
      </c>
      <c r="BE267" s="377">
        <f t="shared" si="115"/>
        <v>0</v>
      </c>
      <c r="BF267" s="377">
        <f t="shared" si="116"/>
        <v>0</v>
      </c>
      <c r="BG267" s="328"/>
    </row>
    <row r="268" spans="2:59">
      <c r="B268" s="332">
        <v>253</v>
      </c>
      <c r="C268" s="350">
        <v>7103019.7910931455</v>
      </c>
      <c r="D268" s="350">
        <v>13407144.442327064</v>
      </c>
      <c r="E268" s="350">
        <v>19758735.361403622</v>
      </c>
      <c r="F268" s="350">
        <v>26158224.598529294</v>
      </c>
      <c r="G268" s="350">
        <v>32606631.437157001</v>
      </c>
      <c r="H268" s="348">
        <v>99033755.630510122</v>
      </c>
      <c r="I268" s="369"/>
      <c r="J268" s="350">
        <v>8059587.8337222766</v>
      </c>
      <c r="K268" s="350">
        <v>16228505.485753164</v>
      </c>
      <c r="L268" s="350">
        <v>24200760.394598499</v>
      </c>
      <c r="M268" s="350">
        <v>31970102.141625904</v>
      </c>
      <c r="N268" s="350">
        <v>39532241.632995561</v>
      </c>
      <c r="O268" s="348">
        <v>119991197.4886954</v>
      </c>
      <c r="P268" s="369"/>
      <c r="Q268" s="350">
        <f t="shared" si="117"/>
        <v>956568.04262913112</v>
      </c>
      <c r="R268" s="350">
        <f t="shared" si="118"/>
        <v>2821361.0434261002</v>
      </c>
      <c r="S268" s="350">
        <f t="shared" si="119"/>
        <v>4442025.0331948772</v>
      </c>
      <c r="T268" s="350">
        <f t="shared" si="120"/>
        <v>5811877.5430966094</v>
      </c>
      <c r="U268" s="350">
        <f t="shared" si="121"/>
        <v>6925610.1958385594</v>
      </c>
      <c r="V268" s="350">
        <f t="shared" si="122"/>
        <v>20957441.858185276</v>
      </c>
      <c r="W268" s="365"/>
      <c r="X268" s="377">
        <f t="shared" si="100"/>
        <v>0</v>
      </c>
      <c r="Y268" s="377">
        <f t="shared" si="101"/>
        <v>0</v>
      </c>
      <c r="Z268" s="377">
        <f t="shared" si="102"/>
        <v>0</v>
      </c>
      <c r="AA268" s="377">
        <f t="shared" si="103"/>
        <v>0</v>
      </c>
      <c r="AB268" s="377">
        <f t="shared" si="104"/>
        <v>0</v>
      </c>
      <c r="AC268" s="377">
        <f t="shared" si="105"/>
        <v>0</v>
      </c>
      <c r="AD268" s="376"/>
      <c r="AE268" s="332">
        <v>253</v>
      </c>
      <c r="AF268" s="350">
        <v>10186617.713688012</v>
      </c>
      <c r="AG268" s="350">
        <v>20453232.694154914</v>
      </c>
      <c r="AH268" s="350">
        <v>30797545.965689927</v>
      </c>
      <c r="AI268" s="350">
        <v>41219900.516222127</v>
      </c>
      <c r="AJ268" s="350">
        <v>51721799.395844616</v>
      </c>
      <c r="AK268" s="348">
        <v>154379096.28559959</v>
      </c>
      <c r="AL268" s="369"/>
      <c r="AM268" s="350">
        <v>11679657.386843842</v>
      </c>
      <c r="AN268" s="350">
        <v>24855683.38208551</v>
      </c>
      <c r="AO268" s="350">
        <v>37644393.805481166</v>
      </c>
      <c r="AP268" s="350">
        <v>50037726.87359792</v>
      </c>
      <c r="AQ268" s="350">
        <v>62031033.678059943</v>
      </c>
      <c r="AR268" s="348">
        <v>186248495.12606838</v>
      </c>
      <c r="AS268" s="369"/>
      <c r="AT268" s="350">
        <f t="shared" si="123"/>
        <v>1493039.6731558293</v>
      </c>
      <c r="AU268" s="350">
        <f t="shared" si="106"/>
        <v>4402450.6879305951</v>
      </c>
      <c r="AV268" s="350">
        <f t="shared" si="107"/>
        <v>6846847.8397912383</v>
      </c>
      <c r="AW268" s="350">
        <f t="shared" si="108"/>
        <v>8817826.3573757932</v>
      </c>
      <c r="AX268" s="350">
        <f t="shared" si="109"/>
        <v>10309234.282215327</v>
      </c>
      <c r="AY268" s="350">
        <f t="shared" si="110"/>
        <v>31869398.840468794</v>
      </c>
      <c r="AZ268" s="365"/>
      <c r="BA268" s="377">
        <f t="shared" si="111"/>
        <v>0</v>
      </c>
      <c r="BB268" s="377">
        <f t="shared" si="112"/>
        <v>0</v>
      </c>
      <c r="BC268" s="377">
        <f t="shared" si="113"/>
        <v>0</v>
      </c>
      <c r="BD268" s="377">
        <f t="shared" si="114"/>
        <v>0</v>
      </c>
      <c r="BE268" s="377">
        <f t="shared" si="115"/>
        <v>0</v>
      </c>
      <c r="BF268" s="377">
        <f t="shared" si="116"/>
        <v>0</v>
      </c>
      <c r="BG268" s="328"/>
    </row>
    <row r="269" spans="2:59">
      <c r="B269" s="332">
        <v>254</v>
      </c>
      <c r="C269" s="350">
        <v>10161185.96927892</v>
      </c>
      <c r="D269" s="350">
        <v>19348540.462366633</v>
      </c>
      <c r="E269" s="350">
        <v>28605124.935690507</v>
      </c>
      <c r="F269" s="350">
        <v>37931519.310067326</v>
      </c>
      <c r="G269" s="350">
        <v>47329187.406943977</v>
      </c>
      <c r="H269" s="348">
        <v>143375558.08434737</v>
      </c>
      <c r="I269" s="369"/>
      <c r="J269" s="350">
        <v>11215338.65268511</v>
      </c>
      <c r="K269" s="350">
        <v>22452194.685360655</v>
      </c>
      <c r="L269" s="350">
        <v>33373143.233506851</v>
      </c>
      <c r="M269" s="350">
        <v>43969878.237797834</v>
      </c>
      <c r="N269" s="350">
        <v>54236569.283016048</v>
      </c>
      <c r="O269" s="348">
        <v>165247124.09236649</v>
      </c>
      <c r="P269" s="369"/>
      <c r="Q269" s="350">
        <f t="shared" si="117"/>
        <v>1054152.6834061891</v>
      </c>
      <c r="R269" s="350">
        <f t="shared" si="118"/>
        <v>3103654.2229940221</v>
      </c>
      <c r="S269" s="350">
        <f t="shared" si="119"/>
        <v>4768018.2978163436</v>
      </c>
      <c r="T269" s="350">
        <f t="shared" si="120"/>
        <v>6038358.9277305081</v>
      </c>
      <c r="U269" s="350">
        <f t="shared" si="121"/>
        <v>6907381.8760720715</v>
      </c>
      <c r="V269" s="350">
        <f t="shared" si="122"/>
        <v>21871566.00801912</v>
      </c>
      <c r="W269" s="365"/>
      <c r="X269" s="377">
        <f t="shared" si="100"/>
        <v>0</v>
      </c>
      <c r="Y269" s="377">
        <f t="shared" si="101"/>
        <v>0</v>
      </c>
      <c r="Z269" s="377">
        <f t="shared" si="102"/>
        <v>0</v>
      </c>
      <c r="AA269" s="377">
        <f t="shared" si="103"/>
        <v>0</v>
      </c>
      <c r="AB269" s="377">
        <f t="shared" si="104"/>
        <v>0</v>
      </c>
      <c r="AC269" s="377">
        <f t="shared" si="105"/>
        <v>0</v>
      </c>
      <c r="AD269" s="376"/>
      <c r="AE269" s="332">
        <v>254</v>
      </c>
      <c r="AF269" s="350">
        <v>4817933.741620101</v>
      </c>
      <c r="AG269" s="350">
        <v>9673703.5483291578</v>
      </c>
      <c r="AH269" s="350">
        <v>14566222.080545038</v>
      </c>
      <c r="AI269" s="350">
        <v>19495651.560230214</v>
      </c>
      <c r="AJ269" s="350">
        <v>24462702.880436968</v>
      </c>
      <c r="AK269" s="348">
        <v>73016213.811161488</v>
      </c>
      <c r="AL269" s="369"/>
      <c r="AM269" s="350">
        <v>5464396.2926262999</v>
      </c>
      <c r="AN269" s="350">
        <v>11578876.80338561</v>
      </c>
      <c r="AO269" s="350">
        <v>17508381.929537211</v>
      </c>
      <c r="AP269" s="350">
        <v>23249115.59799245</v>
      </c>
      <c r="AQ269" s="350">
        <v>28798818.570675358</v>
      </c>
      <c r="AR269" s="348">
        <v>86599589.194216937</v>
      </c>
      <c r="AS269" s="369"/>
      <c r="AT269" s="350">
        <f t="shared" si="123"/>
        <v>646462.55100619886</v>
      </c>
      <c r="AU269" s="350">
        <f t="shared" si="106"/>
        <v>1905173.255056452</v>
      </c>
      <c r="AV269" s="350">
        <f t="shared" si="107"/>
        <v>2942159.8489921726</v>
      </c>
      <c r="AW269" s="350">
        <f t="shared" si="108"/>
        <v>3753464.0377622359</v>
      </c>
      <c r="AX269" s="350">
        <f t="shared" si="109"/>
        <v>4336115.6902383901</v>
      </c>
      <c r="AY269" s="350">
        <f t="shared" si="110"/>
        <v>13583375.383055449</v>
      </c>
      <c r="AZ269" s="365"/>
      <c r="BA269" s="377">
        <f t="shared" si="111"/>
        <v>0</v>
      </c>
      <c r="BB269" s="377">
        <f t="shared" si="112"/>
        <v>0</v>
      </c>
      <c r="BC269" s="377">
        <f t="shared" si="113"/>
        <v>0</v>
      </c>
      <c r="BD269" s="377">
        <f t="shared" si="114"/>
        <v>0</v>
      </c>
      <c r="BE269" s="377">
        <f t="shared" si="115"/>
        <v>0</v>
      </c>
      <c r="BF269" s="377">
        <f t="shared" si="116"/>
        <v>0</v>
      </c>
      <c r="BG269" s="328"/>
    </row>
    <row r="270" spans="2:59">
      <c r="B270" s="332">
        <v>255</v>
      </c>
      <c r="C270" s="350">
        <v>8120635.704638049</v>
      </c>
      <c r="D270" s="350">
        <v>15211013.334159266</v>
      </c>
      <c r="E270" s="350">
        <v>22354739.391573511</v>
      </c>
      <c r="F270" s="350">
        <v>29552334.209583364</v>
      </c>
      <c r="G270" s="350">
        <v>36804959.163162939</v>
      </c>
      <c r="H270" s="348">
        <v>112043681.80311713</v>
      </c>
      <c r="I270" s="369"/>
      <c r="J270" s="350">
        <v>9403621.7295318749</v>
      </c>
      <c r="K270" s="350">
        <v>18998501.808382712</v>
      </c>
      <c r="L270" s="350">
        <v>28364989.453611866</v>
      </c>
      <c r="M270" s="350">
        <v>37496568.731654793</v>
      </c>
      <c r="N270" s="350">
        <v>46389199.36528182</v>
      </c>
      <c r="O270" s="348">
        <v>140652881.08846307</v>
      </c>
      <c r="P270" s="369"/>
      <c r="Q270" s="350">
        <f t="shared" si="117"/>
        <v>1282986.0248938259</v>
      </c>
      <c r="R270" s="350">
        <f t="shared" si="118"/>
        <v>3787488.4742234461</v>
      </c>
      <c r="S270" s="350">
        <f t="shared" si="119"/>
        <v>6010250.0620383546</v>
      </c>
      <c r="T270" s="350">
        <f t="shared" si="120"/>
        <v>7944234.5220714286</v>
      </c>
      <c r="U270" s="350">
        <f t="shared" si="121"/>
        <v>9584240.202118881</v>
      </c>
      <c r="V270" s="350">
        <f t="shared" si="122"/>
        <v>28609199.285345942</v>
      </c>
      <c r="W270" s="365"/>
      <c r="X270" s="377">
        <f t="shared" si="100"/>
        <v>0</v>
      </c>
      <c r="Y270" s="377">
        <f t="shared" si="101"/>
        <v>0</v>
      </c>
      <c r="Z270" s="377">
        <f t="shared" si="102"/>
        <v>0</v>
      </c>
      <c r="AA270" s="377">
        <f t="shared" si="103"/>
        <v>0</v>
      </c>
      <c r="AB270" s="377">
        <f t="shared" si="104"/>
        <v>0</v>
      </c>
      <c r="AC270" s="377">
        <f t="shared" si="105"/>
        <v>0</v>
      </c>
      <c r="AD270" s="376"/>
      <c r="AE270" s="332">
        <v>255</v>
      </c>
      <c r="AF270" s="350">
        <v>8072038.2220540149</v>
      </c>
      <c r="AG270" s="350">
        <v>16207467.553232636</v>
      </c>
      <c r="AH270" s="350">
        <v>24404466.248543508</v>
      </c>
      <c r="AI270" s="350">
        <v>32663306.097087882</v>
      </c>
      <c r="AJ270" s="350">
        <v>40985178.139713876</v>
      </c>
      <c r="AK270" s="348">
        <v>122332456.26063192</v>
      </c>
      <c r="AL270" s="369"/>
      <c r="AM270" s="350">
        <v>9286845.8510570489</v>
      </c>
      <c r="AN270" s="350">
        <v>19790050.151128806</v>
      </c>
      <c r="AO270" s="350">
        <v>29987288.820314057</v>
      </c>
      <c r="AP270" s="350">
        <v>39872164.607229859</v>
      </c>
      <c r="AQ270" s="350">
        <v>49441025.746644229</v>
      </c>
      <c r="AR270" s="348">
        <v>148377375.17637402</v>
      </c>
      <c r="AS270" s="369"/>
      <c r="AT270" s="350">
        <f t="shared" si="123"/>
        <v>1214807.629003034</v>
      </c>
      <c r="AU270" s="350">
        <f t="shared" si="106"/>
        <v>3582582.5978961699</v>
      </c>
      <c r="AV270" s="350">
        <f t="shared" si="107"/>
        <v>5582822.5717705488</v>
      </c>
      <c r="AW270" s="350">
        <f t="shared" si="108"/>
        <v>7208858.5101419762</v>
      </c>
      <c r="AX270" s="350">
        <f t="shared" si="109"/>
        <v>8455847.6069303527</v>
      </c>
      <c r="AY270" s="350">
        <f t="shared" si="110"/>
        <v>26044918.915742099</v>
      </c>
      <c r="AZ270" s="365"/>
      <c r="BA270" s="377">
        <f t="shared" si="111"/>
        <v>0</v>
      </c>
      <c r="BB270" s="377">
        <f t="shared" si="112"/>
        <v>0</v>
      </c>
      <c r="BC270" s="377">
        <f t="shared" si="113"/>
        <v>0</v>
      </c>
      <c r="BD270" s="377">
        <f t="shared" si="114"/>
        <v>0</v>
      </c>
      <c r="BE270" s="377">
        <f t="shared" si="115"/>
        <v>0</v>
      </c>
      <c r="BF270" s="377">
        <f t="shared" si="116"/>
        <v>0</v>
      </c>
      <c r="BG270" s="328"/>
    </row>
    <row r="271" spans="2:59">
      <c r="B271" s="332">
        <v>256</v>
      </c>
      <c r="C271" s="350">
        <v>7211819.5389000624</v>
      </c>
      <c r="D271" s="350">
        <v>13570487.225513604</v>
      </c>
      <c r="E271" s="350">
        <v>19977018.251340091</v>
      </c>
      <c r="F271" s="350">
        <v>26431860.76772644</v>
      </c>
      <c r="G271" s="350">
        <v>32936048.256068479</v>
      </c>
      <c r="H271" s="348">
        <v>100127234.03954868</v>
      </c>
      <c r="I271" s="369"/>
      <c r="J271" s="350">
        <v>8473220.4097850733</v>
      </c>
      <c r="K271" s="350">
        <v>17295774.816047788</v>
      </c>
      <c r="L271" s="350">
        <v>25919607.525643542</v>
      </c>
      <c r="M271" s="350">
        <v>34338725.065706998</v>
      </c>
      <c r="N271" s="350">
        <v>42549504.041060694</v>
      </c>
      <c r="O271" s="348">
        <v>128576831.85824409</v>
      </c>
      <c r="P271" s="369"/>
      <c r="Q271" s="350">
        <f t="shared" si="117"/>
        <v>1261400.8708850108</v>
      </c>
      <c r="R271" s="350">
        <f t="shared" si="118"/>
        <v>3725287.5905341841</v>
      </c>
      <c r="S271" s="350">
        <f t="shared" si="119"/>
        <v>5942589.2743034512</v>
      </c>
      <c r="T271" s="350">
        <f t="shared" si="120"/>
        <v>7906864.2979805581</v>
      </c>
      <c r="U271" s="350">
        <f t="shared" si="121"/>
        <v>9613455.7849922143</v>
      </c>
      <c r="V271" s="350">
        <f t="shared" si="122"/>
        <v>28449597.818695411</v>
      </c>
      <c r="W271" s="365"/>
      <c r="X271" s="377">
        <f t="shared" si="100"/>
        <v>0</v>
      </c>
      <c r="Y271" s="377">
        <f t="shared" si="101"/>
        <v>0</v>
      </c>
      <c r="Z271" s="377">
        <f t="shared" si="102"/>
        <v>0</v>
      </c>
      <c r="AA271" s="377">
        <f t="shared" si="103"/>
        <v>0</v>
      </c>
      <c r="AB271" s="377">
        <f t="shared" si="104"/>
        <v>0</v>
      </c>
      <c r="AC271" s="377">
        <f t="shared" si="105"/>
        <v>0</v>
      </c>
      <c r="AD271" s="376"/>
      <c r="AE271" s="332">
        <v>256</v>
      </c>
      <c r="AF271" s="350">
        <v>4653429.6359318942</v>
      </c>
      <c r="AG271" s="350">
        <v>9343403.4578228071</v>
      </c>
      <c r="AH271" s="350">
        <v>14068871.252343297</v>
      </c>
      <c r="AI271" s="350">
        <v>18829989.702529754</v>
      </c>
      <c r="AJ271" s="350">
        <v>23627445.42861709</v>
      </c>
      <c r="AK271" s="348">
        <v>70523139.477244839</v>
      </c>
      <c r="AL271" s="369"/>
      <c r="AM271" s="350">
        <v>5444071.3837282779</v>
      </c>
      <c r="AN271" s="350">
        <v>11676581.131900428</v>
      </c>
      <c r="AO271" s="350">
        <v>17735410.619684555</v>
      </c>
      <c r="AP271" s="350">
        <v>23616846.365307026</v>
      </c>
      <c r="AQ271" s="350">
        <v>29318874.644780457</v>
      </c>
      <c r="AR271" s="348">
        <v>87791784.145400733</v>
      </c>
      <c r="AS271" s="369"/>
      <c r="AT271" s="350">
        <f t="shared" si="123"/>
        <v>790641.74779638369</v>
      </c>
      <c r="AU271" s="350">
        <f t="shared" si="106"/>
        <v>2333177.6740776207</v>
      </c>
      <c r="AV271" s="350">
        <f t="shared" si="107"/>
        <v>3666539.3673412576</v>
      </c>
      <c r="AW271" s="350">
        <f t="shared" si="108"/>
        <v>4786856.6627772711</v>
      </c>
      <c r="AX271" s="350">
        <f t="shared" si="109"/>
        <v>5691429.216163367</v>
      </c>
      <c r="AY271" s="350">
        <f t="shared" si="110"/>
        <v>17268644.668155894</v>
      </c>
      <c r="AZ271" s="365"/>
      <c r="BA271" s="377">
        <f t="shared" si="111"/>
        <v>0</v>
      </c>
      <c r="BB271" s="377">
        <f t="shared" si="112"/>
        <v>0</v>
      </c>
      <c r="BC271" s="377">
        <f t="shared" si="113"/>
        <v>0</v>
      </c>
      <c r="BD271" s="377">
        <f t="shared" si="114"/>
        <v>0</v>
      </c>
      <c r="BE271" s="377">
        <f t="shared" si="115"/>
        <v>0</v>
      </c>
      <c r="BF271" s="377">
        <f t="shared" si="116"/>
        <v>0</v>
      </c>
      <c r="BG271" s="328"/>
    </row>
    <row r="272" spans="2:59">
      <c r="B272" s="332">
        <v>257</v>
      </c>
      <c r="C272" s="350">
        <v>7549050.2067604605</v>
      </c>
      <c r="D272" s="350">
        <v>14057825.282399762</v>
      </c>
      <c r="E272" s="350">
        <v>20615545.6104865</v>
      </c>
      <c r="F272" s="350">
        <v>27222713.525844846</v>
      </c>
      <c r="G272" s="350">
        <v>33880405.879046515</v>
      </c>
      <c r="H272" s="348">
        <v>103325540.50453809</v>
      </c>
      <c r="I272" s="369"/>
      <c r="J272" s="350">
        <v>8897192.8792448938</v>
      </c>
      <c r="K272" s="350">
        <v>18039993.059916522</v>
      </c>
      <c r="L272" s="350">
        <v>26987769.825539783</v>
      </c>
      <c r="M272" s="350">
        <v>35734147.340121076</v>
      </c>
      <c r="N272" s="350">
        <v>44275214.532020323</v>
      </c>
      <c r="O272" s="348">
        <v>133934317.63684261</v>
      </c>
      <c r="P272" s="369"/>
      <c r="Q272" s="350">
        <f t="shared" si="117"/>
        <v>1348142.6724844333</v>
      </c>
      <c r="R272" s="350">
        <f t="shared" si="118"/>
        <v>3982167.7775167599</v>
      </c>
      <c r="S272" s="350">
        <f t="shared" si="119"/>
        <v>6372224.2150532827</v>
      </c>
      <c r="T272" s="350">
        <f t="shared" si="120"/>
        <v>8511433.8142762296</v>
      </c>
      <c r="U272" s="350">
        <f t="shared" si="121"/>
        <v>10394808.652973808</v>
      </c>
      <c r="V272" s="350">
        <f t="shared" si="122"/>
        <v>30608777.132304519</v>
      </c>
      <c r="W272" s="365"/>
      <c r="X272" s="377">
        <f t="shared" ref="X272:X335" si="124">IF(Q272&lt;Q$8,1,0)</f>
        <v>0</v>
      </c>
      <c r="Y272" s="377">
        <f t="shared" ref="Y272:Y335" si="125">IF(R272&lt;R$8,1,0)</f>
        <v>0</v>
      </c>
      <c r="Z272" s="377">
        <f t="shared" ref="Z272:Z335" si="126">IF(S272&lt;S$8,1,0)</f>
        <v>0</v>
      </c>
      <c r="AA272" s="377">
        <f t="shared" ref="AA272:AA335" si="127">IF(T272&lt;T$8,1,0)</f>
        <v>0</v>
      </c>
      <c r="AB272" s="377">
        <f t="shared" ref="AB272:AB335" si="128">IF(U272&lt;U$8,1,0)</f>
        <v>0</v>
      </c>
      <c r="AC272" s="377">
        <f t="shared" ref="AC272:AC335" si="129">IF(V272&lt;V$8,1,0)</f>
        <v>0</v>
      </c>
      <c r="AD272" s="376"/>
      <c r="AE272" s="332">
        <v>257</v>
      </c>
      <c r="AF272" s="350">
        <v>4745530.7921032496</v>
      </c>
      <c r="AG272" s="350">
        <v>9528329.0564385429</v>
      </c>
      <c r="AH272" s="350">
        <v>14347323.793746613</v>
      </c>
      <c r="AI272" s="350">
        <v>19202674.788150564</v>
      </c>
      <c r="AJ272" s="350">
        <v>24095082.24954335</v>
      </c>
      <c r="AK272" s="348">
        <v>71918940.679982319</v>
      </c>
      <c r="AL272" s="369"/>
      <c r="AM272" s="350">
        <v>5605565.5929140607</v>
      </c>
      <c r="AN272" s="350">
        <v>12067075.895258835</v>
      </c>
      <c r="AO272" s="350">
        <v>18353078.107142664</v>
      </c>
      <c r="AP272" s="350">
        <v>24459770.048216365</v>
      </c>
      <c r="AQ272" s="350">
        <v>30385152.569331758</v>
      </c>
      <c r="AR272" s="348">
        <v>90870642.212863684</v>
      </c>
      <c r="AS272" s="369"/>
      <c r="AT272" s="350">
        <f t="shared" si="123"/>
        <v>860034.80081081111</v>
      </c>
      <c r="AU272" s="350">
        <f t="shared" ref="AU272:AU335" si="130">AN272-AG272</f>
        <v>2538746.8388202917</v>
      </c>
      <c r="AV272" s="350">
        <f t="shared" ref="AV272:AV335" si="131">AO272-AH272</f>
        <v>4005754.3133960515</v>
      </c>
      <c r="AW272" s="350">
        <f t="shared" ref="AW272:AW335" si="132">AP272-AI272</f>
        <v>5257095.2600658014</v>
      </c>
      <c r="AX272" s="350">
        <f t="shared" ref="AX272:AX335" si="133">AQ272-AJ272</f>
        <v>6290070.3197884075</v>
      </c>
      <c r="AY272" s="350">
        <f t="shared" ref="AY272:AY335" si="134">AR272-AK272</f>
        <v>18951701.532881364</v>
      </c>
      <c r="AZ272" s="365"/>
      <c r="BA272" s="377">
        <f t="shared" ref="BA272:BA335" si="135">IF(AT272&lt;AT$8,1,0)</f>
        <v>0</v>
      </c>
      <c r="BB272" s="377">
        <f t="shared" ref="BB272:BB335" si="136">IF(AU272&lt;AU$8,1,0)</f>
        <v>0</v>
      </c>
      <c r="BC272" s="377">
        <f t="shared" ref="BC272:BC335" si="137">IF(AV272&lt;AV$8,1,0)</f>
        <v>0</v>
      </c>
      <c r="BD272" s="377">
        <f t="shared" ref="BD272:BD335" si="138">IF(AW272&lt;AW$8,1,0)</f>
        <v>0</v>
      </c>
      <c r="BE272" s="377">
        <f t="shared" ref="BE272:BE335" si="139">IF(AX272&lt;AX$8,1,0)</f>
        <v>0</v>
      </c>
      <c r="BF272" s="377">
        <f t="shared" ref="BF272:BF335" si="140">IF(AY272&lt;AY$8,1,0)</f>
        <v>0</v>
      </c>
      <c r="BG272" s="328"/>
    </row>
    <row r="273" spans="2:59">
      <c r="B273" s="332">
        <v>258</v>
      </c>
      <c r="C273" s="350">
        <v>5876403.8501997609</v>
      </c>
      <c r="D273" s="350">
        <v>10902028.536042534</v>
      </c>
      <c r="E273" s="350">
        <v>15965431.687012319</v>
      </c>
      <c r="F273" s="350">
        <v>21067013.588112187</v>
      </c>
      <c r="G273" s="350">
        <v>26207611.111232422</v>
      </c>
      <c r="H273" s="348">
        <v>80018488.77259922</v>
      </c>
      <c r="I273" s="369"/>
      <c r="J273" s="350">
        <v>6743084.4788883496</v>
      </c>
      <c r="K273" s="350">
        <v>13459969.895185426</v>
      </c>
      <c r="L273" s="350">
        <v>20017331.024254821</v>
      </c>
      <c r="M273" s="350">
        <v>26410451.344818179</v>
      </c>
      <c r="N273" s="350">
        <v>32636290.362405848</v>
      </c>
      <c r="O273" s="348">
        <v>99267127.105552629</v>
      </c>
      <c r="P273" s="369"/>
      <c r="Q273" s="350">
        <f t="shared" ref="Q273:Q336" si="141">J273-C273</f>
        <v>866680.62868858874</v>
      </c>
      <c r="R273" s="350">
        <f t="shared" ref="R273:R336" si="142">K273-D273</f>
        <v>2557941.3591428921</v>
      </c>
      <c r="S273" s="350">
        <f t="shared" ref="S273:S336" si="143">L273-E273</f>
        <v>4051899.3372425027</v>
      </c>
      <c r="T273" s="350">
        <f t="shared" ref="T273:T336" si="144">M273-F273</f>
        <v>5343437.7567059919</v>
      </c>
      <c r="U273" s="350">
        <f t="shared" ref="U273:U336" si="145">N273-G273</f>
        <v>6428679.2511734255</v>
      </c>
      <c r="V273" s="350">
        <f t="shared" ref="V273:V336" si="146">O273-H273</f>
        <v>19248638.332953408</v>
      </c>
      <c r="W273" s="365"/>
      <c r="X273" s="377">
        <f t="shared" si="124"/>
        <v>0</v>
      </c>
      <c r="Y273" s="377">
        <f t="shared" si="125"/>
        <v>0</v>
      </c>
      <c r="Z273" s="377">
        <f t="shared" si="126"/>
        <v>0</v>
      </c>
      <c r="AA273" s="377">
        <f t="shared" si="127"/>
        <v>0</v>
      </c>
      <c r="AB273" s="377">
        <f t="shared" si="128"/>
        <v>0</v>
      </c>
      <c r="AC273" s="377">
        <f t="shared" si="129"/>
        <v>0</v>
      </c>
      <c r="AD273" s="376"/>
      <c r="AE273" s="332">
        <v>258</v>
      </c>
      <c r="AF273" s="350">
        <v>6985927.5996261612</v>
      </c>
      <c r="AG273" s="350">
        <v>14026716.894232232</v>
      </c>
      <c r="AH273" s="350">
        <v>21120791.258649763</v>
      </c>
      <c r="AI273" s="350">
        <v>28268385.912154414</v>
      </c>
      <c r="AJ273" s="350">
        <v>35470531.638410024</v>
      </c>
      <c r="AK273" s="348">
        <v>105872353.3030726</v>
      </c>
      <c r="AL273" s="369"/>
      <c r="AM273" s="350">
        <v>8623156.7017031964</v>
      </c>
      <c r="AN273" s="350">
        <v>18864792.811700825</v>
      </c>
      <c r="AO273" s="350">
        <v>28859178.831030294</v>
      </c>
      <c r="AP273" s="350">
        <v>38600612.565037116</v>
      </c>
      <c r="AQ273" s="350">
        <v>48086526.957166359</v>
      </c>
      <c r="AR273" s="348">
        <v>143034267.86663777</v>
      </c>
      <c r="AS273" s="369"/>
      <c r="AT273" s="350">
        <f t="shared" ref="AT273:AT336" si="147">AM273-AF273</f>
        <v>1637229.1020770352</v>
      </c>
      <c r="AU273" s="350">
        <f t="shared" si="130"/>
        <v>4838075.9174685925</v>
      </c>
      <c r="AV273" s="350">
        <f t="shared" si="131"/>
        <v>7738387.5723805316</v>
      </c>
      <c r="AW273" s="350">
        <f t="shared" si="132"/>
        <v>10332226.652882703</v>
      </c>
      <c r="AX273" s="350">
        <f t="shared" si="133"/>
        <v>12615995.318756334</v>
      </c>
      <c r="AY273" s="350">
        <f t="shared" si="134"/>
        <v>37161914.563565165</v>
      </c>
      <c r="AZ273" s="365"/>
      <c r="BA273" s="377">
        <f t="shared" si="135"/>
        <v>0</v>
      </c>
      <c r="BB273" s="377">
        <f t="shared" si="136"/>
        <v>0</v>
      </c>
      <c r="BC273" s="377">
        <f t="shared" si="137"/>
        <v>0</v>
      </c>
      <c r="BD273" s="377">
        <f t="shared" si="138"/>
        <v>0</v>
      </c>
      <c r="BE273" s="377">
        <f t="shared" si="139"/>
        <v>0</v>
      </c>
      <c r="BF273" s="377">
        <f t="shared" si="140"/>
        <v>0</v>
      </c>
      <c r="BG273" s="328"/>
    </row>
    <row r="274" spans="2:59">
      <c r="B274" s="332">
        <v>259</v>
      </c>
      <c r="C274" s="350">
        <v>5609013.5784027157</v>
      </c>
      <c r="D274" s="350">
        <v>10463974.09400532</v>
      </c>
      <c r="E274" s="350">
        <v>15355449.656340187</v>
      </c>
      <c r="F274" s="350">
        <v>20283809.243637696</v>
      </c>
      <c r="G274" s="350">
        <v>25249853.601482939</v>
      </c>
      <c r="H274" s="348">
        <v>76962100.173868865</v>
      </c>
      <c r="I274" s="369"/>
      <c r="J274" s="350">
        <v>6407593.3875220111</v>
      </c>
      <c r="K274" s="350">
        <v>12820367.28316086</v>
      </c>
      <c r="L274" s="350">
        <v>19076514.646613769</v>
      </c>
      <c r="M274" s="350">
        <v>25171525.733215563</v>
      </c>
      <c r="N274" s="350">
        <v>31102471.927954335</v>
      </c>
      <c r="O274" s="348">
        <v>94578472.978466541</v>
      </c>
      <c r="P274" s="369"/>
      <c r="Q274" s="350">
        <f t="shared" si="141"/>
        <v>798579.80911929533</v>
      </c>
      <c r="R274" s="350">
        <f t="shared" si="142"/>
        <v>2356393.1891555395</v>
      </c>
      <c r="S274" s="350">
        <f t="shared" si="143"/>
        <v>3721064.9902735818</v>
      </c>
      <c r="T274" s="350">
        <f t="shared" si="144"/>
        <v>4887716.4895778671</v>
      </c>
      <c r="U274" s="350">
        <f t="shared" si="145"/>
        <v>5852618.3264713958</v>
      </c>
      <c r="V274" s="350">
        <f t="shared" si="146"/>
        <v>17616372.804597676</v>
      </c>
      <c r="W274" s="365"/>
      <c r="X274" s="377">
        <f t="shared" si="124"/>
        <v>0</v>
      </c>
      <c r="Y274" s="377">
        <f t="shared" si="125"/>
        <v>0</v>
      </c>
      <c r="Z274" s="377">
        <f t="shared" si="126"/>
        <v>0</v>
      </c>
      <c r="AA274" s="377">
        <f t="shared" si="127"/>
        <v>0</v>
      </c>
      <c r="AB274" s="377">
        <f t="shared" si="128"/>
        <v>0</v>
      </c>
      <c r="AC274" s="377">
        <f t="shared" si="129"/>
        <v>0</v>
      </c>
      <c r="AD274" s="376"/>
      <c r="AE274" s="332">
        <v>259</v>
      </c>
      <c r="AF274" s="350">
        <v>5381585.389774519</v>
      </c>
      <c r="AG274" s="350">
        <v>10805433.298298582</v>
      </c>
      <c r="AH274" s="350">
        <v>16270329.177775824</v>
      </c>
      <c r="AI274" s="350">
        <v>21776454.228569295</v>
      </c>
      <c r="AJ274" s="350">
        <v>27324602.511342555</v>
      </c>
      <c r="AK274" s="348">
        <v>81558404.605760783</v>
      </c>
      <c r="AL274" s="369"/>
      <c r="AM274" s="350">
        <v>6554260.4585889839</v>
      </c>
      <c r="AN274" s="350">
        <v>14269789.227187481</v>
      </c>
      <c r="AO274" s="350">
        <v>21792197.372820314</v>
      </c>
      <c r="AP274" s="350">
        <v>29117117.277075753</v>
      </c>
      <c r="AQ274" s="350">
        <v>36242481.727469534</v>
      </c>
      <c r="AR274" s="348">
        <v>107975846.06314206</v>
      </c>
      <c r="AS274" s="369"/>
      <c r="AT274" s="350">
        <f t="shared" si="147"/>
        <v>1172675.0688144648</v>
      </c>
      <c r="AU274" s="350">
        <f t="shared" si="130"/>
        <v>3464355.9288888983</v>
      </c>
      <c r="AV274" s="350">
        <f t="shared" si="131"/>
        <v>5521868.1950444896</v>
      </c>
      <c r="AW274" s="350">
        <f t="shared" si="132"/>
        <v>7340663.0485064574</v>
      </c>
      <c r="AX274" s="350">
        <f t="shared" si="133"/>
        <v>8917879.2161269784</v>
      </c>
      <c r="AY274" s="350">
        <f t="shared" si="134"/>
        <v>26417441.457381278</v>
      </c>
      <c r="AZ274" s="365"/>
      <c r="BA274" s="377">
        <f t="shared" si="135"/>
        <v>0</v>
      </c>
      <c r="BB274" s="377">
        <f t="shared" si="136"/>
        <v>0</v>
      </c>
      <c r="BC274" s="377">
        <f t="shared" si="137"/>
        <v>0</v>
      </c>
      <c r="BD274" s="377">
        <f t="shared" si="138"/>
        <v>0</v>
      </c>
      <c r="BE274" s="377">
        <f t="shared" si="139"/>
        <v>0</v>
      </c>
      <c r="BF274" s="377">
        <f t="shared" si="140"/>
        <v>0</v>
      </c>
      <c r="BG274" s="328"/>
    </row>
    <row r="275" spans="2:59">
      <c r="B275" s="332">
        <v>260</v>
      </c>
      <c r="C275" s="350">
        <v>11887573.104035115</v>
      </c>
      <c r="D275" s="350">
        <v>22568627.608174231</v>
      </c>
      <c r="E275" s="350">
        <v>33330146.285013288</v>
      </c>
      <c r="F275" s="350">
        <v>44172822.757547401</v>
      </c>
      <c r="G275" s="350">
        <v>55098367.286958486</v>
      </c>
      <c r="H275" s="348">
        <v>167057537.04172853</v>
      </c>
      <c r="I275" s="369"/>
      <c r="J275" s="350">
        <v>13489755.80146319</v>
      </c>
      <c r="K275" s="350">
        <v>27293895.463976271</v>
      </c>
      <c r="L275" s="350">
        <v>40742298.450722441</v>
      </c>
      <c r="M275" s="350">
        <v>53825211.099504516</v>
      </c>
      <c r="N275" s="350">
        <v>66536234.489931852</v>
      </c>
      <c r="O275" s="348">
        <v>201887395.30559829</v>
      </c>
      <c r="P275" s="369"/>
      <c r="Q275" s="350">
        <f t="shared" si="141"/>
        <v>1602182.6974280756</v>
      </c>
      <c r="R275" s="350">
        <f t="shared" si="142"/>
        <v>4725267.8558020405</v>
      </c>
      <c r="S275" s="350">
        <f t="shared" si="143"/>
        <v>7412152.1657091528</v>
      </c>
      <c r="T275" s="350">
        <f t="shared" si="144"/>
        <v>9652388.3419571146</v>
      </c>
      <c r="U275" s="350">
        <f t="shared" si="145"/>
        <v>11437867.202973366</v>
      </c>
      <c r="V275" s="350">
        <f t="shared" si="146"/>
        <v>34829858.263869762</v>
      </c>
      <c r="W275" s="365"/>
      <c r="X275" s="377">
        <f t="shared" si="124"/>
        <v>0</v>
      </c>
      <c r="Y275" s="377">
        <f t="shared" si="125"/>
        <v>0</v>
      </c>
      <c r="Z275" s="377">
        <f t="shared" si="126"/>
        <v>0</v>
      </c>
      <c r="AA275" s="377">
        <f t="shared" si="127"/>
        <v>0</v>
      </c>
      <c r="AB275" s="377">
        <f t="shared" si="128"/>
        <v>0</v>
      </c>
      <c r="AC275" s="377">
        <f t="shared" si="129"/>
        <v>0</v>
      </c>
      <c r="AD275" s="376"/>
      <c r="AE275" s="332">
        <v>260</v>
      </c>
      <c r="AF275" s="350">
        <v>8107563.1211647075</v>
      </c>
      <c r="AG275" s="350">
        <v>16278796.334617162</v>
      </c>
      <c r="AH275" s="350">
        <v>24511869.877897136</v>
      </c>
      <c r="AI275" s="350">
        <v>32807056.736244969</v>
      </c>
      <c r="AJ275" s="350">
        <v>41165553.192258731</v>
      </c>
      <c r="AK275" s="348">
        <v>122870839.2621827</v>
      </c>
      <c r="AL275" s="369"/>
      <c r="AM275" s="350">
        <v>9097482.1187247895</v>
      </c>
      <c r="AN275" s="350">
        <v>19194336.479046725</v>
      </c>
      <c r="AO275" s="350">
        <v>28976983.048866224</v>
      </c>
      <c r="AP275" s="350">
        <v>38439061.541601039</v>
      </c>
      <c r="AQ275" s="350">
        <v>47576670.946605667</v>
      </c>
      <c r="AR275" s="348">
        <v>143284534.13484442</v>
      </c>
      <c r="AS275" s="369"/>
      <c r="AT275" s="350">
        <f t="shared" si="147"/>
        <v>989918.997560082</v>
      </c>
      <c r="AU275" s="350">
        <f t="shared" si="130"/>
        <v>2915540.1444295626</v>
      </c>
      <c r="AV275" s="350">
        <f t="shared" si="131"/>
        <v>4465113.1709690876</v>
      </c>
      <c r="AW275" s="350">
        <f t="shared" si="132"/>
        <v>5632004.8053560704</v>
      </c>
      <c r="AX275" s="350">
        <f t="shared" si="133"/>
        <v>6411117.7543469369</v>
      </c>
      <c r="AY275" s="350">
        <f t="shared" si="134"/>
        <v>20413694.872661725</v>
      </c>
      <c r="AZ275" s="365"/>
      <c r="BA275" s="377">
        <f t="shared" si="135"/>
        <v>0</v>
      </c>
      <c r="BB275" s="377">
        <f t="shared" si="136"/>
        <v>0</v>
      </c>
      <c r="BC275" s="377">
        <f t="shared" si="137"/>
        <v>0</v>
      </c>
      <c r="BD275" s="377">
        <f t="shared" si="138"/>
        <v>0</v>
      </c>
      <c r="BE275" s="377">
        <f t="shared" si="139"/>
        <v>0</v>
      </c>
      <c r="BF275" s="377">
        <f t="shared" si="140"/>
        <v>0</v>
      </c>
      <c r="BG275" s="328"/>
    </row>
    <row r="276" spans="2:59">
      <c r="B276" s="332">
        <v>261</v>
      </c>
      <c r="C276" s="350">
        <v>8506304.5052281059</v>
      </c>
      <c r="D276" s="350">
        <v>16029988.68806757</v>
      </c>
      <c r="E276" s="350">
        <v>23610313.304848298</v>
      </c>
      <c r="F276" s="350">
        <v>31247801.606284484</v>
      </c>
      <c r="G276" s="350">
        <v>38943673.375342168</v>
      </c>
      <c r="H276" s="348">
        <v>118338081.47977063</v>
      </c>
      <c r="I276" s="369"/>
      <c r="J276" s="350">
        <v>9358700.3773990665</v>
      </c>
      <c r="K276" s="350">
        <v>18539376.916118514</v>
      </c>
      <c r="L276" s="350">
        <v>27456754.374643512</v>
      </c>
      <c r="M276" s="350">
        <v>36104236.099370807</v>
      </c>
      <c r="N276" s="350">
        <v>44477217.690858468</v>
      </c>
      <c r="O276" s="348">
        <v>135936285.45839036</v>
      </c>
      <c r="P276" s="369"/>
      <c r="Q276" s="350">
        <f t="shared" si="141"/>
        <v>852395.87217096053</v>
      </c>
      <c r="R276" s="350">
        <f t="shared" si="142"/>
        <v>2509388.2280509435</v>
      </c>
      <c r="S276" s="350">
        <f t="shared" si="143"/>
        <v>3846441.0697952136</v>
      </c>
      <c r="T276" s="350">
        <f t="shared" si="144"/>
        <v>4856434.4930863231</v>
      </c>
      <c r="U276" s="350">
        <f t="shared" si="145"/>
        <v>5533544.3155163005</v>
      </c>
      <c r="V276" s="350">
        <f t="shared" si="146"/>
        <v>17598203.978619725</v>
      </c>
      <c r="W276" s="365"/>
      <c r="X276" s="377">
        <f t="shared" si="124"/>
        <v>0</v>
      </c>
      <c r="Y276" s="377">
        <f t="shared" si="125"/>
        <v>0</v>
      </c>
      <c r="Z276" s="377">
        <f t="shared" si="126"/>
        <v>0</v>
      </c>
      <c r="AA276" s="377">
        <f t="shared" si="127"/>
        <v>0</v>
      </c>
      <c r="AB276" s="377">
        <f t="shared" si="128"/>
        <v>0</v>
      </c>
      <c r="AC276" s="377">
        <f t="shared" si="129"/>
        <v>0</v>
      </c>
      <c r="AD276" s="376"/>
      <c r="AE276" s="332">
        <v>261</v>
      </c>
      <c r="AF276" s="350">
        <v>7143856.3412379622</v>
      </c>
      <c r="AG276" s="350">
        <v>14343814.61911699</v>
      </c>
      <c r="AH276" s="350">
        <v>21598262.566182721</v>
      </c>
      <c r="AI276" s="350">
        <v>28907440.719241485</v>
      </c>
      <c r="AJ276" s="350">
        <v>36272403.164570056</v>
      </c>
      <c r="AK276" s="348">
        <v>108265777.41034922</v>
      </c>
      <c r="AL276" s="369"/>
      <c r="AM276" s="350">
        <v>8438520.6048876382</v>
      </c>
      <c r="AN276" s="350">
        <v>18165548.999787785</v>
      </c>
      <c r="AO276" s="350">
        <v>27628369.340152927</v>
      </c>
      <c r="AP276" s="350">
        <v>36821257.882053569</v>
      </c>
      <c r="AQ276" s="350">
        <v>45741205.113570675</v>
      </c>
      <c r="AR276" s="348">
        <v>136794901.94045258</v>
      </c>
      <c r="AS276" s="369"/>
      <c r="AT276" s="350">
        <f t="shared" si="147"/>
        <v>1294664.263649676</v>
      </c>
      <c r="AU276" s="350">
        <f t="shared" si="130"/>
        <v>3821734.3806707952</v>
      </c>
      <c r="AV276" s="350">
        <f t="shared" si="131"/>
        <v>6030106.7739702053</v>
      </c>
      <c r="AW276" s="350">
        <f t="shared" si="132"/>
        <v>7913817.162812084</v>
      </c>
      <c r="AX276" s="350">
        <f t="shared" si="133"/>
        <v>9468801.9490006194</v>
      </c>
      <c r="AY276" s="350">
        <f t="shared" si="134"/>
        <v>28529124.530103356</v>
      </c>
      <c r="AZ276" s="365"/>
      <c r="BA276" s="377">
        <f t="shared" si="135"/>
        <v>0</v>
      </c>
      <c r="BB276" s="377">
        <f t="shared" si="136"/>
        <v>0</v>
      </c>
      <c r="BC276" s="377">
        <f t="shared" si="137"/>
        <v>0</v>
      </c>
      <c r="BD276" s="377">
        <f t="shared" si="138"/>
        <v>0</v>
      </c>
      <c r="BE276" s="377">
        <f t="shared" si="139"/>
        <v>0</v>
      </c>
      <c r="BF276" s="377">
        <f t="shared" si="140"/>
        <v>0</v>
      </c>
      <c r="BG276" s="328"/>
    </row>
    <row r="277" spans="2:59">
      <c r="B277" s="332">
        <v>262</v>
      </c>
      <c r="C277" s="350">
        <v>10364444.012221843</v>
      </c>
      <c r="D277" s="350">
        <v>19352942.59874307</v>
      </c>
      <c r="E277" s="350">
        <v>28409051.107886449</v>
      </c>
      <c r="F277" s="350">
        <v>37533447.415939197</v>
      </c>
      <c r="G277" s="350">
        <v>46727611.742264554</v>
      </c>
      <c r="H277" s="348">
        <v>142387496.87705511</v>
      </c>
      <c r="I277" s="369"/>
      <c r="J277" s="350">
        <v>11871130.956700981</v>
      </c>
      <c r="K277" s="350">
        <v>23799183.614145443</v>
      </c>
      <c r="L277" s="350">
        <v>35429780.554326981</v>
      </c>
      <c r="M277" s="350">
        <v>46754884.456656218</v>
      </c>
      <c r="N277" s="350">
        <v>57769437.597677976</v>
      </c>
      <c r="O277" s="348">
        <v>175624417.17950761</v>
      </c>
      <c r="P277" s="369"/>
      <c r="Q277" s="350">
        <f t="shared" si="141"/>
        <v>1506686.9444791377</v>
      </c>
      <c r="R277" s="350">
        <f t="shared" si="142"/>
        <v>4446241.0154023729</v>
      </c>
      <c r="S277" s="350">
        <f t="shared" si="143"/>
        <v>7020729.4464405328</v>
      </c>
      <c r="T277" s="350">
        <f t="shared" si="144"/>
        <v>9221437.0407170206</v>
      </c>
      <c r="U277" s="350">
        <f t="shared" si="145"/>
        <v>11041825.855413422</v>
      </c>
      <c r="V277" s="350">
        <f t="shared" si="146"/>
        <v>33236920.302452505</v>
      </c>
      <c r="W277" s="365"/>
      <c r="X277" s="377">
        <f t="shared" si="124"/>
        <v>0</v>
      </c>
      <c r="Y277" s="377">
        <f t="shared" si="125"/>
        <v>0</v>
      </c>
      <c r="Z277" s="377">
        <f t="shared" si="126"/>
        <v>0</v>
      </c>
      <c r="AA277" s="377">
        <f t="shared" si="127"/>
        <v>0</v>
      </c>
      <c r="AB277" s="377">
        <f t="shared" si="128"/>
        <v>0</v>
      </c>
      <c r="AC277" s="377">
        <f t="shared" si="129"/>
        <v>0</v>
      </c>
      <c r="AD277" s="376"/>
      <c r="AE277" s="332">
        <v>262</v>
      </c>
      <c r="AF277" s="350">
        <v>7800205.2922041956</v>
      </c>
      <c r="AG277" s="350">
        <v>15661666.942625515</v>
      </c>
      <c r="AH277" s="350">
        <v>23582624.555123661</v>
      </c>
      <c r="AI277" s="350">
        <v>31563340.766064771</v>
      </c>
      <c r="AJ277" s="350">
        <v>39604966.506957233</v>
      </c>
      <c r="AK277" s="348">
        <v>118212804.06297538</v>
      </c>
      <c r="AL277" s="369"/>
      <c r="AM277" s="350">
        <v>9569739.2894993164</v>
      </c>
      <c r="AN277" s="350">
        <v>20890084.63310321</v>
      </c>
      <c r="AO277" s="350">
        <v>31932607.493698951</v>
      </c>
      <c r="AP277" s="350">
        <v>42690957.584949039</v>
      </c>
      <c r="AQ277" s="350">
        <v>53162209.35770902</v>
      </c>
      <c r="AR277" s="348">
        <v>158245598.35895953</v>
      </c>
      <c r="AS277" s="369"/>
      <c r="AT277" s="350">
        <f t="shared" si="147"/>
        <v>1769533.9972951207</v>
      </c>
      <c r="AU277" s="350">
        <f t="shared" si="130"/>
        <v>5228417.6904776953</v>
      </c>
      <c r="AV277" s="350">
        <f t="shared" si="131"/>
        <v>8349982.9385752901</v>
      </c>
      <c r="AW277" s="350">
        <f t="shared" si="132"/>
        <v>11127616.818884268</v>
      </c>
      <c r="AX277" s="350">
        <f t="shared" si="133"/>
        <v>13557242.850751787</v>
      </c>
      <c r="AY277" s="350">
        <f t="shared" si="134"/>
        <v>40032794.295984149</v>
      </c>
      <c r="AZ277" s="365"/>
      <c r="BA277" s="377">
        <f t="shared" si="135"/>
        <v>0</v>
      </c>
      <c r="BB277" s="377">
        <f t="shared" si="136"/>
        <v>0</v>
      </c>
      <c r="BC277" s="377">
        <f t="shared" si="137"/>
        <v>0</v>
      </c>
      <c r="BD277" s="377">
        <f t="shared" si="138"/>
        <v>0</v>
      </c>
      <c r="BE277" s="377">
        <f t="shared" si="139"/>
        <v>0</v>
      </c>
      <c r="BF277" s="377">
        <f t="shared" si="140"/>
        <v>0</v>
      </c>
      <c r="BG277" s="328"/>
    </row>
    <row r="278" spans="2:59">
      <c r="B278" s="332">
        <v>263</v>
      </c>
      <c r="C278" s="350">
        <v>7812292.5661057206</v>
      </c>
      <c r="D278" s="350">
        <v>14426113.249716155</v>
      </c>
      <c r="E278" s="350">
        <v>21089628.482212309</v>
      </c>
      <c r="F278" s="350">
        <v>27803385.631234698</v>
      </c>
      <c r="G278" s="350">
        <v>34568494.992982589</v>
      </c>
      <c r="H278" s="348">
        <v>105699914.92225146</v>
      </c>
      <c r="I278" s="369"/>
      <c r="J278" s="350">
        <v>9354706.5462033357</v>
      </c>
      <c r="K278" s="350">
        <v>18984192.832133632</v>
      </c>
      <c r="L278" s="350">
        <v>28416245.60728725</v>
      </c>
      <c r="M278" s="350">
        <v>37644566.685064055</v>
      </c>
      <c r="N278" s="350">
        <v>46665572.168194048</v>
      </c>
      <c r="O278" s="348">
        <v>141065283.83888233</v>
      </c>
      <c r="P278" s="369"/>
      <c r="Q278" s="350">
        <f t="shared" si="141"/>
        <v>1542413.9800976152</v>
      </c>
      <c r="R278" s="350">
        <f t="shared" si="142"/>
        <v>4558079.5824174769</v>
      </c>
      <c r="S278" s="350">
        <f t="shared" si="143"/>
        <v>7326617.1250749417</v>
      </c>
      <c r="T278" s="350">
        <f t="shared" si="144"/>
        <v>9841181.053829357</v>
      </c>
      <c r="U278" s="350">
        <f t="shared" si="145"/>
        <v>12097077.175211459</v>
      </c>
      <c r="V278" s="350">
        <f t="shared" si="146"/>
        <v>35365368.916630864</v>
      </c>
      <c r="W278" s="365"/>
      <c r="X278" s="377">
        <f t="shared" si="124"/>
        <v>0</v>
      </c>
      <c r="Y278" s="377">
        <f t="shared" si="125"/>
        <v>0</v>
      </c>
      <c r="Z278" s="377">
        <f t="shared" si="126"/>
        <v>0</v>
      </c>
      <c r="AA278" s="377">
        <f t="shared" si="127"/>
        <v>0</v>
      </c>
      <c r="AB278" s="377">
        <f t="shared" si="128"/>
        <v>0</v>
      </c>
      <c r="AC278" s="377">
        <f t="shared" si="129"/>
        <v>0</v>
      </c>
      <c r="AD278" s="376"/>
      <c r="AE278" s="332">
        <v>263</v>
      </c>
      <c r="AF278" s="350">
        <v>7756910.4698594119</v>
      </c>
      <c r="AG278" s="350">
        <v>15574737.296224819</v>
      </c>
      <c r="AH278" s="350">
        <v>23451729.853985697</v>
      </c>
      <c r="AI278" s="350">
        <v>31388149.321752347</v>
      </c>
      <c r="AJ278" s="350">
        <v>39385140.242819861</v>
      </c>
      <c r="AK278" s="348">
        <v>117556667.18464214</v>
      </c>
      <c r="AL278" s="369"/>
      <c r="AM278" s="350">
        <v>9006631.8981125727</v>
      </c>
      <c r="AN278" s="350">
        <v>19261651.789470311</v>
      </c>
      <c r="AO278" s="350">
        <v>29225116.857876666</v>
      </c>
      <c r="AP278" s="350">
        <v>38890856.308402985</v>
      </c>
      <c r="AQ278" s="350">
        <v>48255444.32894215</v>
      </c>
      <c r="AR278" s="348">
        <v>144639701.1828047</v>
      </c>
      <c r="AS278" s="369"/>
      <c r="AT278" s="350">
        <f t="shared" si="147"/>
        <v>1249721.4282531608</v>
      </c>
      <c r="AU278" s="350">
        <f t="shared" si="130"/>
        <v>3686914.4932454918</v>
      </c>
      <c r="AV278" s="350">
        <f t="shared" si="131"/>
        <v>5773387.0038909689</v>
      </c>
      <c r="AW278" s="350">
        <f t="shared" si="132"/>
        <v>7502706.9866506383</v>
      </c>
      <c r="AX278" s="350">
        <f t="shared" si="133"/>
        <v>8870304.0861222893</v>
      </c>
      <c r="AY278" s="350">
        <f t="shared" si="134"/>
        <v>27083033.998162568</v>
      </c>
      <c r="AZ278" s="365"/>
      <c r="BA278" s="377">
        <f t="shared" si="135"/>
        <v>0</v>
      </c>
      <c r="BB278" s="377">
        <f t="shared" si="136"/>
        <v>0</v>
      </c>
      <c r="BC278" s="377">
        <f t="shared" si="137"/>
        <v>0</v>
      </c>
      <c r="BD278" s="377">
        <f t="shared" si="138"/>
        <v>0</v>
      </c>
      <c r="BE278" s="377">
        <f t="shared" si="139"/>
        <v>0</v>
      </c>
      <c r="BF278" s="377">
        <f t="shared" si="140"/>
        <v>0</v>
      </c>
      <c r="BG278" s="328"/>
    </row>
    <row r="279" spans="2:59">
      <c r="B279" s="332">
        <v>264</v>
      </c>
      <c r="C279" s="350">
        <v>8355700.0780247096</v>
      </c>
      <c r="D279" s="350">
        <v>15736738.325147282</v>
      </c>
      <c r="E279" s="350">
        <v>23173340.060477912</v>
      </c>
      <c r="F279" s="350">
        <v>30666021.400770172</v>
      </c>
      <c r="G279" s="350">
        <v>38215980.214879006</v>
      </c>
      <c r="H279" s="348">
        <v>116147780.07929909</v>
      </c>
      <c r="I279" s="369"/>
      <c r="J279" s="350">
        <v>9667518.7880519386</v>
      </c>
      <c r="K279" s="350">
        <v>19609025.466617573</v>
      </c>
      <c r="L279" s="350">
        <v>29314672.366179839</v>
      </c>
      <c r="M279" s="350">
        <v>38777559.48762729</v>
      </c>
      <c r="N279" s="350">
        <v>47993343.702472895</v>
      </c>
      <c r="O279" s="348">
        <v>145362119.81094953</v>
      </c>
      <c r="P279" s="369"/>
      <c r="Q279" s="350">
        <f t="shared" si="141"/>
        <v>1311818.710027229</v>
      </c>
      <c r="R279" s="350">
        <f t="shared" si="142"/>
        <v>3872287.1414702907</v>
      </c>
      <c r="S279" s="350">
        <f t="shared" si="143"/>
        <v>6141332.3057019264</v>
      </c>
      <c r="T279" s="350">
        <f t="shared" si="144"/>
        <v>8111538.0868571177</v>
      </c>
      <c r="U279" s="350">
        <f t="shared" si="145"/>
        <v>9777363.4875938892</v>
      </c>
      <c r="V279" s="350">
        <f t="shared" si="146"/>
        <v>29214339.731650442</v>
      </c>
      <c r="W279" s="365"/>
      <c r="X279" s="377">
        <f t="shared" si="124"/>
        <v>0</v>
      </c>
      <c r="Y279" s="377">
        <f t="shared" si="125"/>
        <v>0</v>
      </c>
      <c r="Z279" s="377">
        <f t="shared" si="126"/>
        <v>0</v>
      </c>
      <c r="AA279" s="377">
        <f t="shared" si="127"/>
        <v>0</v>
      </c>
      <c r="AB279" s="377">
        <f t="shared" si="128"/>
        <v>0</v>
      </c>
      <c r="AC279" s="377">
        <f t="shared" si="129"/>
        <v>0</v>
      </c>
      <c r="AD279" s="376"/>
      <c r="AE279" s="332">
        <v>264</v>
      </c>
      <c r="AF279" s="350">
        <v>6686371.5575983096</v>
      </c>
      <c r="AG279" s="350">
        <v>13425252.344885021</v>
      </c>
      <c r="AH279" s="350">
        <v>20215133.342258513</v>
      </c>
      <c r="AI279" s="350">
        <v>27056239.682809871</v>
      </c>
      <c r="AJ279" s="350">
        <v>33949557.950278133</v>
      </c>
      <c r="AK279" s="348">
        <v>101332554.87782985</v>
      </c>
      <c r="AL279" s="369"/>
      <c r="AM279" s="350">
        <v>7738108.2753065797</v>
      </c>
      <c r="AN279" s="350">
        <v>16527678.673108689</v>
      </c>
      <c r="AO279" s="350">
        <v>25065168.003374211</v>
      </c>
      <c r="AP279" s="350">
        <v>33345264.323715828</v>
      </c>
      <c r="AQ279" s="350">
        <v>41364988.786697164</v>
      </c>
      <c r="AR279" s="348">
        <v>124041208.06220247</v>
      </c>
      <c r="AS279" s="369"/>
      <c r="AT279" s="350">
        <f t="shared" si="147"/>
        <v>1051736.7177082701</v>
      </c>
      <c r="AU279" s="350">
        <f t="shared" si="130"/>
        <v>3102426.328223668</v>
      </c>
      <c r="AV279" s="350">
        <f t="shared" si="131"/>
        <v>4850034.6611156985</v>
      </c>
      <c r="AW279" s="350">
        <f t="shared" si="132"/>
        <v>6289024.6409059577</v>
      </c>
      <c r="AX279" s="350">
        <f t="shared" si="133"/>
        <v>7415430.836419031</v>
      </c>
      <c r="AY279" s="350">
        <f t="shared" si="134"/>
        <v>22708653.184372619</v>
      </c>
      <c r="AZ279" s="365"/>
      <c r="BA279" s="377">
        <f t="shared" si="135"/>
        <v>0</v>
      </c>
      <c r="BB279" s="377">
        <f t="shared" si="136"/>
        <v>0</v>
      </c>
      <c r="BC279" s="377">
        <f t="shared" si="137"/>
        <v>0</v>
      </c>
      <c r="BD279" s="377">
        <f t="shared" si="138"/>
        <v>0</v>
      </c>
      <c r="BE279" s="377">
        <f t="shared" si="139"/>
        <v>0</v>
      </c>
      <c r="BF279" s="377">
        <f t="shared" si="140"/>
        <v>0</v>
      </c>
      <c r="BG279" s="328"/>
    </row>
    <row r="280" spans="2:59">
      <c r="B280" s="332">
        <v>265</v>
      </c>
      <c r="C280" s="350">
        <v>8275056.3306151312</v>
      </c>
      <c r="D280" s="350">
        <v>15597896.502517886</v>
      </c>
      <c r="E280" s="350">
        <v>22975866.296742409</v>
      </c>
      <c r="F280" s="350">
        <v>30409473.906131513</v>
      </c>
      <c r="G280" s="350">
        <v>37899906.077518761</v>
      </c>
      <c r="H280" s="348">
        <v>115158199.1135257</v>
      </c>
      <c r="I280" s="369"/>
      <c r="J280" s="350">
        <v>9322196.117530752</v>
      </c>
      <c r="K280" s="350">
        <v>18685357.500252362</v>
      </c>
      <c r="L280" s="350">
        <v>27805186.072862148</v>
      </c>
      <c r="M280" s="350">
        <v>36674964.19590418</v>
      </c>
      <c r="N280" s="350">
        <v>45290186.118441142</v>
      </c>
      <c r="O280" s="348">
        <v>137777890.00499058</v>
      </c>
      <c r="P280" s="369"/>
      <c r="Q280" s="350">
        <f t="shared" si="141"/>
        <v>1047139.7869156208</v>
      </c>
      <c r="R280" s="350">
        <f t="shared" si="142"/>
        <v>3087460.9977344759</v>
      </c>
      <c r="S280" s="350">
        <f t="shared" si="143"/>
        <v>4829319.7761197388</v>
      </c>
      <c r="T280" s="350">
        <f t="shared" si="144"/>
        <v>6265490.289772667</v>
      </c>
      <c r="U280" s="350">
        <f t="shared" si="145"/>
        <v>7390280.040922381</v>
      </c>
      <c r="V280" s="350">
        <f t="shared" si="146"/>
        <v>22619690.891464874</v>
      </c>
      <c r="W280" s="365"/>
      <c r="X280" s="377">
        <f t="shared" si="124"/>
        <v>0</v>
      </c>
      <c r="Y280" s="377">
        <f t="shared" si="125"/>
        <v>0</v>
      </c>
      <c r="Z280" s="377">
        <f t="shared" si="126"/>
        <v>0</v>
      </c>
      <c r="AA280" s="377">
        <f t="shared" si="127"/>
        <v>0</v>
      </c>
      <c r="AB280" s="377">
        <f t="shared" si="128"/>
        <v>0</v>
      </c>
      <c r="AC280" s="377">
        <f t="shared" si="129"/>
        <v>0</v>
      </c>
      <c r="AD280" s="376"/>
      <c r="AE280" s="332">
        <v>265</v>
      </c>
      <c r="AF280" s="350">
        <v>5218014.2905551866</v>
      </c>
      <c r="AG280" s="350">
        <v>10477006.547790784</v>
      </c>
      <c r="AH280" s="350">
        <v>15775799.139596742</v>
      </c>
      <c r="AI280" s="350">
        <v>21114567.758824769</v>
      </c>
      <c r="AJ280" s="350">
        <v>26494082.330987502</v>
      </c>
      <c r="AK280" s="348">
        <v>79079470.067754984</v>
      </c>
      <c r="AL280" s="369"/>
      <c r="AM280" s="350">
        <v>6249004.8181581683</v>
      </c>
      <c r="AN280" s="350">
        <v>13521576.661549456</v>
      </c>
      <c r="AO280" s="350">
        <v>20603721.726618081</v>
      </c>
      <c r="AP280" s="350">
        <v>27491235.139424101</v>
      </c>
      <c r="AQ280" s="350">
        <v>34182005.124325924</v>
      </c>
      <c r="AR280" s="348">
        <v>102047543.47007573</v>
      </c>
      <c r="AS280" s="369"/>
      <c r="AT280" s="350">
        <f t="shared" si="147"/>
        <v>1030990.5276029818</v>
      </c>
      <c r="AU280" s="350">
        <f t="shared" si="130"/>
        <v>3044570.113758672</v>
      </c>
      <c r="AV280" s="350">
        <f t="shared" si="131"/>
        <v>4827922.5870213397</v>
      </c>
      <c r="AW280" s="350">
        <f t="shared" si="132"/>
        <v>6376667.3805993311</v>
      </c>
      <c r="AX280" s="350">
        <f t="shared" si="133"/>
        <v>7687922.7933384217</v>
      </c>
      <c r="AY280" s="350">
        <f t="shared" si="134"/>
        <v>22968073.402320743</v>
      </c>
      <c r="AZ280" s="365"/>
      <c r="BA280" s="377">
        <f t="shared" si="135"/>
        <v>0</v>
      </c>
      <c r="BB280" s="377">
        <f t="shared" si="136"/>
        <v>0</v>
      </c>
      <c r="BC280" s="377">
        <f t="shared" si="137"/>
        <v>0</v>
      </c>
      <c r="BD280" s="377">
        <f t="shared" si="138"/>
        <v>0</v>
      </c>
      <c r="BE280" s="377">
        <f t="shared" si="139"/>
        <v>0</v>
      </c>
      <c r="BF280" s="377">
        <f t="shared" si="140"/>
        <v>0</v>
      </c>
      <c r="BG280" s="328"/>
    </row>
    <row r="281" spans="2:59">
      <c r="B281" s="332">
        <v>266</v>
      </c>
      <c r="C281" s="350">
        <v>9742963.2944340426</v>
      </c>
      <c r="D281" s="350">
        <v>18631610.468718961</v>
      </c>
      <c r="E281" s="350">
        <v>27587262.002830297</v>
      </c>
      <c r="F281" s="350">
        <v>36610456.021677718</v>
      </c>
      <c r="G281" s="350">
        <v>45702598.772072315</v>
      </c>
      <c r="H281" s="348">
        <v>138274890.55973333</v>
      </c>
      <c r="I281" s="369"/>
      <c r="J281" s="350">
        <v>10752498.861572109</v>
      </c>
      <c r="K281" s="350">
        <v>21603659.806814253</v>
      </c>
      <c r="L281" s="350">
        <v>32145273.191066492</v>
      </c>
      <c r="M281" s="350">
        <v>42369409.023888841</v>
      </c>
      <c r="N281" s="350">
        <v>52270537.335023664</v>
      </c>
      <c r="O281" s="348">
        <v>159141378.21836537</v>
      </c>
      <c r="P281" s="369"/>
      <c r="Q281" s="350">
        <f t="shared" si="141"/>
        <v>1009535.5671380665</v>
      </c>
      <c r="R281" s="350">
        <f t="shared" si="142"/>
        <v>2972049.3380952924</v>
      </c>
      <c r="S281" s="350">
        <f t="shared" si="143"/>
        <v>4558011.1882361956</v>
      </c>
      <c r="T281" s="350">
        <f t="shared" si="144"/>
        <v>5758953.0022111237</v>
      </c>
      <c r="U281" s="350">
        <f t="shared" si="145"/>
        <v>6567938.5629513487</v>
      </c>
      <c r="V281" s="350">
        <f t="shared" si="146"/>
        <v>20866487.65863204</v>
      </c>
      <c r="W281" s="365"/>
      <c r="X281" s="377">
        <f t="shared" si="124"/>
        <v>0</v>
      </c>
      <c r="Y281" s="377">
        <f t="shared" si="125"/>
        <v>0</v>
      </c>
      <c r="Z281" s="377">
        <f t="shared" si="126"/>
        <v>0</v>
      </c>
      <c r="AA281" s="377">
        <f t="shared" si="127"/>
        <v>0</v>
      </c>
      <c r="AB281" s="377">
        <f t="shared" si="128"/>
        <v>0</v>
      </c>
      <c r="AC281" s="377">
        <f t="shared" si="129"/>
        <v>0</v>
      </c>
      <c r="AD281" s="376"/>
      <c r="AE281" s="332">
        <v>266</v>
      </c>
      <c r="AF281" s="350">
        <v>6000485.2571907751</v>
      </c>
      <c r="AG281" s="350">
        <v>12048093.360591561</v>
      </c>
      <c r="AH281" s="350">
        <v>18141470.085449167</v>
      </c>
      <c r="AI281" s="350">
        <v>24280817.470759228</v>
      </c>
      <c r="AJ281" s="350">
        <v>30467020.896750785</v>
      </c>
      <c r="AK281" s="348">
        <v>90937887.070741504</v>
      </c>
      <c r="AL281" s="369"/>
      <c r="AM281" s="350">
        <v>7016644.4910817575</v>
      </c>
      <c r="AN281" s="350">
        <v>15046722.035065424</v>
      </c>
      <c r="AO281" s="350">
        <v>22852742.612959109</v>
      </c>
      <c r="AP281" s="350">
        <v>30429918.728298668</v>
      </c>
      <c r="AQ281" s="350">
        <v>37775650.335535794</v>
      </c>
      <c r="AR281" s="348">
        <v>113121678.20294075</v>
      </c>
      <c r="AS281" s="369"/>
      <c r="AT281" s="350">
        <f t="shared" si="147"/>
        <v>1016159.2338909823</v>
      </c>
      <c r="AU281" s="350">
        <f t="shared" si="130"/>
        <v>2998628.6744738631</v>
      </c>
      <c r="AV281" s="350">
        <f t="shared" si="131"/>
        <v>4711272.5275099427</v>
      </c>
      <c r="AW281" s="350">
        <f t="shared" si="132"/>
        <v>6149101.2575394399</v>
      </c>
      <c r="AX281" s="350">
        <f t="shared" si="133"/>
        <v>7308629.4387850091</v>
      </c>
      <c r="AY281" s="350">
        <f t="shared" si="134"/>
        <v>22183791.132199243</v>
      </c>
      <c r="AZ281" s="365"/>
      <c r="BA281" s="377">
        <f t="shared" si="135"/>
        <v>0</v>
      </c>
      <c r="BB281" s="377">
        <f t="shared" si="136"/>
        <v>0</v>
      </c>
      <c r="BC281" s="377">
        <f t="shared" si="137"/>
        <v>0</v>
      </c>
      <c r="BD281" s="377">
        <f t="shared" si="138"/>
        <v>0</v>
      </c>
      <c r="BE281" s="377">
        <f t="shared" si="139"/>
        <v>0</v>
      </c>
      <c r="BF281" s="377">
        <f t="shared" si="140"/>
        <v>0</v>
      </c>
      <c r="BG281" s="328"/>
    </row>
    <row r="282" spans="2:59">
      <c r="B282" s="332">
        <v>267</v>
      </c>
      <c r="C282" s="350">
        <v>9856382.5037861168</v>
      </c>
      <c r="D282" s="350">
        <v>18348101.576297417</v>
      </c>
      <c r="E282" s="350">
        <v>26903675.271816269</v>
      </c>
      <c r="F282" s="350">
        <v>35523760.913324304</v>
      </c>
      <c r="G282" s="350">
        <v>44209764.269189805</v>
      </c>
      <c r="H282" s="348">
        <v>134841684.5344139</v>
      </c>
      <c r="I282" s="369"/>
      <c r="J282" s="350">
        <v>11228142.82293891</v>
      </c>
      <c r="K282" s="350">
        <v>22395432.596032467</v>
      </c>
      <c r="L282" s="350">
        <v>33284606.43571132</v>
      </c>
      <c r="M282" s="350">
        <v>43887941.772737414</v>
      </c>
      <c r="N282" s="350">
        <v>54200447.846593127</v>
      </c>
      <c r="O282" s="348">
        <v>164996571.47401324</v>
      </c>
      <c r="P282" s="369"/>
      <c r="Q282" s="350">
        <f t="shared" si="141"/>
        <v>1371760.3191527929</v>
      </c>
      <c r="R282" s="350">
        <f t="shared" si="142"/>
        <v>4047331.0197350495</v>
      </c>
      <c r="S282" s="350">
        <f t="shared" si="143"/>
        <v>6380931.1638950519</v>
      </c>
      <c r="T282" s="350">
        <f t="shared" si="144"/>
        <v>8364180.8594131097</v>
      </c>
      <c r="U282" s="350">
        <f t="shared" si="145"/>
        <v>9990683.5774033219</v>
      </c>
      <c r="V282" s="350">
        <f t="shared" si="146"/>
        <v>30154886.939599335</v>
      </c>
      <c r="W282" s="365"/>
      <c r="X282" s="377">
        <f t="shared" si="124"/>
        <v>0</v>
      </c>
      <c r="Y282" s="377">
        <f t="shared" si="125"/>
        <v>0</v>
      </c>
      <c r="Z282" s="377">
        <f t="shared" si="126"/>
        <v>0</v>
      </c>
      <c r="AA282" s="377">
        <f t="shared" si="127"/>
        <v>0</v>
      </c>
      <c r="AB282" s="377">
        <f t="shared" si="128"/>
        <v>0</v>
      </c>
      <c r="AC282" s="377">
        <f t="shared" si="129"/>
        <v>0</v>
      </c>
      <c r="AD282" s="376"/>
      <c r="AE282" s="332">
        <v>267</v>
      </c>
      <c r="AF282" s="350">
        <v>6428929.8577239998</v>
      </c>
      <c r="AG282" s="350">
        <v>12908347.211041365</v>
      </c>
      <c r="AH282" s="350">
        <v>19436801.141305238</v>
      </c>
      <c r="AI282" s="350">
        <v>26014508.113430671</v>
      </c>
      <c r="AJ282" s="350">
        <v>32642416.725263659</v>
      </c>
      <c r="AK282" s="348">
        <v>97431003.048764929</v>
      </c>
      <c r="AL282" s="369"/>
      <c r="AM282" s="350">
        <v>7956143.6843907312</v>
      </c>
      <c r="AN282" s="350">
        <v>17421542.622518729</v>
      </c>
      <c r="AO282" s="350">
        <v>26660019.743009154</v>
      </c>
      <c r="AP282" s="350">
        <v>35666321.690387413</v>
      </c>
      <c r="AQ282" s="350">
        <v>44438106.868368268</v>
      </c>
      <c r="AR282" s="348">
        <v>132142134.60867429</v>
      </c>
      <c r="AS282" s="369"/>
      <c r="AT282" s="350">
        <f t="shared" si="147"/>
        <v>1527213.8266667314</v>
      </c>
      <c r="AU282" s="350">
        <f t="shared" si="130"/>
        <v>4513195.4114773646</v>
      </c>
      <c r="AV282" s="350">
        <f t="shared" si="131"/>
        <v>7223218.6017039157</v>
      </c>
      <c r="AW282" s="350">
        <f t="shared" si="132"/>
        <v>9651813.5769567415</v>
      </c>
      <c r="AX282" s="350">
        <f t="shared" si="133"/>
        <v>11795690.143104609</v>
      </c>
      <c r="AY282" s="350">
        <f t="shared" si="134"/>
        <v>34711131.559909359</v>
      </c>
      <c r="AZ282" s="365"/>
      <c r="BA282" s="377">
        <f t="shared" si="135"/>
        <v>0</v>
      </c>
      <c r="BB282" s="377">
        <f t="shared" si="136"/>
        <v>0</v>
      </c>
      <c r="BC282" s="377">
        <f t="shared" si="137"/>
        <v>0</v>
      </c>
      <c r="BD282" s="377">
        <f t="shared" si="138"/>
        <v>0</v>
      </c>
      <c r="BE282" s="377">
        <f t="shared" si="139"/>
        <v>0</v>
      </c>
      <c r="BF282" s="377">
        <f t="shared" si="140"/>
        <v>0</v>
      </c>
      <c r="BG282" s="328"/>
    </row>
    <row r="283" spans="2:59">
      <c r="B283" s="332">
        <v>268</v>
      </c>
      <c r="C283" s="350">
        <v>8389505.9801969212</v>
      </c>
      <c r="D283" s="350">
        <v>15798356.966020061</v>
      </c>
      <c r="E283" s="350">
        <v>23262980.143884894</v>
      </c>
      <c r="F283" s="350">
        <v>30783894.181292914</v>
      </c>
      <c r="G283" s="350">
        <v>38362301.724477135</v>
      </c>
      <c r="H283" s="348">
        <v>116597038.99587193</v>
      </c>
      <c r="I283" s="369"/>
      <c r="J283" s="350">
        <v>9729057.5608192738</v>
      </c>
      <c r="K283" s="350">
        <v>19752821.407387048</v>
      </c>
      <c r="L283" s="350">
        <v>29538581.443936586</v>
      </c>
      <c r="M283" s="350">
        <v>39079481.471337005</v>
      </c>
      <c r="N283" s="350">
        <v>48371263.955523819</v>
      </c>
      <c r="O283" s="348">
        <v>146471205.83900374</v>
      </c>
      <c r="P283" s="369"/>
      <c r="Q283" s="350">
        <f t="shared" si="141"/>
        <v>1339551.5806223527</v>
      </c>
      <c r="R283" s="350">
        <f t="shared" si="142"/>
        <v>3954464.4413669873</v>
      </c>
      <c r="S283" s="350">
        <f t="shared" si="143"/>
        <v>6275601.3000516929</v>
      </c>
      <c r="T283" s="350">
        <f t="shared" si="144"/>
        <v>8295587.2900440916</v>
      </c>
      <c r="U283" s="350">
        <f t="shared" si="145"/>
        <v>10008962.231046684</v>
      </c>
      <c r="V283" s="350">
        <f t="shared" si="146"/>
        <v>29874166.84313181</v>
      </c>
      <c r="W283" s="365"/>
      <c r="X283" s="377">
        <f t="shared" si="124"/>
        <v>0</v>
      </c>
      <c r="Y283" s="377">
        <f t="shared" si="125"/>
        <v>0</v>
      </c>
      <c r="Z283" s="377">
        <f t="shared" si="126"/>
        <v>0</v>
      </c>
      <c r="AA283" s="377">
        <f t="shared" si="127"/>
        <v>0</v>
      </c>
      <c r="AB283" s="377">
        <f t="shared" si="128"/>
        <v>0</v>
      </c>
      <c r="AC283" s="377">
        <f t="shared" si="129"/>
        <v>0</v>
      </c>
      <c r="AD283" s="376"/>
      <c r="AE283" s="332">
        <v>268</v>
      </c>
      <c r="AF283" s="350">
        <v>5424179.4351782091</v>
      </c>
      <c r="AG283" s="350">
        <v>10890955.88749484</v>
      </c>
      <c r="AH283" s="350">
        <v>16399105.196279209</v>
      </c>
      <c r="AI283" s="350">
        <v>21948809.996054739</v>
      </c>
      <c r="AJ283" s="350">
        <v>27540870.632297643</v>
      </c>
      <c r="AK283" s="348">
        <v>82203921.147304639</v>
      </c>
      <c r="AL283" s="369"/>
      <c r="AM283" s="350">
        <v>6341916.5774751157</v>
      </c>
      <c r="AN283" s="350">
        <v>13599134.304981839</v>
      </c>
      <c r="AO283" s="350">
        <v>20653789.448970683</v>
      </c>
      <c r="AP283" s="350">
        <v>27501554.553350158</v>
      </c>
      <c r="AQ283" s="350">
        <v>34140078.451813467</v>
      </c>
      <c r="AR283" s="348">
        <v>102236473.33659124</v>
      </c>
      <c r="AS283" s="369"/>
      <c r="AT283" s="350">
        <f t="shared" si="147"/>
        <v>917737.14229690656</v>
      </c>
      <c r="AU283" s="350">
        <f t="shared" si="130"/>
        <v>2708178.4174869992</v>
      </c>
      <c r="AV283" s="350">
        <f t="shared" si="131"/>
        <v>4254684.2526914738</v>
      </c>
      <c r="AW283" s="350">
        <f t="shared" si="132"/>
        <v>5552744.5572954193</v>
      </c>
      <c r="AX283" s="350">
        <f t="shared" si="133"/>
        <v>6599207.8195158243</v>
      </c>
      <c r="AY283" s="350">
        <f t="shared" si="134"/>
        <v>20032552.189286605</v>
      </c>
      <c r="AZ283" s="365"/>
      <c r="BA283" s="377">
        <f t="shared" si="135"/>
        <v>0</v>
      </c>
      <c r="BB283" s="377">
        <f t="shared" si="136"/>
        <v>0</v>
      </c>
      <c r="BC283" s="377">
        <f t="shared" si="137"/>
        <v>0</v>
      </c>
      <c r="BD283" s="377">
        <f t="shared" si="138"/>
        <v>0</v>
      </c>
      <c r="BE283" s="377">
        <f t="shared" si="139"/>
        <v>0</v>
      </c>
      <c r="BF283" s="377">
        <f t="shared" si="140"/>
        <v>0</v>
      </c>
      <c r="BG283" s="328"/>
    </row>
    <row r="284" spans="2:59">
      <c r="B284" s="332">
        <v>269</v>
      </c>
      <c r="C284" s="350">
        <v>8424430.245698981</v>
      </c>
      <c r="D284" s="350">
        <v>15802520.659464121</v>
      </c>
      <c r="E284" s="350">
        <v>23236131.661416523</v>
      </c>
      <c r="F284" s="350">
        <v>30725797.981011093</v>
      </c>
      <c r="G284" s="350">
        <v>38272725.196734212</v>
      </c>
      <c r="H284" s="348">
        <v>116461605.74432492</v>
      </c>
      <c r="I284" s="369"/>
      <c r="J284" s="350">
        <v>9268321.7612707857</v>
      </c>
      <c r="K284" s="350">
        <v>18287049.402451351</v>
      </c>
      <c r="L284" s="350">
        <v>27055306.454824362</v>
      </c>
      <c r="M284" s="350">
        <v>35566346.397359155</v>
      </c>
      <c r="N284" s="350">
        <v>43815362.954327278</v>
      </c>
      <c r="O284" s="348">
        <v>133992386.97023293</v>
      </c>
      <c r="P284" s="369"/>
      <c r="Q284" s="350">
        <f t="shared" si="141"/>
        <v>843891.51557180472</v>
      </c>
      <c r="R284" s="350">
        <f t="shared" si="142"/>
        <v>2484528.7429872304</v>
      </c>
      <c r="S284" s="350">
        <f t="shared" si="143"/>
        <v>3819174.7934078388</v>
      </c>
      <c r="T284" s="350">
        <f t="shared" si="144"/>
        <v>4840548.4163480625</v>
      </c>
      <c r="U284" s="350">
        <f t="shared" si="145"/>
        <v>5542637.7575930655</v>
      </c>
      <c r="V284" s="350">
        <f t="shared" si="146"/>
        <v>17530781.225908011</v>
      </c>
      <c r="W284" s="365"/>
      <c r="X284" s="377">
        <f t="shared" si="124"/>
        <v>0</v>
      </c>
      <c r="Y284" s="377">
        <f t="shared" si="125"/>
        <v>0</v>
      </c>
      <c r="Z284" s="377">
        <f t="shared" si="126"/>
        <v>0</v>
      </c>
      <c r="AA284" s="377">
        <f t="shared" si="127"/>
        <v>0</v>
      </c>
      <c r="AB284" s="377">
        <f t="shared" si="128"/>
        <v>0</v>
      </c>
      <c r="AC284" s="377">
        <f t="shared" si="129"/>
        <v>0</v>
      </c>
      <c r="AD284" s="376"/>
      <c r="AE284" s="332">
        <v>269</v>
      </c>
      <c r="AF284" s="350">
        <v>5783730.1604853328</v>
      </c>
      <c r="AG284" s="350">
        <v>11612880.952001488</v>
      </c>
      <c r="AH284" s="350">
        <v>17486147.068358481</v>
      </c>
      <c r="AI284" s="350">
        <v>23403723.250311866</v>
      </c>
      <c r="AJ284" s="350">
        <v>29366462.895564448</v>
      </c>
      <c r="AK284" s="348">
        <v>87652944.326721624</v>
      </c>
      <c r="AL284" s="369"/>
      <c r="AM284" s="350">
        <v>6540587.7717620581</v>
      </c>
      <c r="AN284" s="350">
        <v>13843039.04672651</v>
      </c>
      <c r="AO284" s="350">
        <v>20922860.159517147</v>
      </c>
      <c r="AP284" s="350">
        <v>27775499.510175765</v>
      </c>
      <c r="AQ284" s="350">
        <v>34398225.537885256</v>
      </c>
      <c r="AR284" s="348">
        <v>103480212.02606672</v>
      </c>
      <c r="AS284" s="369"/>
      <c r="AT284" s="350">
        <f t="shared" si="147"/>
        <v>756857.61127672531</v>
      </c>
      <c r="AU284" s="350">
        <f t="shared" si="130"/>
        <v>2230158.0947250221</v>
      </c>
      <c r="AV284" s="350">
        <f t="shared" si="131"/>
        <v>3436713.0911586657</v>
      </c>
      <c r="AW284" s="350">
        <f t="shared" si="132"/>
        <v>4371776.2598638982</v>
      </c>
      <c r="AX284" s="350">
        <f t="shared" si="133"/>
        <v>5031762.642320808</v>
      </c>
      <c r="AY284" s="350">
        <f t="shared" si="134"/>
        <v>15827267.699345097</v>
      </c>
      <c r="AZ284" s="365"/>
      <c r="BA284" s="377">
        <f t="shared" si="135"/>
        <v>0</v>
      </c>
      <c r="BB284" s="377">
        <f t="shared" si="136"/>
        <v>0</v>
      </c>
      <c r="BC284" s="377">
        <f t="shared" si="137"/>
        <v>0</v>
      </c>
      <c r="BD284" s="377">
        <f t="shared" si="138"/>
        <v>0</v>
      </c>
      <c r="BE284" s="377">
        <f t="shared" si="139"/>
        <v>0</v>
      </c>
      <c r="BF284" s="377">
        <f t="shared" si="140"/>
        <v>0</v>
      </c>
      <c r="BG284" s="328"/>
    </row>
    <row r="285" spans="2:59">
      <c r="B285" s="332">
        <v>270</v>
      </c>
      <c r="C285" s="350">
        <v>10329395.999576857</v>
      </c>
      <c r="D285" s="350">
        <v>19503256.126548305</v>
      </c>
      <c r="E285" s="350">
        <v>28746191.923639886</v>
      </c>
      <c r="F285" s="350">
        <v>38058830.281616978</v>
      </c>
      <c r="G285" s="350">
        <v>47442653.67901279</v>
      </c>
      <c r="H285" s="348">
        <v>144080328.01039481</v>
      </c>
      <c r="I285" s="369"/>
      <c r="J285" s="350">
        <v>11561996.725798154</v>
      </c>
      <c r="K285" s="350">
        <v>23136172.832174867</v>
      </c>
      <c r="L285" s="350">
        <v>34396364.322028652</v>
      </c>
      <c r="M285" s="350">
        <v>45334433.845517524</v>
      </c>
      <c r="N285" s="350">
        <v>55944928.345228627</v>
      </c>
      <c r="O285" s="348">
        <v>170373896.07074779</v>
      </c>
      <c r="P285" s="369"/>
      <c r="Q285" s="350">
        <f t="shared" si="141"/>
        <v>1232600.7262212969</v>
      </c>
      <c r="R285" s="350">
        <f t="shared" si="142"/>
        <v>3632916.7056265622</v>
      </c>
      <c r="S285" s="350">
        <f t="shared" si="143"/>
        <v>5650172.3983887658</v>
      </c>
      <c r="T285" s="350">
        <f t="shared" si="144"/>
        <v>7275603.5639005452</v>
      </c>
      <c r="U285" s="350">
        <f t="shared" si="145"/>
        <v>8502274.666215837</v>
      </c>
      <c r="V285" s="350">
        <f t="shared" si="146"/>
        <v>26293568.060352981</v>
      </c>
      <c r="W285" s="365"/>
      <c r="X285" s="377">
        <f t="shared" si="124"/>
        <v>0</v>
      </c>
      <c r="Y285" s="377">
        <f t="shared" si="125"/>
        <v>0</v>
      </c>
      <c r="Z285" s="377">
        <f t="shared" si="126"/>
        <v>0</v>
      </c>
      <c r="AA285" s="377">
        <f t="shared" si="127"/>
        <v>0</v>
      </c>
      <c r="AB285" s="377">
        <f t="shared" si="128"/>
        <v>0</v>
      </c>
      <c r="AC285" s="377">
        <f t="shared" si="129"/>
        <v>0</v>
      </c>
      <c r="AD285" s="376"/>
      <c r="AE285" s="332">
        <v>270</v>
      </c>
      <c r="AF285" s="350">
        <v>5672412.3688025335</v>
      </c>
      <c r="AG285" s="350">
        <v>11389371.170808036</v>
      </c>
      <c r="AH285" s="350">
        <v>17149596.222679511</v>
      </c>
      <c r="AI285" s="350">
        <v>22953278.517053172</v>
      </c>
      <c r="AJ285" s="350">
        <v>28801255.026531577</v>
      </c>
      <c r="AK285" s="348">
        <v>85965913.305874825</v>
      </c>
      <c r="AL285" s="369"/>
      <c r="AM285" s="350">
        <v>6654111.6874568146</v>
      </c>
      <c r="AN285" s="350">
        <v>14286622.038232608</v>
      </c>
      <c r="AO285" s="350">
        <v>21707957.492482297</v>
      </c>
      <c r="AP285" s="350">
        <v>28913586.339914665</v>
      </c>
      <c r="AQ285" s="350">
        <v>35901072.058194742</v>
      </c>
      <c r="AR285" s="348">
        <v>107463349.61628112</v>
      </c>
      <c r="AS285" s="369"/>
      <c r="AT285" s="350">
        <f t="shared" si="147"/>
        <v>981699.31865428109</v>
      </c>
      <c r="AU285" s="350">
        <f t="shared" si="130"/>
        <v>2897250.8674245719</v>
      </c>
      <c r="AV285" s="350">
        <f t="shared" si="131"/>
        <v>4558361.2698027864</v>
      </c>
      <c r="AW285" s="350">
        <f t="shared" si="132"/>
        <v>5960307.8228614926</v>
      </c>
      <c r="AX285" s="350">
        <f t="shared" si="133"/>
        <v>7099817.0316631645</v>
      </c>
      <c r="AY285" s="350">
        <f t="shared" si="134"/>
        <v>21497436.310406297</v>
      </c>
      <c r="AZ285" s="365"/>
      <c r="BA285" s="377">
        <f t="shared" si="135"/>
        <v>0</v>
      </c>
      <c r="BB285" s="377">
        <f t="shared" si="136"/>
        <v>0</v>
      </c>
      <c r="BC285" s="377">
        <f t="shared" si="137"/>
        <v>0</v>
      </c>
      <c r="BD285" s="377">
        <f t="shared" si="138"/>
        <v>0</v>
      </c>
      <c r="BE285" s="377">
        <f t="shared" si="139"/>
        <v>0</v>
      </c>
      <c r="BF285" s="377">
        <f t="shared" si="140"/>
        <v>0</v>
      </c>
      <c r="BG285" s="328"/>
    </row>
    <row r="286" spans="2:59">
      <c r="B286" s="332">
        <v>271</v>
      </c>
      <c r="C286" s="350">
        <v>8545560.0848476514</v>
      </c>
      <c r="D286" s="350">
        <v>16179364.019003637</v>
      </c>
      <c r="E286" s="350">
        <v>23870661.896098599</v>
      </c>
      <c r="F286" s="350">
        <v>31619962.365131669</v>
      </c>
      <c r="G286" s="350">
        <v>39428493.376934208</v>
      </c>
      <c r="H286" s="348">
        <v>119644041.74201575</v>
      </c>
      <c r="I286" s="369"/>
      <c r="J286" s="350">
        <v>9388734.073068466</v>
      </c>
      <c r="K286" s="350">
        <v>18661149.598503336</v>
      </c>
      <c r="L286" s="350">
        <v>27670597.111953232</v>
      </c>
      <c r="M286" s="350">
        <v>36410191.911937937</v>
      </c>
      <c r="N286" s="350">
        <v>44875047.99538672</v>
      </c>
      <c r="O286" s="348">
        <v>137005720.69084969</v>
      </c>
      <c r="P286" s="369"/>
      <c r="Q286" s="350">
        <f t="shared" si="141"/>
        <v>843173.98822081462</v>
      </c>
      <c r="R286" s="350">
        <f t="shared" si="142"/>
        <v>2481785.5794996992</v>
      </c>
      <c r="S286" s="350">
        <f t="shared" si="143"/>
        <v>3799935.2158546336</v>
      </c>
      <c r="T286" s="350">
        <f t="shared" si="144"/>
        <v>4790229.5468062684</v>
      </c>
      <c r="U286" s="350">
        <f t="shared" si="145"/>
        <v>5446554.6184525117</v>
      </c>
      <c r="V286" s="350">
        <f t="shared" si="146"/>
        <v>17361678.948833942</v>
      </c>
      <c r="W286" s="365"/>
      <c r="X286" s="377">
        <f t="shared" si="124"/>
        <v>0</v>
      </c>
      <c r="Y286" s="377">
        <f t="shared" si="125"/>
        <v>0</v>
      </c>
      <c r="Z286" s="377">
        <f t="shared" si="126"/>
        <v>0</v>
      </c>
      <c r="AA286" s="377">
        <f t="shared" si="127"/>
        <v>0</v>
      </c>
      <c r="AB286" s="377">
        <f t="shared" si="128"/>
        <v>0</v>
      </c>
      <c r="AC286" s="377">
        <f t="shared" si="129"/>
        <v>0</v>
      </c>
      <c r="AD286" s="376"/>
      <c r="AE286" s="332">
        <v>271</v>
      </c>
      <c r="AF286" s="350">
        <v>6937341.7612033449</v>
      </c>
      <c r="AG286" s="350">
        <v>13929163.664413158</v>
      </c>
      <c r="AH286" s="350">
        <v>20973900.049598344</v>
      </c>
      <c r="AI286" s="350">
        <v>28071784.500127867</v>
      </c>
      <c r="AJ286" s="350">
        <v>35223840.630755238</v>
      </c>
      <c r="AK286" s="348">
        <v>105136030.60609797</v>
      </c>
      <c r="AL286" s="369"/>
      <c r="AM286" s="350">
        <v>8371691.9139510328</v>
      </c>
      <c r="AN286" s="350">
        <v>18165681.659157678</v>
      </c>
      <c r="AO286" s="350">
        <v>27708405.637027219</v>
      </c>
      <c r="AP286" s="350">
        <v>36994255.471749686</v>
      </c>
      <c r="AQ286" s="350">
        <v>46020488.023344338</v>
      </c>
      <c r="AR286" s="348">
        <v>137260522.70522994</v>
      </c>
      <c r="AS286" s="369"/>
      <c r="AT286" s="350">
        <f t="shared" si="147"/>
        <v>1434350.1527476879</v>
      </c>
      <c r="AU286" s="350">
        <f t="shared" si="130"/>
        <v>4236517.9947445206</v>
      </c>
      <c r="AV286" s="350">
        <f t="shared" si="131"/>
        <v>6734505.5874288753</v>
      </c>
      <c r="AW286" s="350">
        <f t="shared" si="132"/>
        <v>8922470.9716218188</v>
      </c>
      <c r="AX286" s="350">
        <f t="shared" si="133"/>
        <v>10796647.3925891</v>
      </c>
      <c r="AY286" s="350">
        <f t="shared" si="134"/>
        <v>32124492.099131972</v>
      </c>
      <c r="AZ286" s="365"/>
      <c r="BA286" s="377">
        <f t="shared" si="135"/>
        <v>0</v>
      </c>
      <c r="BB286" s="377">
        <f t="shared" si="136"/>
        <v>0</v>
      </c>
      <c r="BC286" s="377">
        <f t="shared" si="137"/>
        <v>0</v>
      </c>
      <c r="BD286" s="377">
        <f t="shared" si="138"/>
        <v>0</v>
      </c>
      <c r="BE286" s="377">
        <f t="shared" si="139"/>
        <v>0</v>
      </c>
      <c r="BF286" s="377">
        <f t="shared" si="140"/>
        <v>0</v>
      </c>
      <c r="BG286" s="328"/>
    </row>
    <row r="287" spans="2:59">
      <c r="B287" s="332">
        <v>272</v>
      </c>
      <c r="C287" s="350">
        <v>6791490.8544905754</v>
      </c>
      <c r="D287" s="350">
        <v>12834567.509366903</v>
      </c>
      <c r="E287" s="350">
        <v>18923149.897514284</v>
      </c>
      <c r="F287" s="350">
        <v>25057647.634848557</v>
      </c>
      <c r="G287" s="350">
        <v>31239035.820370056</v>
      </c>
      <c r="H287" s="348">
        <v>94845891.716590375</v>
      </c>
      <c r="I287" s="369"/>
      <c r="J287" s="350">
        <v>7562137.3299170462</v>
      </c>
      <c r="K287" s="350">
        <v>15105184.514097335</v>
      </c>
      <c r="L287" s="350">
        <v>22447042.872732215</v>
      </c>
      <c r="M287" s="350">
        <v>29582089.187447898</v>
      </c>
      <c r="N287" s="350">
        <v>36506406.222670563</v>
      </c>
      <c r="O287" s="348">
        <v>111202860.12686506</v>
      </c>
      <c r="P287" s="369"/>
      <c r="Q287" s="350">
        <f t="shared" si="141"/>
        <v>770646.47542647086</v>
      </c>
      <c r="R287" s="350">
        <f t="shared" si="142"/>
        <v>2270617.0047304314</v>
      </c>
      <c r="S287" s="350">
        <f t="shared" si="143"/>
        <v>3523892.975217931</v>
      </c>
      <c r="T287" s="350">
        <f t="shared" si="144"/>
        <v>4524441.5525993407</v>
      </c>
      <c r="U287" s="350">
        <f t="shared" si="145"/>
        <v>5267370.4023005068</v>
      </c>
      <c r="V287" s="350">
        <f t="shared" si="146"/>
        <v>16356968.410274684</v>
      </c>
      <c r="W287" s="365"/>
      <c r="X287" s="377">
        <f t="shared" si="124"/>
        <v>0</v>
      </c>
      <c r="Y287" s="377">
        <f t="shared" si="125"/>
        <v>0</v>
      </c>
      <c r="Z287" s="377">
        <f t="shared" si="126"/>
        <v>0</v>
      </c>
      <c r="AA287" s="377">
        <f t="shared" si="127"/>
        <v>0</v>
      </c>
      <c r="AB287" s="377">
        <f t="shared" si="128"/>
        <v>0</v>
      </c>
      <c r="AC287" s="377">
        <f t="shared" si="129"/>
        <v>0</v>
      </c>
      <c r="AD287" s="376"/>
      <c r="AE287" s="332">
        <v>272</v>
      </c>
      <c r="AF287" s="350">
        <v>8245282.5622100746</v>
      </c>
      <c r="AG287" s="350">
        <v>16555316.751244243</v>
      </c>
      <c r="AH287" s="350">
        <v>24928241.723310012</v>
      </c>
      <c r="AI287" s="350">
        <v>33364335.100722283</v>
      </c>
      <c r="AJ287" s="350">
        <v>41864813.486780703</v>
      </c>
      <c r="AK287" s="348">
        <v>124957989.62426731</v>
      </c>
      <c r="AL287" s="369"/>
      <c r="AM287" s="350">
        <v>9705324.7003804743</v>
      </c>
      <c r="AN287" s="350">
        <v>20864759.778173469</v>
      </c>
      <c r="AO287" s="350">
        <v>31718226.475277629</v>
      </c>
      <c r="AP287" s="350">
        <v>42259128.253578879</v>
      </c>
      <c r="AQ287" s="350">
        <v>52483956.932334378</v>
      </c>
      <c r="AR287" s="348">
        <v>157031396.13974482</v>
      </c>
      <c r="AS287" s="369"/>
      <c r="AT287" s="350">
        <f t="shared" si="147"/>
        <v>1460042.1381703997</v>
      </c>
      <c r="AU287" s="350">
        <f t="shared" si="130"/>
        <v>4309443.0269292258</v>
      </c>
      <c r="AV287" s="350">
        <f t="shared" si="131"/>
        <v>6789984.7519676164</v>
      </c>
      <c r="AW287" s="350">
        <f t="shared" si="132"/>
        <v>8894793.1528565958</v>
      </c>
      <c r="AX287" s="350">
        <f t="shared" si="133"/>
        <v>10619143.445553675</v>
      </c>
      <c r="AY287" s="350">
        <f t="shared" si="134"/>
        <v>32073406.515477508</v>
      </c>
      <c r="AZ287" s="365"/>
      <c r="BA287" s="377">
        <f t="shared" si="135"/>
        <v>0</v>
      </c>
      <c r="BB287" s="377">
        <f t="shared" si="136"/>
        <v>0</v>
      </c>
      <c r="BC287" s="377">
        <f t="shared" si="137"/>
        <v>0</v>
      </c>
      <c r="BD287" s="377">
        <f t="shared" si="138"/>
        <v>0</v>
      </c>
      <c r="BE287" s="377">
        <f t="shared" si="139"/>
        <v>0</v>
      </c>
      <c r="BF287" s="377">
        <f t="shared" si="140"/>
        <v>0</v>
      </c>
      <c r="BG287" s="328"/>
    </row>
    <row r="288" spans="2:59">
      <c r="B288" s="332">
        <v>273</v>
      </c>
      <c r="C288" s="350">
        <v>8056990.98466889</v>
      </c>
      <c r="D288" s="350">
        <v>14982321.018313669</v>
      </c>
      <c r="E288" s="350">
        <v>21959721.621430986</v>
      </c>
      <c r="F288" s="350">
        <v>28989733.756173342</v>
      </c>
      <c r="G288" s="350">
        <v>36073506.009194098</v>
      </c>
      <c r="H288" s="348">
        <v>110062273.389781</v>
      </c>
      <c r="I288" s="369"/>
      <c r="J288" s="350">
        <v>9697917.4573109858</v>
      </c>
      <c r="K288" s="350">
        <v>19831771.303623062</v>
      </c>
      <c r="L288" s="350">
        <v>29756873.730589747</v>
      </c>
      <c r="M288" s="350">
        <v>39466682.617359027</v>
      </c>
      <c r="N288" s="350">
        <v>48957553.705785692</v>
      </c>
      <c r="O288" s="348">
        <v>147710798.81466851</v>
      </c>
      <c r="P288" s="369"/>
      <c r="Q288" s="350">
        <f t="shared" si="141"/>
        <v>1640926.4726420958</v>
      </c>
      <c r="R288" s="350">
        <f t="shared" si="142"/>
        <v>4849450.285309393</v>
      </c>
      <c r="S288" s="350">
        <f t="shared" si="143"/>
        <v>7797152.1091587618</v>
      </c>
      <c r="T288" s="350">
        <f t="shared" si="144"/>
        <v>10476948.861185685</v>
      </c>
      <c r="U288" s="350">
        <f t="shared" si="145"/>
        <v>12884047.696591593</v>
      </c>
      <c r="V288" s="350">
        <f t="shared" si="146"/>
        <v>37648525.424887508</v>
      </c>
      <c r="W288" s="365"/>
      <c r="X288" s="377">
        <f t="shared" si="124"/>
        <v>0</v>
      </c>
      <c r="Y288" s="377">
        <f t="shared" si="125"/>
        <v>0</v>
      </c>
      <c r="Z288" s="377">
        <f t="shared" si="126"/>
        <v>0</v>
      </c>
      <c r="AA288" s="377">
        <f t="shared" si="127"/>
        <v>0</v>
      </c>
      <c r="AB288" s="377">
        <f t="shared" si="128"/>
        <v>0</v>
      </c>
      <c r="AC288" s="377">
        <f t="shared" si="129"/>
        <v>0</v>
      </c>
      <c r="AD288" s="376"/>
      <c r="AE288" s="332">
        <v>273</v>
      </c>
      <c r="AF288" s="350">
        <v>8114013.4533928297</v>
      </c>
      <c r="AG288" s="350">
        <v>16291747.654645508</v>
      </c>
      <c r="AH288" s="350">
        <v>24531371.385548949</v>
      </c>
      <c r="AI288" s="350">
        <v>32833157.848529033</v>
      </c>
      <c r="AJ288" s="350">
        <v>41198304.277939625</v>
      </c>
      <c r="AK288" s="348">
        <v>122968594.62005594</v>
      </c>
      <c r="AL288" s="369"/>
      <c r="AM288" s="350">
        <v>9693153.9322328791</v>
      </c>
      <c r="AN288" s="350">
        <v>20954729.558965668</v>
      </c>
      <c r="AO288" s="350">
        <v>31919471.194330215</v>
      </c>
      <c r="AP288" s="350">
        <v>42580847.060599439</v>
      </c>
      <c r="AQ288" s="350">
        <v>52935548.989104986</v>
      </c>
      <c r="AR288" s="348">
        <v>158083750.73523319</v>
      </c>
      <c r="AS288" s="369"/>
      <c r="AT288" s="350">
        <f t="shared" si="147"/>
        <v>1579140.4788400494</v>
      </c>
      <c r="AU288" s="350">
        <f t="shared" si="130"/>
        <v>4662981.9043201599</v>
      </c>
      <c r="AV288" s="350">
        <f t="shared" si="131"/>
        <v>7388099.8087812662</v>
      </c>
      <c r="AW288" s="350">
        <f t="shared" si="132"/>
        <v>9747689.2120704055</v>
      </c>
      <c r="AX288" s="350">
        <f t="shared" si="133"/>
        <v>11737244.711165361</v>
      </c>
      <c r="AY288" s="350">
        <f t="shared" si="134"/>
        <v>35115156.115177244</v>
      </c>
      <c r="AZ288" s="365"/>
      <c r="BA288" s="377">
        <f t="shared" si="135"/>
        <v>0</v>
      </c>
      <c r="BB288" s="377">
        <f t="shared" si="136"/>
        <v>0</v>
      </c>
      <c r="BC288" s="377">
        <f t="shared" si="137"/>
        <v>0</v>
      </c>
      <c r="BD288" s="377">
        <f t="shared" si="138"/>
        <v>0</v>
      </c>
      <c r="BE288" s="377">
        <f t="shared" si="139"/>
        <v>0</v>
      </c>
      <c r="BF288" s="377">
        <f t="shared" si="140"/>
        <v>0</v>
      </c>
      <c r="BG288" s="328"/>
    </row>
    <row r="289" spans="2:59">
      <c r="B289" s="332">
        <v>274</v>
      </c>
      <c r="C289" s="350">
        <v>6608470.2791568208</v>
      </c>
      <c r="D289" s="350">
        <v>12290043.369287344</v>
      </c>
      <c r="E289" s="350">
        <v>18014335.835273091</v>
      </c>
      <c r="F289" s="350">
        <v>23781791.087358817</v>
      </c>
      <c r="G289" s="350">
        <v>29593351.258388735</v>
      </c>
      <c r="H289" s="348">
        <v>90287991.829464808</v>
      </c>
      <c r="I289" s="369"/>
      <c r="J289" s="350">
        <v>7495208.2567915153</v>
      </c>
      <c r="K289" s="350">
        <v>14905848.903538248</v>
      </c>
      <c r="L289" s="350">
        <v>22126845.432700861</v>
      </c>
      <c r="M289" s="350">
        <v>29153138.749895427</v>
      </c>
      <c r="N289" s="350">
        <v>35981459.161577232</v>
      </c>
      <c r="O289" s="348">
        <v>109662500.50450328</v>
      </c>
      <c r="P289" s="369"/>
      <c r="Q289" s="350">
        <f t="shared" si="141"/>
        <v>886737.97763469443</v>
      </c>
      <c r="R289" s="350">
        <f t="shared" si="142"/>
        <v>2615805.5342509039</v>
      </c>
      <c r="S289" s="350">
        <f t="shared" si="143"/>
        <v>4112509.5974277705</v>
      </c>
      <c r="T289" s="350">
        <f t="shared" si="144"/>
        <v>5371347.6625366099</v>
      </c>
      <c r="U289" s="350">
        <f t="shared" si="145"/>
        <v>6388107.9031884968</v>
      </c>
      <c r="V289" s="350">
        <f t="shared" si="146"/>
        <v>19374508.675038472</v>
      </c>
      <c r="W289" s="365"/>
      <c r="X289" s="377">
        <f t="shared" si="124"/>
        <v>0</v>
      </c>
      <c r="Y289" s="377">
        <f t="shared" si="125"/>
        <v>0</v>
      </c>
      <c r="Z289" s="377">
        <f t="shared" si="126"/>
        <v>0</v>
      </c>
      <c r="AA289" s="377">
        <f t="shared" si="127"/>
        <v>0</v>
      </c>
      <c r="AB289" s="377">
        <f t="shared" si="128"/>
        <v>0</v>
      </c>
      <c r="AC289" s="377">
        <f t="shared" si="129"/>
        <v>0</v>
      </c>
      <c r="AD289" s="376"/>
      <c r="AE289" s="332">
        <v>274</v>
      </c>
      <c r="AF289" s="350">
        <v>7132485.1327641662</v>
      </c>
      <c r="AG289" s="350">
        <v>14320982.902106958</v>
      </c>
      <c r="AH289" s="350">
        <v>21563883.606895126</v>
      </c>
      <c r="AI289" s="350">
        <v>28861427.401061371</v>
      </c>
      <c r="AJ289" s="350">
        <v>36214666.693044305</v>
      </c>
      <c r="AK289" s="348">
        <v>108093445.73587193</v>
      </c>
      <c r="AL289" s="369"/>
      <c r="AM289" s="350">
        <v>8778705.5499601495</v>
      </c>
      <c r="AN289" s="350">
        <v>19185358.026042074</v>
      </c>
      <c r="AO289" s="350">
        <v>29338813.938448466</v>
      </c>
      <c r="AP289" s="350">
        <v>39233258.638014302</v>
      </c>
      <c r="AQ289" s="350">
        <v>48866045.534252137</v>
      </c>
      <c r="AR289" s="348">
        <v>145402181.68671712</v>
      </c>
      <c r="AS289" s="369"/>
      <c r="AT289" s="350">
        <f t="shared" si="147"/>
        <v>1646220.4171959832</v>
      </c>
      <c r="AU289" s="350">
        <f t="shared" si="130"/>
        <v>4864375.1239351165</v>
      </c>
      <c r="AV289" s="350">
        <f t="shared" si="131"/>
        <v>7774930.33155334</v>
      </c>
      <c r="AW289" s="350">
        <f t="shared" si="132"/>
        <v>10371831.236952931</v>
      </c>
      <c r="AX289" s="350">
        <f t="shared" si="133"/>
        <v>12651378.841207832</v>
      </c>
      <c r="AY289" s="350">
        <f t="shared" si="134"/>
        <v>37308735.950845197</v>
      </c>
      <c r="AZ289" s="365"/>
      <c r="BA289" s="377">
        <f t="shared" si="135"/>
        <v>0</v>
      </c>
      <c r="BB289" s="377">
        <f t="shared" si="136"/>
        <v>0</v>
      </c>
      <c r="BC289" s="377">
        <f t="shared" si="137"/>
        <v>0</v>
      </c>
      <c r="BD289" s="377">
        <f t="shared" si="138"/>
        <v>0</v>
      </c>
      <c r="BE289" s="377">
        <f t="shared" si="139"/>
        <v>0</v>
      </c>
      <c r="BF289" s="377">
        <f t="shared" si="140"/>
        <v>0</v>
      </c>
      <c r="BG289" s="328"/>
    </row>
    <row r="290" spans="2:59">
      <c r="B290" s="332">
        <v>275</v>
      </c>
      <c r="C290" s="350">
        <v>9794835.2624189723</v>
      </c>
      <c r="D290" s="350">
        <v>18448462.782376673</v>
      </c>
      <c r="E290" s="350">
        <v>27167234.106423788</v>
      </c>
      <c r="F290" s="350">
        <v>35951753.945343621</v>
      </c>
      <c r="G290" s="350">
        <v>44803426.526246794</v>
      </c>
      <c r="H290" s="348">
        <v>136165712.62280986</v>
      </c>
      <c r="I290" s="369"/>
      <c r="J290" s="350">
        <v>11124387.157195542</v>
      </c>
      <c r="K290" s="350">
        <v>22370183.254510798</v>
      </c>
      <c r="L290" s="350">
        <v>33327322.455750898</v>
      </c>
      <c r="M290" s="350">
        <v>43987987.399189979</v>
      </c>
      <c r="N290" s="350">
        <v>54347097.367880546</v>
      </c>
      <c r="O290" s="348">
        <v>165156977.63452777</v>
      </c>
      <c r="P290" s="369"/>
      <c r="Q290" s="350">
        <f t="shared" si="141"/>
        <v>1329551.8947765697</v>
      </c>
      <c r="R290" s="350">
        <f t="shared" si="142"/>
        <v>3921720.4721341245</v>
      </c>
      <c r="S290" s="350">
        <f t="shared" si="143"/>
        <v>6160088.3493271098</v>
      </c>
      <c r="T290" s="350">
        <f t="shared" si="144"/>
        <v>8036233.4538463578</v>
      </c>
      <c r="U290" s="350">
        <f t="shared" si="145"/>
        <v>9543670.841633752</v>
      </c>
      <c r="V290" s="350">
        <f t="shared" si="146"/>
        <v>28991265.011717916</v>
      </c>
      <c r="W290" s="365"/>
      <c r="X290" s="377">
        <f t="shared" si="124"/>
        <v>0</v>
      </c>
      <c r="Y290" s="377">
        <f t="shared" si="125"/>
        <v>0</v>
      </c>
      <c r="Z290" s="377">
        <f t="shared" si="126"/>
        <v>0</v>
      </c>
      <c r="AA290" s="377">
        <f t="shared" si="127"/>
        <v>0</v>
      </c>
      <c r="AB290" s="377">
        <f t="shared" si="128"/>
        <v>0</v>
      </c>
      <c r="AC290" s="377">
        <f t="shared" si="129"/>
        <v>0</v>
      </c>
      <c r="AD290" s="376"/>
      <c r="AE290" s="332">
        <v>275</v>
      </c>
      <c r="AF290" s="350">
        <v>7465621.9502264913</v>
      </c>
      <c r="AG290" s="350">
        <v>14989872.717947539</v>
      </c>
      <c r="AH290" s="350">
        <v>22571067.417756438</v>
      </c>
      <c r="AI290" s="350">
        <v>30209457.42045005</v>
      </c>
      <c r="AJ290" s="350">
        <v>37906144.289283492</v>
      </c>
      <c r="AK290" s="348">
        <v>113142163.79566401</v>
      </c>
      <c r="AL290" s="369"/>
      <c r="AM290" s="350">
        <v>8579531.4854348134</v>
      </c>
      <c r="AN290" s="350">
        <v>18274737.239544392</v>
      </c>
      <c r="AO290" s="350">
        <v>27686674.626040958</v>
      </c>
      <c r="AP290" s="350">
        <v>36809429.715676904</v>
      </c>
      <c r="AQ290" s="350">
        <v>45639615.326069251</v>
      </c>
      <c r="AR290" s="348">
        <v>136989988.3927663</v>
      </c>
      <c r="AS290" s="369"/>
      <c r="AT290" s="350">
        <f t="shared" si="147"/>
        <v>1113909.5352083221</v>
      </c>
      <c r="AU290" s="350">
        <f t="shared" si="130"/>
        <v>3284864.5215968527</v>
      </c>
      <c r="AV290" s="350">
        <f t="shared" si="131"/>
        <v>5115607.2082845196</v>
      </c>
      <c r="AW290" s="350">
        <f t="shared" si="132"/>
        <v>6599972.2952268533</v>
      </c>
      <c r="AX290" s="350">
        <f t="shared" si="133"/>
        <v>7733471.036785759</v>
      </c>
      <c r="AY290" s="350">
        <f t="shared" si="134"/>
        <v>23847824.597102284</v>
      </c>
      <c r="AZ290" s="365"/>
      <c r="BA290" s="377">
        <f t="shared" si="135"/>
        <v>0</v>
      </c>
      <c r="BB290" s="377">
        <f t="shared" si="136"/>
        <v>0</v>
      </c>
      <c r="BC290" s="377">
        <f t="shared" si="137"/>
        <v>0</v>
      </c>
      <c r="BD290" s="377">
        <f t="shared" si="138"/>
        <v>0</v>
      </c>
      <c r="BE290" s="377">
        <f t="shared" si="139"/>
        <v>0</v>
      </c>
      <c r="BF290" s="377">
        <f t="shared" si="140"/>
        <v>0</v>
      </c>
      <c r="BG290" s="328"/>
    </row>
    <row r="291" spans="2:59">
      <c r="B291" s="332">
        <v>276</v>
      </c>
      <c r="C291" s="350">
        <v>7363904.4188255556</v>
      </c>
      <c r="D291" s="350">
        <v>13891954.925202062</v>
      </c>
      <c r="E291" s="350">
        <v>20469155.260468811</v>
      </c>
      <c r="F291" s="350">
        <v>27095955.062384982</v>
      </c>
      <c r="G291" s="350">
        <v>33773410.794904187</v>
      </c>
      <c r="H291" s="348">
        <v>102594380.4617856</v>
      </c>
      <c r="I291" s="369"/>
      <c r="J291" s="350">
        <v>8252746.1348769162</v>
      </c>
      <c r="K291" s="350">
        <v>16511898.860564079</v>
      </c>
      <c r="L291" s="350">
        <v>24555363.677882608</v>
      </c>
      <c r="M291" s="350">
        <v>32377049.59299016</v>
      </c>
      <c r="N291" s="350">
        <v>39972777.370333649</v>
      </c>
      <c r="O291" s="348">
        <v>121669835.6366474</v>
      </c>
      <c r="P291" s="369"/>
      <c r="Q291" s="350">
        <f t="shared" si="141"/>
        <v>888841.71605136059</v>
      </c>
      <c r="R291" s="350">
        <f t="shared" si="142"/>
        <v>2619943.9353620168</v>
      </c>
      <c r="S291" s="350">
        <f t="shared" si="143"/>
        <v>4086208.4174137972</v>
      </c>
      <c r="T291" s="350">
        <f t="shared" si="144"/>
        <v>5281094.5306051783</v>
      </c>
      <c r="U291" s="350">
        <f t="shared" si="145"/>
        <v>6199366.5754294619</v>
      </c>
      <c r="V291" s="350">
        <f t="shared" si="146"/>
        <v>19075455.174861804</v>
      </c>
      <c r="W291" s="365"/>
      <c r="X291" s="377">
        <f t="shared" si="124"/>
        <v>0</v>
      </c>
      <c r="Y291" s="377">
        <f t="shared" si="125"/>
        <v>0</v>
      </c>
      <c r="Z291" s="377">
        <f t="shared" si="126"/>
        <v>0</v>
      </c>
      <c r="AA291" s="377">
        <f t="shared" si="127"/>
        <v>0</v>
      </c>
      <c r="AB291" s="377">
        <f t="shared" si="128"/>
        <v>0</v>
      </c>
      <c r="AC291" s="377">
        <f t="shared" si="129"/>
        <v>0</v>
      </c>
      <c r="AD291" s="376"/>
      <c r="AE291" s="332">
        <v>276</v>
      </c>
      <c r="AF291" s="350">
        <v>5627398.65593745</v>
      </c>
      <c r="AG291" s="350">
        <v>11298990.24462286</v>
      </c>
      <c r="AH291" s="350">
        <v>17013504.74167832</v>
      </c>
      <c r="AI291" s="350">
        <v>22771131.624108396</v>
      </c>
      <c r="AJ291" s="350">
        <v>28572701.222677574</v>
      </c>
      <c r="AK291" s="348">
        <v>85283726.489024609</v>
      </c>
      <c r="AL291" s="369"/>
      <c r="AM291" s="350">
        <v>6973316.2237536712</v>
      </c>
      <c r="AN291" s="350">
        <v>15276518.018882703</v>
      </c>
      <c r="AO291" s="350">
        <v>23381362.480569251</v>
      </c>
      <c r="AP291" s="350">
        <v>31283248.642312698</v>
      </c>
      <c r="AQ291" s="350">
        <v>38980136.074396931</v>
      </c>
      <c r="AR291" s="348">
        <v>115894581.43991527</v>
      </c>
      <c r="AS291" s="369"/>
      <c r="AT291" s="350">
        <f t="shared" si="147"/>
        <v>1345917.5678162212</v>
      </c>
      <c r="AU291" s="350">
        <f t="shared" si="130"/>
        <v>3977527.7742598429</v>
      </c>
      <c r="AV291" s="350">
        <f t="shared" si="131"/>
        <v>6367857.738890931</v>
      </c>
      <c r="AW291" s="350">
        <f t="shared" si="132"/>
        <v>8512117.0182043016</v>
      </c>
      <c r="AX291" s="350">
        <f t="shared" si="133"/>
        <v>10407434.851719357</v>
      </c>
      <c r="AY291" s="350">
        <f t="shared" si="134"/>
        <v>30610854.95089066</v>
      </c>
      <c r="AZ291" s="365"/>
      <c r="BA291" s="377">
        <f t="shared" si="135"/>
        <v>0</v>
      </c>
      <c r="BB291" s="377">
        <f t="shared" si="136"/>
        <v>0</v>
      </c>
      <c r="BC291" s="377">
        <f t="shared" si="137"/>
        <v>0</v>
      </c>
      <c r="BD291" s="377">
        <f t="shared" si="138"/>
        <v>0</v>
      </c>
      <c r="BE291" s="377">
        <f t="shared" si="139"/>
        <v>0</v>
      </c>
      <c r="BF291" s="377">
        <f t="shared" si="140"/>
        <v>0</v>
      </c>
      <c r="BG291" s="328"/>
    </row>
    <row r="292" spans="2:59">
      <c r="B292" s="332">
        <v>277</v>
      </c>
      <c r="C292" s="350">
        <v>8438261.1264773868</v>
      </c>
      <c r="D292" s="350">
        <v>16105083.825843871</v>
      </c>
      <c r="E292" s="350">
        <v>23829690.603445191</v>
      </c>
      <c r="F292" s="350">
        <v>31612554.637577783</v>
      </c>
      <c r="G292" s="350">
        <v>39454892.799889237</v>
      </c>
      <c r="H292" s="348">
        <v>119440482.99323347</v>
      </c>
      <c r="I292" s="369"/>
      <c r="J292" s="350">
        <v>9630844.7270619888</v>
      </c>
      <c r="K292" s="350">
        <v>19623038.245372217</v>
      </c>
      <c r="L292" s="350">
        <v>29355842.697673243</v>
      </c>
      <c r="M292" s="350">
        <v>38822437.463095441</v>
      </c>
      <c r="N292" s="350">
        <v>48018487.369108528</v>
      </c>
      <c r="O292" s="348">
        <v>145450650.50231141</v>
      </c>
      <c r="P292" s="369"/>
      <c r="Q292" s="350">
        <f t="shared" si="141"/>
        <v>1192583.600584602</v>
      </c>
      <c r="R292" s="350">
        <f t="shared" si="142"/>
        <v>3517954.4195283465</v>
      </c>
      <c r="S292" s="350">
        <f t="shared" si="143"/>
        <v>5526152.0942280516</v>
      </c>
      <c r="T292" s="350">
        <f t="shared" si="144"/>
        <v>7209882.8255176581</v>
      </c>
      <c r="U292" s="350">
        <f t="shared" si="145"/>
        <v>8563594.5692192912</v>
      </c>
      <c r="V292" s="350">
        <f t="shared" si="146"/>
        <v>26010167.509077936</v>
      </c>
      <c r="W292" s="365"/>
      <c r="X292" s="377">
        <f t="shared" si="124"/>
        <v>0</v>
      </c>
      <c r="Y292" s="377">
        <f t="shared" si="125"/>
        <v>0</v>
      </c>
      <c r="Z292" s="377">
        <f t="shared" si="126"/>
        <v>0</v>
      </c>
      <c r="AA292" s="377">
        <f t="shared" si="127"/>
        <v>0</v>
      </c>
      <c r="AB292" s="377">
        <f t="shared" si="128"/>
        <v>0</v>
      </c>
      <c r="AC292" s="377">
        <f t="shared" si="129"/>
        <v>0</v>
      </c>
      <c r="AD292" s="376"/>
      <c r="AE292" s="332">
        <v>277</v>
      </c>
      <c r="AF292" s="350">
        <v>6885684.8733368292</v>
      </c>
      <c r="AG292" s="350">
        <v>13825444.218225438</v>
      </c>
      <c r="AH292" s="350">
        <v>20817724.032864563</v>
      </c>
      <c r="AI292" s="350">
        <v>27862756.161312886</v>
      </c>
      <c r="AJ292" s="350">
        <v>34961556.596275821</v>
      </c>
      <c r="AK292" s="348">
        <v>104353165.88201554</v>
      </c>
      <c r="AL292" s="369"/>
      <c r="AM292" s="350">
        <v>8088683.8868146241</v>
      </c>
      <c r="AN292" s="350">
        <v>17375971.81350296</v>
      </c>
      <c r="AO292" s="350">
        <v>26407255.793787442</v>
      </c>
      <c r="AP292" s="350">
        <v>35177031.626840413</v>
      </c>
      <c r="AQ292" s="350">
        <v>43682353.111015014</v>
      </c>
      <c r="AR292" s="348">
        <v>130731296.23196045</v>
      </c>
      <c r="AS292" s="369"/>
      <c r="AT292" s="350">
        <f t="shared" si="147"/>
        <v>1202999.0134777948</v>
      </c>
      <c r="AU292" s="350">
        <f t="shared" si="130"/>
        <v>3550527.5952775218</v>
      </c>
      <c r="AV292" s="350">
        <f t="shared" si="131"/>
        <v>5589531.760922879</v>
      </c>
      <c r="AW292" s="350">
        <f t="shared" si="132"/>
        <v>7314275.465527527</v>
      </c>
      <c r="AX292" s="350">
        <f t="shared" si="133"/>
        <v>8720796.514739193</v>
      </c>
      <c r="AY292" s="350">
        <f t="shared" si="134"/>
        <v>26378130.349944904</v>
      </c>
      <c r="AZ292" s="365"/>
      <c r="BA292" s="377">
        <f t="shared" si="135"/>
        <v>0</v>
      </c>
      <c r="BB292" s="377">
        <f t="shared" si="136"/>
        <v>0</v>
      </c>
      <c r="BC292" s="377">
        <f t="shared" si="137"/>
        <v>0</v>
      </c>
      <c r="BD292" s="377">
        <f t="shared" si="138"/>
        <v>0</v>
      </c>
      <c r="BE292" s="377">
        <f t="shared" si="139"/>
        <v>0</v>
      </c>
      <c r="BF292" s="377">
        <f t="shared" si="140"/>
        <v>0</v>
      </c>
      <c r="BG292" s="328"/>
    </row>
    <row r="293" spans="2:59">
      <c r="B293" s="332">
        <v>278</v>
      </c>
      <c r="C293" s="350">
        <v>6056519.191852998</v>
      </c>
      <c r="D293" s="350">
        <v>11337313.155880868</v>
      </c>
      <c r="E293" s="350">
        <v>16657837.715792131</v>
      </c>
      <c r="F293" s="350">
        <v>22018482.601767436</v>
      </c>
      <c r="G293" s="350">
        <v>27420113.74144797</v>
      </c>
      <c r="H293" s="348">
        <v>83490266.40674141</v>
      </c>
      <c r="I293" s="369"/>
      <c r="J293" s="350">
        <v>7087591.6950338399</v>
      </c>
      <c r="K293" s="350">
        <v>14382160.552004581</v>
      </c>
      <c r="L293" s="350">
        <v>21511605.76233124</v>
      </c>
      <c r="M293" s="350">
        <v>28470948.192562345</v>
      </c>
      <c r="N293" s="350">
        <v>35257144.956847407</v>
      </c>
      <c r="O293" s="348">
        <v>106709451.15877941</v>
      </c>
      <c r="P293" s="369"/>
      <c r="Q293" s="350">
        <f t="shared" si="141"/>
        <v>1031072.5031808419</v>
      </c>
      <c r="R293" s="350">
        <f t="shared" si="142"/>
        <v>3044847.3961237129</v>
      </c>
      <c r="S293" s="350">
        <f t="shared" si="143"/>
        <v>4853768.0465391092</v>
      </c>
      <c r="T293" s="350">
        <f t="shared" si="144"/>
        <v>6452465.5907949097</v>
      </c>
      <c r="U293" s="350">
        <f t="shared" si="145"/>
        <v>7837031.2153994367</v>
      </c>
      <c r="V293" s="350">
        <f t="shared" si="146"/>
        <v>23219184.752038002</v>
      </c>
      <c r="W293" s="365"/>
      <c r="X293" s="377">
        <f t="shared" si="124"/>
        <v>0</v>
      </c>
      <c r="Y293" s="377">
        <f t="shared" si="125"/>
        <v>0</v>
      </c>
      <c r="Z293" s="377">
        <f t="shared" si="126"/>
        <v>0</v>
      </c>
      <c r="AA293" s="377">
        <f t="shared" si="127"/>
        <v>0</v>
      </c>
      <c r="AB293" s="377">
        <f t="shared" si="128"/>
        <v>0</v>
      </c>
      <c r="AC293" s="377">
        <f t="shared" si="129"/>
        <v>0</v>
      </c>
      <c r="AD293" s="376"/>
      <c r="AE293" s="332">
        <v>278</v>
      </c>
      <c r="AF293" s="350">
        <v>6761209.6761412118</v>
      </c>
      <c r="AG293" s="350">
        <v>13575516.298630325</v>
      </c>
      <c r="AH293" s="350">
        <v>20441393.957959607</v>
      </c>
      <c r="AI293" s="350">
        <v>27359070.307052739</v>
      </c>
      <c r="AJ293" s="350">
        <v>34329542.972120777</v>
      </c>
      <c r="AK293" s="348">
        <v>102466733.21190466</v>
      </c>
      <c r="AL293" s="369"/>
      <c r="AM293" s="350">
        <v>7839464.1547961626</v>
      </c>
      <c r="AN293" s="350">
        <v>16756399.423455954</v>
      </c>
      <c r="AO293" s="350">
        <v>25418873.822125949</v>
      </c>
      <c r="AP293" s="350">
        <v>33821511.783053339</v>
      </c>
      <c r="AQ293" s="350">
        <v>41961316.051945835</v>
      </c>
      <c r="AR293" s="348">
        <v>125797565.23537724</v>
      </c>
      <c r="AS293" s="369"/>
      <c r="AT293" s="350">
        <f t="shared" si="147"/>
        <v>1078254.4786549509</v>
      </c>
      <c r="AU293" s="350">
        <f t="shared" si="130"/>
        <v>3180883.1248256285</v>
      </c>
      <c r="AV293" s="350">
        <f t="shared" si="131"/>
        <v>4977479.8641663417</v>
      </c>
      <c r="AW293" s="350">
        <f t="shared" si="132"/>
        <v>6462441.4760005996</v>
      </c>
      <c r="AX293" s="350">
        <f t="shared" si="133"/>
        <v>7631773.0798250586</v>
      </c>
      <c r="AY293" s="350">
        <f t="shared" si="134"/>
        <v>23330832.023472577</v>
      </c>
      <c r="AZ293" s="365"/>
      <c r="BA293" s="377">
        <f t="shared" si="135"/>
        <v>0</v>
      </c>
      <c r="BB293" s="377">
        <f t="shared" si="136"/>
        <v>0</v>
      </c>
      <c r="BC293" s="377">
        <f t="shared" si="137"/>
        <v>0</v>
      </c>
      <c r="BD293" s="377">
        <f t="shared" si="138"/>
        <v>0</v>
      </c>
      <c r="BE293" s="377">
        <f t="shared" si="139"/>
        <v>0</v>
      </c>
      <c r="BF293" s="377">
        <f t="shared" si="140"/>
        <v>0</v>
      </c>
      <c r="BG293" s="328"/>
    </row>
    <row r="294" spans="2:59">
      <c r="B294" s="332">
        <v>279</v>
      </c>
      <c r="C294" s="350">
        <v>8007552.2588723954</v>
      </c>
      <c r="D294" s="350">
        <v>15248701.633755151</v>
      </c>
      <c r="E294" s="350">
        <v>22544415.96852003</v>
      </c>
      <c r="F294" s="350">
        <v>29895152.039487325</v>
      </c>
      <c r="G294" s="350">
        <v>37302063.450028732</v>
      </c>
      <c r="H294" s="348">
        <v>112997885.35066363</v>
      </c>
      <c r="I294" s="369"/>
      <c r="J294" s="350">
        <v>9021810.8040936217</v>
      </c>
      <c r="K294" s="350">
        <v>18238824.488521934</v>
      </c>
      <c r="L294" s="350">
        <v>27208634.196167722</v>
      </c>
      <c r="M294" s="350">
        <v>35924774.853519477</v>
      </c>
      <c r="N294" s="350">
        <v>44382975.909767531</v>
      </c>
      <c r="O294" s="348">
        <v>134777020.25207028</v>
      </c>
      <c r="P294" s="369"/>
      <c r="Q294" s="350">
        <f t="shared" si="141"/>
        <v>1014258.5452212263</v>
      </c>
      <c r="R294" s="350">
        <f t="shared" si="142"/>
        <v>2990122.8547667824</v>
      </c>
      <c r="S294" s="350">
        <f t="shared" si="143"/>
        <v>4664218.227647692</v>
      </c>
      <c r="T294" s="350">
        <f t="shared" si="144"/>
        <v>6029622.8140321523</v>
      </c>
      <c r="U294" s="350">
        <f t="shared" si="145"/>
        <v>7080912.4597387984</v>
      </c>
      <c r="V294" s="350">
        <f t="shared" si="146"/>
        <v>21779134.901406646</v>
      </c>
      <c r="W294" s="365"/>
      <c r="X294" s="377">
        <f t="shared" si="124"/>
        <v>0</v>
      </c>
      <c r="Y294" s="377">
        <f t="shared" si="125"/>
        <v>0</v>
      </c>
      <c r="Z294" s="377">
        <f t="shared" si="126"/>
        <v>0</v>
      </c>
      <c r="AA294" s="377">
        <f t="shared" si="127"/>
        <v>0</v>
      </c>
      <c r="AB294" s="377">
        <f t="shared" si="128"/>
        <v>0</v>
      </c>
      <c r="AC294" s="377">
        <f t="shared" si="129"/>
        <v>0</v>
      </c>
      <c r="AD294" s="376"/>
      <c r="AE294" s="332">
        <v>279</v>
      </c>
      <c r="AF294" s="350">
        <v>6820786.8684891332</v>
      </c>
      <c r="AG294" s="350">
        <v>13695138.55329873</v>
      </c>
      <c r="AH294" s="350">
        <v>20621515.699190401</v>
      </c>
      <c r="AI294" s="350">
        <v>27600147.965078264</v>
      </c>
      <c r="AJ294" s="350">
        <v>34632041.767873786</v>
      </c>
      <c r="AK294" s="348">
        <v>103369630.85393032</v>
      </c>
      <c r="AL294" s="369"/>
      <c r="AM294" s="350">
        <v>8315797.4647496678</v>
      </c>
      <c r="AN294" s="350">
        <v>18111848.997499716</v>
      </c>
      <c r="AO294" s="350">
        <v>27663394.862698548</v>
      </c>
      <c r="AP294" s="350">
        <v>36964896.938340455</v>
      </c>
      <c r="AQ294" s="350">
        <v>46013744.013267353</v>
      </c>
      <c r="AR294" s="348">
        <v>137069682.27655572</v>
      </c>
      <c r="AS294" s="369"/>
      <c r="AT294" s="350">
        <f t="shared" si="147"/>
        <v>1495010.5962605346</v>
      </c>
      <c r="AU294" s="350">
        <f t="shared" si="130"/>
        <v>4416710.4442009851</v>
      </c>
      <c r="AV294" s="350">
        <f t="shared" si="131"/>
        <v>7041879.163508147</v>
      </c>
      <c r="AW294" s="350">
        <f t="shared" si="132"/>
        <v>9364748.9732621908</v>
      </c>
      <c r="AX294" s="350">
        <f t="shared" si="133"/>
        <v>11381702.245393567</v>
      </c>
      <c r="AY294" s="350">
        <f t="shared" si="134"/>
        <v>33700051.422625393</v>
      </c>
      <c r="AZ294" s="365"/>
      <c r="BA294" s="377">
        <f t="shared" si="135"/>
        <v>0</v>
      </c>
      <c r="BB294" s="377">
        <f t="shared" si="136"/>
        <v>0</v>
      </c>
      <c r="BC294" s="377">
        <f t="shared" si="137"/>
        <v>0</v>
      </c>
      <c r="BD294" s="377">
        <f t="shared" si="138"/>
        <v>0</v>
      </c>
      <c r="BE294" s="377">
        <f t="shared" si="139"/>
        <v>0</v>
      </c>
      <c r="BF294" s="377">
        <f t="shared" si="140"/>
        <v>0</v>
      </c>
      <c r="BG294" s="328"/>
    </row>
    <row r="295" spans="2:59">
      <c r="B295" s="332">
        <v>280</v>
      </c>
      <c r="C295" s="350">
        <v>6468564.8345940448</v>
      </c>
      <c r="D295" s="350">
        <v>12158615.517117977</v>
      </c>
      <c r="E295" s="350">
        <v>17891492.354468793</v>
      </c>
      <c r="F295" s="350">
        <v>23667600.310296323</v>
      </c>
      <c r="G295" s="350">
        <v>29487865.907311566</v>
      </c>
      <c r="H295" s="348">
        <v>89674138.923788697</v>
      </c>
      <c r="I295" s="369"/>
      <c r="J295" s="350">
        <v>7647051.4895465821</v>
      </c>
      <c r="K295" s="350">
        <v>15639643.713305796</v>
      </c>
      <c r="L295" s="350">
        <v>23460178.432981614</v>
      </c>
      <c r="M295" s="350">
        <v>31103105.763011094</v>
      </c>
      <c r="N295" s="350">
        <v>38565052.142202698</v>
      </c>
      <c r="O295" s="348">
        <v>116415031.54104778</v>
      </c>
      <c r="P295" s="369"/>
      <c r="Q295" s="350">
        <f t="shared" si="141"/>
        <v>1178486.6549525373</v>
      </c>
      <c r="R295" s="350">
        <f t="shared" si="142"/>
        <v>3481028.1961878184</v>
      </c>
      <c r="S295" s="350">
        <f t="shared" si="143"/>
        <v>5568686.0785128213</v>
      </c>
      <c r="T295" s="350">
        <f t="shared" si="144"/>
        <v>7435505.452714771</v>
      </c>
      <c r="U295" s="350">
        <f t="shared" si="145"/>
        <v>9077186.2348911315</v>
      </c>
      <c r="V295" s="350">
        <f t="shared" si="146"/>
        <v>26740892.617259085</v>
      </c>
      <c r="W295" s="365"/>
      <c r="X295" s="377">
        <f t="shared" si="124"/>
        <v>0</v>
      </c>
      <c r="Y295" s="377">
        <f t="shared" si="125"/>
        <v>0</v>
      </c>
      <c r="Z295" s="377">
        <f t="shared" si="126"/>
        <v>0</v>
      </c>
      <c r="AA295" s="377">
        <f t="shared" si="127"/>
        <v>0</v>
      </c>
      <c r="AB295" s="377">
        <f t="shared" si="128"/>
        <v>0</v>
      </c>
      <c r="AC295" s="377">
        <f t="shared" si="129"/>
        <v>0</v>
      </c>
      <c r="AD295" s="376"/>
      <c r="AE295" s="332">
        <v>280</v>
      </c>
      <c r="AF295" s="350">
        <v>4750010.3418019041</v>
      </c>
      <c r="AG295" s="350">
        <v>9537323.3345126584</v>
      </c>
      <c r="AH295" s="350">
        <v>14360866.967901912</v>
      </c>
      <c r="AI295" s="350">
        <v>19220801.176921189</v>
      </c>
      <c r="AJ295" s="350">
        <v>24117826.832427446</v>
      </c>
      <c r="AK295" s="348">
        <v>71986828.653565109</v>
      </c>
      <c r="AL295" s="369"/>
      <c r="AM295" s="350">
        <v>5920704.3306646533</v>
      </c>
      <c r="AN295" s="350">
        <v>12997382.899638467</v>
      </c>
      <c r="AO295" s="350">
        <v>19907667.733140402</v>
      </c>
      <c r="AP295" s="350">
        <v>26647665.425422415</v>
      </c>
      <c r="AQ295" s="350">
        <v>33215688.742971286</v>
      </c>
      <c r="AR295" s="348">
        <v>98689109.131837219</v>
      </c>
      <c r="AS295" s="369"/>
      <c r="AT295" s="350">
        <f t="shared" si="147"/>
        <v>1170693.9888627492</v>
      </c>
      <c r="AU295" s="350">
        <f t="shared" si="130"/>
        <v>3460059.5651258081</v>
      </c>
      <c r="AV295" s="350">
        <f t="shared" si="131"/>
        <v>5546800.76523849</v>
      </c>
      <c r="AW295" s="350">
        <f t="shared" si="132"/>
        <v>7426864.2485012263</v>
      </c>
      <c r="AX295" s="350">
        <f t="shared" si="133"/>
        <v>9097861.9105438404</v>
      </c>
      <c r="AY295" s="350">
        <f t="shared" si="134"/>
        <v>26702280.47827211</v>
      </c>
      <c r="AZ295" s="365"/>
      <c r="BA295" s="377">
        <f t="shared" si="135"/>
        <v>0</v>
      </c>
      <c r="BB295" s="377">
        <f t="shared" si="136"/>
        <v>0</v>
      </c>
      <c r="BC295" s="377">
        <f t="shared" si="137"/>
        <v>0</v>
      </c>
      <c r="BD295" s="377">
        <f t="shared" si="138"/>
        <v>0</v>
      </c>
      <c r="BE295" s="377">
        <f t="shared" si="139"/>
        <v>0</v>
      </c>
      <c r="BF295" s="377">
        <f t="shared" si="140"/>
        <v>0</v>
      </c>
      <c r="BG295" s="328"/>
    </row>
    <row r="296" spans="2:59">
      <c r="B296" s="332">
        <v>281</v>
      </c>
      <c r="C296" s="350">
        <v>10785188.248195469</v>
      </c>
      <c r="D296" s="350">
        <v>20353909.562393952</v>
      </c>
      <c r="E296" s="350">
        <v>29994676.484119233</v>
      </c>
      <c r="F296" s="350">
        <v>39708145.809966728</v>
      </c>
      <c r="G296" s="350">
        <v>49495865.09917511</v>
      </c>
      <c r="H296" s="348">
        <v>150337785.20385051</v>
      </c>
      <c r="I296" s="369"/>
      <c r="J296" s="350">
        <v>12221591.034218004</v>
      </c>
      <c r="K296" s="350">
        <v>24590252.889564168</v>
      </c>
      <c r="L296" s="350">
        <v>36635512.027895339</v>
      </c>
      <c r="M296" s="350">
        <v>48348842.397509679</v>
      </c>
      <c r="N296" s="350">
        <v>59724711.820554562</v>
      </c>
      <c r="O296" s="348">
        <v>181520910.16974175</v>
      </c>
      <c r="P296" s="369"/>
      <c r="Q296" s="350">
        <f t="shared" si="141"/>
        <v>1436402.7860225346</v>
      </c>
      <c r="R296" s="350">
        <f t="shared" si="142"/>
        <v>4236343.3271702155</v>
      </c>
      <c r="S296" s="350">
        <f t="shared" si="143"/>
        <v>6640835.5437761061</v>
      </c>
      <c r="T296" s="350">
        <f t="shared" si="144"/>
        <v>8640696.5875429511</v>
      </c>
      <c r="U296" s="350">
        <f t="shared" si="145"/>
        <v>10228846.721379451</v>
      </c>
      <c r="V296" s="350">
        <f t="shared" si="146"/>
        <v>31183124.965891242</v>
      </c>
      <c r="W296" s="365"/>
      <c r="X296" s="377">
        <f t="shared" si="124"/>
        <v>0</v>
      </c>
      <c r="Y296" s="377">
        <f t="shared" si="125"/>
        <v>0</v>
      </c>
      <c r="Z296" s="377">
        <f t="shared" si="126"/>
        <v>0</v>
      </c>
      <c r="AA296" s="377">
        <f t="shared" si="127"/>
        <v>0</v>
      </c>
      <c r="AB296" s="377">
        <f t="shared" si="128"/>
        <v>0</v>
      </c>
      <c r="AC296" s="377">
        <f t="shared" si="129"/>
        <v>0</v>
      </c>
      <c r="AD296" s="376"/>
      <c r="AE296" s="332">
        <v>281</v>
      </c>
      <c r="AF296" s="350">
        <v>7805727.7226424906</v>
      </c>
      <c r="AG296" s="350">
        <v>15672755.172101326</v>
      </c>
      <c r="AH296" s="350">
        <v>23599320.705901675</v>
      </c>
      <c r="AI296" s="350">
        <v>31585687.146352351</v>
      </c>
      <c r="AJ296" s="350">
        <v>39633006.239804298</v>
      </c>
      <c r="AK296" s="348">
        <v>118296496.98680213</v>
      </c>
      <c r="AL296" s="369"/>
      <c r="AM296" s="350">
        <v>8764659.8940187749</v>
      </c>
      <c r="AN296" s="350">
        <v>18497152.077998351</v>
      </c>
      <c r="AO296" s="350">
        <v>27927309.782525733</v>
      </c>
      <c r="AP296" s="350">
        <v>37049007.847958282</v>
      </c>
      <c r="AQ296" s="350">
        <v>45858496.435491353</v>
      </c>
      <c r="AR296" s="348">
        <v>138096626.03799248</v>
      </c>
      <c r="AS296" s="369"/>
      <c r="AT296" s="350">
        <f t="shared" si="147"/>
        <v>958932.17137628421</v>
      </c>
      <c r="AU296" s="350">
        <f t="shared" si="130"/>
        <v>2824396.905897025</v>
      </c>
      <c r="AV296" s="350">
        <f t="shared" si="131"/>
        <v>4327989.0766240582</v>
      </c>
      <c r="AW296" s="350">
        <f t="shared" si="132"/>
        <v>5463320.7016059309</v>
      </c>
      <c r="AX296" s="350">
        <f t="shared" si="133"/>
        <v>6225490.1956870556</v>
      </c>
      <c r="AY296" s="350">
        <f t="shared" si="134"/>
        <v>19800129.051190346</v>
      </c>
      <c r="AZ296" s="365"/>
      <c r="BA296" s="377">
        <f t="shared" si="135"/>
        <v>0</v>
      </c>
      <c r="BB296" s="377">
        <f t="shared" si="136"/>
        <v>0</v>
      </c>
      <c r="BC296" s="377">
        <f t="shared" si="137"/>
        <v>0</v>
      </c>
      <c r="BD296" s="377">
        <f t="shared" si="138"/>
        <v>0</v>
      </c>
      <c r="BE296" s="377">
        <f t="shared" si="139"/>
        <v>0</v>
      </c>
      <c r="BF296" s="377">
        <f t="shared" si="140"/>
        <v>0</v>
      </c>
      <c r="BG296" s="328"/>
    </row>
    <row r="297" spans="2:59">
      <c r="B297" s="332">
        <v>282</v>
      </c>
      <c r="C297" s="350">
        <v>9716099.2354636025</v>
      </c>
      <c r="D297" s="350">
        <v>18516818.888443008</v>
      </c>
      <c r="E297" s="350">
        <v>27383860.110858053</v>
      </c>
      <c r="F297" s="350">
        <v>36317773.856641933</v>
      </c>
      <c r="G297" s="350">
        <v>45319960.359844774</v>
      </c>
      <c r="H297" s="348">
        <v>137254512.45125139</v>
      </c>
      <c r="I297" s="369"/>
      <c r="J297" s="350">
        <v>10942221.82704718</v>
      </c>
      <c r="K297" s="350">
        <v>22131427.890928462</v>
      </c>
      <c r="L297" s="350">
        <v>33018287.0938274</v>
      </c>
      <c r="M297" s="350">
        <v>43595015.180275083</v>
      </c>
      <c r="N297" s="350">
        <v>53856491.68370387</v>
      </c>
      <c r="O297" s="348">
        <v>163543443.675782</v>
      </c>
      <c r="P297" s="369"/>
      <c r="Q297" s="350">
        <f t="shared" si="141"/>
        <v>1226122.5915835779</v>
      </c>
      <c r="R297" s="350">
        <f t="shared" si="142"/>
        <v>3614609.0024854541</v>
      </c>
      <c r="S297" s="350">
        <f t="shared" si="143"/>
        <v>5634426.9829693474</v>
      </c>
      <c r="T297" s="350">
        <f t="shared" si="144"/>
        <v>7277241.3236331493</v>
      </c>
      <c r="U297" s="350">
        <f t="shared" si="145"/>
        <v>8536531.3238590956</v>
      </c>
      <c r="V297" s="350">
        <f t="shared" si="146"/>
        <v>26288931.224530607</v>
      </c>
      <c r="W297" s="365"/>
      <c r="X297" s="377">
        <f t="shared" si="124"/>
        <v>0</v>
      </c>
      <c r="Y297" s="377">
        <f t="shared" si="125"/>
        <v>0</v>
      </c>
      <c r="Z297" s="377">
        <f t="shared" si="126"/>
        <v>0</v>
      </c>
      <c r="AA297" s="377">
        <f t="shared" si="127"/>
        <v>0</v>
      </c>
      <c r="AB297" s="377">
        <f t="shared" si="128"/>
        <v>0</v>
      </c>
      <c r="AC297" s="377">
        <f t="shared" si="129"/>
        <v>0</v>
      </c>
      <c r="AD297" s="376"/>
      <c r="AE297" s="332">
        <v>282</v>
      </c>
      <c r="AF297" s="350">
        <v>7503753.0430998076</v>
      </c>
      <c r="AG297" s="350">
        <v>15066434.353746668</v>
      </c>
      <c r="AH297" s="350">
        <v>22686350.440884903</v>
      </c>
      <c r="AI297" s="350">
        <v>30363753.959202152</v>
      </c>
      <c r="AJ297" s="350">
        <v>38099752.098251119</v>
      </c>
      <c r="AK297" s="348">
        <v>113720043.89518465</v>
      </c>
      <c r="AL297" s="369"/>
      <c r="AM297" s="350">
        <v>8544067.0285569411</v>
      </c>
      <c r="AN297" s="350">
        <v>18132940.75874063</v>
      </c>
      <c r="AO297" s="350">
        <v>27434724.703894384</v>
      </c>
      <c r="AP297" s="350">
        <v>36443497.153749891</v>
      </c>
      <c r="AQ297" s="350">
        <v>45155773.328672171</v>
      </c>
      <c r="AR297" s="348">
        <v>135711002.97361401</v>
      </c>
      <c r="AS297" s="369"/>
      <c r="AT297" s="350">
        <f t="shared" si="147"/>
        <v>1040313.9854571335</v>
      </c>
      <c r="AU297" s="350">
        <f t="shared" si="130"/>
        <v>3066506.4049939625</v>
      </c>
      <c r="AV297" s="350">
        <f t="shared" si="131"/>
        <v>4748374.2630094811</v>
      </c>
      <c r="AW297" s="350">
        <f t="shared" si="132"/>
        <v>6079743.1945477389</v>
      </c>
      <c r="AX297" s="350">
        <f t="shared" si="133"/>
        <v>7056021.2304210514</v>
      </c>
      <c r="AY297" s="350">
        <f t="shared" si="134"/>
        <v>21990959.078429356</v>
      </c>
      <c r="AZ297" s="365"/>
      <c r="BA297" s="377">
        <f t="shared" si="135"/>
        <v>0</v>
      </c>
      <c r="BB297" s="377">
        <f t="shared" si="136"/>
        <v>0</v>
      </c>
      <c r="BC297" s="377">
        <f t="shared" si="137"/>
        <v>0</v>
      </c>
      <c r="BD297" s="377">
        <f t="shared" si="138"/>
        <v>0</v>
      </c>
      <c r="BE297" s="377">
        <f t="shared" si="139"/>
        <v>0</v>
      </c>
      <c r="BF297" s="377">
        <f t="shared" si="140"/>
        <v>0</v>
      </c>
      <c r="BG297" s="328"/>
    </row>
    <row r="298" spans="2:59">
      <c r="B298" s="332">
        <v>283</v>
      </c>
      <c r="C298" s="350">
        <v>9298146.4089491144</v>
      </c>
      <c r="D298" s="350">
        <v>17472355.100699212</v>
      </c>
      <c r="E298" s="350">
        <v>25708085.365360033</v>
      </c>
      <c r="F298" s="350">
        <v>34005920.412073985</v>
      </c>
      <c r="G298" s="350">
        <v>42367191.893620841</v>
      </c>
      <c r="H298" s="348">
        <v>128851699.18070319</v>
      </c>
      <c r="I298" s="369"/>
      <c r="J298" s="350">
        <v>10815569.951776322</v>
      </c>
      <c r="K298" s="350">
        <v>21952439.344052147</v>
      </c>
      <c r="L298" s="350">
        <v>32824843.705045052</v>
      </c>
      <c r="M298" s="350">
        <v>43425330.264949769</v>
      </c>
      <c r="N298" s="350">
        <v>53749362.902523205</v>
      </c>
      <c r="O298" s="348">
        <v>162767546.16834649</v>
      </c>
      <c r="P298" s="369"/>
      <c r="Q298" s="350">
        <f t="shared" si="141"/>
        <v>1517423.5428272076</v>
      </c>
      <c r="R298" s="350">
        <f t="shared" si="142"/>
        <v>4480084.2433529347</v>
      </c>
      <c r="S298" s="350">
        <f t="shared" si="143"/>
        <v>7116758.3396850191</v>
      </c>
      <c r="T298" s="350">
        <f t="shared" si="144"/>
        <v>9419409.852875784</v>
      </c>
      <c r="U298" s="350">
        <f t="shared" si="145"/>
        <v>11382171.008902363</v>
      </c>
      <c r="V298" s="350">
        <f t="shared" si="146"/>
        <v>33915846.987643301</v>
      </c>
      <c r="W298" s="365"/>
      <c r="X298" s="377">
        <f t="shared" si="124"/>
        <v>0</v>
      </c>
      <c r="Y298" s="377">
        <f t="shared" si="125"/>
        <v>0</v>
      </c>
      <c r="Z298" s="377">
        <f t="shared" si="126"/>
        <v>0</v>
      </c>
      <c r="AA298" s="377">
        <f t="shared" si="127"/>
        <v>0</v>
      </c>
      <c r="AB298" s="377">
        <f t="shared" si="128"/>
        <v>0</v>
      </c>
      <c r="AC298" s="377">
        <f t="shared" si="129"/>
        <v>0</v>
      </c>
      <c r="AD298" s="376"/>
      <c r="AE298" s="332">
        <v>283</v>
      </c>
      <c r="AF298" s="350">
        <v>6600432.8161618784</v>
      </c>
      <c r="AG298" s="350">
        <v>13252699.970245471</v>
      </c>
      <c r="AH298" s="350">
        <v>19955311.837809041</v>
      </c>
      <c r="AI298" s="350">
        <v>26708490.658348195</v>
      </c>
      <c r="AJ298" s="350">
        <v>33513210.335217081</v>
      </c>
      <c r="AK298" s="348">
        <v>100030145.61778167</v>
      </c>
      <c r="AL298" s="369"/>
      <c r="AM298" s="350">
        <v>7669921.548057517</v>
      </c>
      <c r="AN298" s="350">
        <v>16407988.406437118</v>
      </c>
      <c r="AO298" s="350">
        <v>24898150.690627739</v>
      </c>
      <c r="AP298" s="350">
        <v>33135155.887431458</v>
      </c>
      <c r="AQ298" s="350">
        <v>41116095.104982257</v>
      </c>
      <c r="AR298" s="348">
        <v>123227311.63753608</v>
      </c>
      <c r="AS298" s="369"/>
      <c r="AT298" s="350">
        <f t="shared" si="147"/>
        <v>1069488.7318956386</v>
      </c>
      <c r="AU298" s="350">
        <f t="shared" si="130"/>
        <v>3155288.4361916464</v>
      </c>
      <c r="AV298" s="350">
        <f t="shared" si="131"/>
        <v>4942838.8528186977</v>
      </c>
      <c r="AW298" s="350">
        <f t="shared" si="132"/>
        <v>6426665.2290832624</v>
      </c>
      <c r="AX298" s="350">
        <f t="shared" si="133"/>
        <v>7602884.7697651759</v>
      </c>
      <c r="AY298" s="350">
        <f t="shared" si="134"/>
        <v>23197166.01975441</v>
      </c>
      <c r="AZ298" s="365"/>
      <c r="BA298" s="377">
        <f t="shared" si="135"/>
        <v>0</v>
      </c>
      <c r="BB298" s="377">
        <f t="shared" si="136"/>
        <v>0</v>
      </c>
      <c r="BC298" s="377">
        <f t="shared" si="137"/>
        <v>0</v>
      </c>
      <c r="BD298" s="377">
        <f t="shared" si="138"/>
        <v>0</v>
      </c>
      <c r="BE298" s="377">
        <f t="shared" si="139"/>
        <v>0</v>
      </c>
      <c r="BF298" s="377">
        <f t="shared" si="140"/>
        <v>0</v>
      </c>
      <c r="BG298" s="328"/>
    </row>
    <row r="299" spans="2:59">
      <c r="B299" s="332">
        <v>284</v>
      </c>
      <c r="C299" s="350">
        <v>8627517.2514450066</v>
      </c>
      <c r="D299" s="350">
        <v>16227990.348291323</v>
      </c>
      <c r="E299" s="350">
        <v>23885672.084196188</v>
      </c>
      <c r="F299" s="350">
        <v>31601100.031823412</v>
      </c>
      <c r="G299" s="350">
        <v>39375510.331432909</v>
      </c>
      <c r="H299" s="348">
        <v>119717790.04718883</v>
      </c>
      <c r="I299" s="369"/>
      <c r="J299" s="350">
        <v>9855038.2274131905</v>
      </c>
      <c r="K299" s="350">
        <v>19849720.826562665</v>
      </c>
      <c r="L299" s="350">
        <v>29596333.39739719</v>
      </c>
      <c r="M299" s="350">
        <v>39087859.194514826</v>
      </c>
      <c r="N299" s="350">
        <v>48319753.274770252</v>
      </c>
      <c r="O299" s="348">
        <v>146708704.92065814</v>
      </c>
      <c r="P299" s="369"/>
      <c r="Q299" s="350">
        <f t="shared" si="141"/>
        <v>1227520.9759681839</v>
      </c>
      <c r="R299" s="350">
        <f t="shared" si="142"/>
        <v>3621730.4782713428</v>
      </c>
      <c r="S299" s="350">
        <f t="shared" si="143"/>
        <v>5710661.3132010028</v>
      </c>
      <c r="T299" s="350">
        <f t="shared" si="144"/>
        <v>7486759.1626914144</v>
      </c>
      <c r="U299" s="350">
        <f t="shared" si="145"/>
        <v>8944242.9433373436</v>
      </c>
      <c r="V299" s="350">
        <f t="shared" si="146"/>
        <v>26990914.873469308</v>
      </c>
      <c r="W299" s="365"/>
      <c r="X299" s="377">
        <f t="shared" si="124"/>
        <v>0</v>
      </c>
      <c r="Y299" s="377">
        <f t="shared" si="125"/>
        <v>0</v>
      </c>
      <c r="Z299" s="377">
        <f t="shared" si="126"/>
        <v>0</v>
      </c>
      <c r="AA299" s="377">
        <f t="shared" si="127"/>
        <v>0</v>
      </c>
      <c r="AB299" s="377">
        <f t="shared" si="128"/>
        <v>0</v>
      </c>
      <c r="AC299" s="377">
        <f t="shared" si="129"/>
        <v>0</v>
      </c>
      <c r="AD299" s="376"/>
      <c r="AE299" s="332">
        <v>284</v>
      </c>
      <c r="AF299" s="350">
        <v>9676870.7845618166</v>
      </c>
      <c r="AG299" s="350">
        <v>19429735.705302633</v>
      </c>
      <c r="AH299" s="350">
        <v>29256410.82919234</v>
      </c>
      <c r="AI299" s="350">
        <v>39157221.980755195</v>
      </c>
      <c r="AJ299" s="350">
        <v>49133596.996191829</v>
      </c>
      <c r="AK299" s="348">
        <v>146653836.29600382</v>
      </c>
      <c r="AL299" s="369"/>
      <c r="AM299" s="350">
        <v>10932135.528553471</v>
      </c>
      <c r="AN299" s="350">
        <v>23128290.144420099</v>
      </c>
      <c r="AO299" s="350">
        <v>34951627.02850996</v>
      </c>
      <c r="AP299" s="350">
        <v>46394533.935795151</v>
      </c>
      <c r="AQ299" s="350">
        <v>57452429.449645102</v>
      </c>
      <c r="AR299" s="348">
        <v>172859016.08692378</v>
      </c>
      <c r="AS299" s="369"/>
      <c r="AT299" s="350">
        <f t="shared" si="147"/>
        <v>1255264.7439916544</v>
      </c>
      <c r="AU299" s="350">
        <f t="shared" si="130"/>
        <v>3698554.4391174652</v>
      </c>
      <c r="AV299" s="350">
        <f t="shared" si="131"/>
        <v>5695216.1993176192</v>
      </c>
      <c r="AW299" s="350">
        <f t="shared" si="132"/>
        <v>7237311.9550399557</v>
      </c>
      <c r="AX299" s="350">
        <f t="shared" si="133"/>
        <v>8318832.4534532726</v>
      </c>
      <c r="AY299" s="350">
        <f t="shared" si="134"/>
        <v>26205179.79091996</v>
      </c>
      <c r="AZ299" s="365"/>
      <c r="BA299" s="377">
        <f t="shared" si="135"/>
        <v>0</v>
      </c>
      <c r="BB299" s="377">
        <f t="shared" si="136"/>
        <v>0</v>
      </c>
      <c r="BC299" s="377">
        <f t="shared" si="137"/>
        <v>0</v>
      </c>
      <c r="BD299" s="377">
        <f t="shared" si="138"/>
        <v>0</v>
      </c>
      <c r="BE299" s="377">
        <f t="shared" si="139"/>
        <v>0</v>
      </c>
      <c r="BF299" s="377">
        <f t="shared" si="140"/>
        <v>0</v>
      </c>
      <c r="BG299" s="328"/>
    </row>
    <row r="300" spans="2:59">
      <c r="B300" s="332">
        <v>285</v>
      </c>
      <c r="C300" s="350">
        <v>7896952.9985785335</v>
      </c>
      <c r="D300" s="350">
        <v>14885869.757447165</v>
      </c>
      <c r="E300" s="350">
        <v>21927402.431540862</v>
      </c>
      <c r="F300" s="350">
        <v>29022035.84188075</v>
      </c>
      <c r="G300" s="350">
        <v>36170902.533145458</v>
      </c>
      <c r="H300" s="348">
        <v>109903163.56259277</v>
      </c>
      <c r="I300" s="369"/>
      <c r="J300" s="350">
        <v>9269404.6155685075</v>
      </c>
      <c r="K300" s="350">
        <v>18938956.295481306</v>
      </c>
      <c r="L300" s="350">
        <v>28379447.429502182</v>
      </c>
      <c r="M300" s="350">
        <v>37584700.53735318</v>
      </c>
      <c r="N300" s="350">
        <v>46551145.361351393</v>
      </c>
      <c r="O300" s="348">
        <v>140723654.23925656</v>
      </c>
      <c r="P300" s="369"/>
      <c r="Q300" s="350">
        <f t="shared" si="141"/>
        <v>1372451.6169899739</v>
      </c>
      <c r="R300" s="350">
        <f t="shared" si="142"/>
        <v>4053086.5380341411</v>
      </c>
      <c r="S300" s="350">
        <f t="shared" si="143"/>
        <v>6452044.99796132</v>
      </c>
      <c r="T300" s="350">
        <f t="shared" si="144"/>
        <v>8562664.6954724304</v>
      </c>
      <c r="U300" s="350">
        <f t="shared" si="145"/>
        <v>10380242.828205936</v>
      </c>
      <c r="V300" s="350">
        <f t="shared" si="146"/>
        <v>30820490.676663786</v>
      </c>
      <c r="W300" s="365"/>
      <c r="X300" s="377">
        <f t="shared" si="124"/>
        <v>0</v>
      </c>
      <c r="Y300" s="377">
        <f t="shared" si="125"/>
        <v>0</v>
      </c>
      <c r="Z300" s="377">
        <f t="shared" si="126"/>
        <v>0</v>
      </c>
      <c r="AA300" s="377">
        <f t="shared" si="127"/>
        <v>0</v>
      </c>
      <c r="AB300" s="377">
        <f t="shared" si="128"/>
        <v>0</v>
      </c>
      <c r="AC300" s="377">
        <f t="shared" si="129"/>
        <v>0</v>
      </c>
      <c r="AD300" s="376"/>
      <c r="AE300" s="332">
        <v>285</v>
      </c>
      <c r="AF300" s="350">
        <v>5051990.9234262891</v>
      </c>
      <c r="AG300" s="350">
        <v>10143656.003380787</v>
      </c>
      <c r="AH300" s="350">
        <v>15273855.076881971</v>
      </c>
      <c r="AI300" s="350">
        <v>20442758.24670127</v>
      </c>
      <c r="AJ300" s="350">
        <v>25651110.941364735</v>
      </c>
      <c r="AK300" s="348">
        <v>76563371.191755056</v>
      </c>
      <c r="AL300" s="369"/>
      <c r="AM300" s="350">
        <v>6330159.7280795686</v>
      </c>
      <c r="AN300" s="350">
        <v>13921699.360184601</v>
      </c>
      <c r="AO300" s="350">
        <v>21337256.627706274</v>
      </c>
      <c r="AP300" s="350">
        <v>28572681.255435616</v>
      </c>
      <c r="AQ300" s="350">
        <v>35626212.214611888</v>
      </c>
      <c r="AR300" s="348">
        <v>105788009.18601795</v>
      </c>
      <c r="AS300" s="369"/>
      <c r="AT300" s="350">
        <f t="shared" si="147"/>
        <v>1278168.8046532795</v>
      </c>
      <c r="AU300" s="350">
        <f t="shared" si="130"/>
        <v>3778043.3568038139</v>
      </c>
      <c r="AV300" s="350">
        <f t="shared" si="131"/>
        <v>6063401.5508243032</v>
      </c>
      <c r="AW300" s="350">
        <f t="shared" si="132"/>
        <v>8129923.0087343454</v>
      </c>
      <c r="AX300" s="350">
        <f t="shared" si="133"/>
        <v>9975101.2732471526</v>
      </c>
      <c r="AY300" s="350">
        <f t="shared" si="134"/>
        <v>29224637.994262889</v>
      </c>
      <c r="AZ300" s="365"/>
      <c r="BA300" s="377">
        <f t="shared" si="135"/>
        <v>0</v>
      </c>
      <c r="BB300" s="377">
        <f t="shared" si="136"/>
        <v>0</v>
      </c>
      <c r="BC300" s="377">
        <f t="shared" si="137"/>
        <v>0</v>
      </c>
      <c r="BD300" s="377">
        <f t="shared" si="138"/>
        <v>0</v>
      </c>
      <c r="BE300" s="377">
        <f t="shared" si="139"/>
        <v>0</v>
      </c>
      <c r="BF300" s="377">
        <f t="shared" si="140"/>
        <v>0</v>
      </c>
      <c r="BG300" s="328"/>
    </row>
    <row r="301" spans="2:59">
      <c r="B301" s="332">
        <v>286</v>
      </c>
      <c r="C301" s="350">
        <v>8043627.4874317022</v>
      </c>
      <c r="D301" s="350">
        <v>15164791.30156526</v>
      </c>
      <c r="E301" s="350">
        <v>22339567.441754371</v>
      </c>
      <c r="F301" s="350">
        <v>29568449.18364165</v>
      </c>
      <c r="G301" s="350">
        <v>36852590.189375758</v>
      </c>
      <c r="H301" s="348">
        <v>111969025.60376874</v>
      </c>
      <c r="I301" s="369"/>
      <c r="J301" s="350">
        <v>8993632.2799349651</v>
      </c>
      <c r="K301" s="350">
        <v>17964670.710828565</v>
      </c>
      <c r="L301" s="350">
        <v>26692050.589855641</v>
      </c>
      <c r="M301" s="350">
        <v>35169451.929576695</v>
      </c>
      <c r="N301" s="350">
        <v>43392625.398677766</v>
      </c>
      <c r="O301" s="348">
        <v>132212430.90887363</v>
      </c>
      <c r="P301" s="369"/>
      <c r="Q301" s="350">
        <f t="shared" si="141"/>
        <v>950004.79250326287</v>
      </c>
      <c r="R301" s="350">
        <f t="shared" si="142"/>
        <v>2799879.4092633054</v>
      </c>
      <c r="S301" s="350">
        <f t="shared" si="143"/>
        <v>4352483.1481012702</v>
      </c>
      <c r="T301" s="350">
        <f t="shared" si="144"/>
        <v>5601002.7459350452</v>
      </c>
      <c r="U301" s="350">
        <f t="shared" si="145"/>
        <v>6540035.2093020082</v>
      </c>
      <c r="V301" s="350">
        <f t="shared" si="146"/>
        <v>20243405.305104896</v>
      </c>
      <c r="W301" s="365"/>
      <c r="X301" s="377">
        <f t="shared" si="124"/>
        <v>0</v>
      </c>
      <c r="Y301" s="377">
        <f t="shared" si="125"/>
        <v>0</v>
      </c>
      <c r="Z301" s="377">
        <f t="shared" si="126"/>
        <v>0</v>
      </c>
      <c r="AA301" s="377">
        <f t="shared" si="127"/>
        <v>0</v>
      </c>
      <c r="AB301" s="377">
        <f t="shared" si="128"/>
        <v>0</v>
      </c>
      <c r="AC301" s="377">
        <f t="shared" si="129"/>
        <v>0</v>
      </c>
      <c r="AD301" s="376"/>
      <c r="AE301" s="332">
        <v>286</v>
      </c>
      <c r="AF301" s="350">
        <v>5165646.5785451829</v>
      </c>
      <c r="AG301" s="350">
        <v>10371859.871091429</v>
      </c>
      <c r="AH301" s="350">
        <v>15617474.064181481</v>
      </c>
      <c r="AI301" s="350">
        <v>20902663.087423</v>
      </c>
      <c r="AJ301" s="350">
        <v>26228189.139397401</v>
      </c>
      <c r="AK301" s="348">
        <v>78285832.740638494</v>
      </c>
      <c r="AL301" s="369"/>
      <c r="AM301" s="350">
        <v>5976880.2972599845</v>
      </c>
      <c r="AN301" s="350">
        <v>12764826.74162408</v>
      </c>
      <c r="AO301" s="350">
        <v>19357985.62976706</v>
      </c>
      <c r="AP301" s="350">
        <v>25752253.516510107</v>
      </c>
      <c r="AQ301" s="350">
        <v>31945327.736800384</v>
      </c>
      <c r="AR301" s="348">
        <v>95797273.92196162</v>
      </c>
      <c r="AS301" s="369"/>
      <c r="AT301" s="350">
        <f t="shared" si="147"/>
        <v>811233.71871480159</v>
      </c>
      <c r="AU301" s="350">
        <f t="shared" si="130"/>
        <v>2392966.8705326505</v>
      </c>
      <c r="AV301" s="350">
        <f t="shared" si="131"/>
        <v>3740511.5655855797</v>
      </c>
      <c r="AW301" s="350">
        <f t="shared" si="132"/>
        <v>4849590.4290871061</v>
      </c>
      <c r="AX301" s="350">
        <f t="shared" si="133"/>
        <v>5717138.5974029824</v>
      </c>
      <c r="AY301" s="350">
        <f t="shared" si="134"/>
        <v>17511441.181323126</v>
      </c>
      <c r="AZ301" s="365"/>
      <c r="BA301" s="377">
        <f t="shared" si="135"/>
        <v>0</v>
      </c>
      <c r="BB301" s="377">
        <f t="shared" si="136"/>
        <v>0</v>
      </c>
      <c r="BC301" s="377">
        <f t="shared" si="137"/>
        <v>0</v>
      </c>
      <c r="BD301" s="377">
        <f t="shared" si="138"/>
        <v>0</v>
      </c>
      <c r="BE301" s="377">
        <f t="shared" si="139"/>
        <v>0</v>
      </c>
      <c r="BF301" s="377">
        <f t="shared" si="140"/>
        <v>0</v>
      </c>
      <c r="BG301" s="328"/>
    </row>
    <row r="302" spans="2:59">
      <c r="B302" s="332">
        <v>287</v>
      </c>
      <c r="C302" s="350">
        <v>7666682.27593177</v>
      </c>
      <c r="D302" s="350">
        <v>14502883.771009959</v>
      </c>
      <c r="E302" s="350">
        <v>21390568.052171659</v>
      </c>
      <c r="F302" s="350">
        <v>28330194.275829032</v>
      </c>
      <c r="G302" s="350">
        <v>35322863.682099193</v>
      </c>
      <c r="H302" s="348">
        <v>107213192.05704162</v>
      </c>
      <c r="I302" s="369"/>
      <c r="J302" s="350">
        <v>8611987.8587660771</v>
      </c>
      <c r="K302" s="350">
        <v>17289537.926680084</v>
      </c>
      <c r="L302" s="350">
        <v>25736521.204880387</v>
      </c>
      <c r="M302" s="350">
        <v>33946761.648600504</v>
      </c>
      <c r="N302" s="350">
        <v>41916118.818996876</v>
      </c>
      <c r="O302" s="348">
        <v>127500927.45792392</v>
      </c>
      <c r="P302" s="369"/>
      <c r="Q302" s="350">
        <f t="shared" si="141"/>
        <v>945305.5828343071</v>
      </c>
      <c r="R302" s="350">
        <f t="shared" si="142"/>
        <v>2786654.155670125</v>
      </c>
      <c r="S302" s="350">
        <f t="shared" si="143"/>
        <v>4345953.1527087279</v>
      </c>
      <c r="T302" s="350">
        <f t="shared" si="144"/>
        <v>5616567.3727714717</v>
      </c>
      <c r="U302" s="350">
        <f t="shared" si="145"/>
        <v>6593255.1368976831</v>
      </c>
      <c r="V302" s="350">
        <f t="shared" si="146"/>
        <v>20287735.400882304</v>
      </c>
      <c r="W302" s="365"/>
      <c r="X302" s="377">
        <f t="shared" si="124"/>
        <v>0</v>
      </c>
      <c r="Y302" s="377">
        <f t="shared" si="125"/>
        <v>0</v>
      </c>
      <c r="Z302" s="377">
        <f t="shared" si="126"/>
        <v>0</v>
      </c>
      <c r="AA302" s="377">
        <f t="shared" si="127"/>
        <v>0</v>
      </c>
      <c r="AB302" s="377">
        <f t="shared" si="128"/>
        <v>0</v>
      </c>
      <c r="AC302" s="377">
        <f t="shared" si="129"/>
        <v>0</v>
      </c>
      <c r="AD302" s="376"/>
      <c r="AE302" s="332">
        <v>287</v>
      </c>
      <c r="AF302" s="350">
        <v>6345437.7828834262</v>
      </c>
      <c r="AG302" s="350">
        <v>12740707.383688524</v>
      </c>
      <c r="AH302" s="350">
        <v>19184376.726750229</v>
      </c>
      <c r="AI302" s="350">
        <v>25676659.465768464</v>
      </c>
      <c r="AJ302" s="350">
        <v>32218491.879213508</v>
      </c>
      <c r="AK302" s="348">
        <v>96165673.238304153</v>
      </c>
      <c r="AL302" s="369"/>
      <c r="AM302" s="350">
        <v>7380112.1924480991</v>
      </c>
      <c r="AN302" s="350">
        <v>15793384.250824887</v>
      </c>
      <c r="AO302" s="350">
        <v>23968523.828119263</v>
      </c>
      <c r="AP302" s="350">
        <v>31900479.492503561</v>
      </c>
      <c r="AQ302" s="350">
        <v>39586461.317894399</v>
      </c>
      <c r="AR302" s="348">
        <v>118628961.08179021</v>
      </c>
      <c r="AS302" s="369"/>
      <c r="AT302" s="350">
        <f t="shared" si="147"/>
        <v>1034674.409564673</v>
      </c>
      <c r="AU302" s="350">
        <f t="shared" si="130"/>
        <v>3052676.8671363629</v>
      </c>
      <c r="AV302" s="350">
        <f t="shared" si="131"/>
        <v>4784147.1013690345</v>
      </c>
      <c r="AW302" s="350">
        <f t="shared" si="132"/>
        <v>6223820.0267350972</v>
      </c>
      <c r="AX302" s="350">
        <f t="shared" si="133"/>
        <v>7367969.4386808909</v>
      </c>
      <c r="AY302" s="350">
        <f t="shared" si="134"/>
        <v>22463287.843486056</v>
      </c>
      <c r="AZ302" s="365"/>
      <c r="BA302" s="377">
        <f t="shared" si="135"/>
        <v>0</v>
      </c>
      <c r="BB302" s="377">
        <f t="shared" si="136"/>
        <v>0</v>
      </c>
      <c r="BC302" s="377">
        <f t="shared" si="137"/>
        <v>0</v>
      </c>
      <c r="BD302" s="377">
        <f t="shared" si="138"/>
        <v>0</v>
      </c>
      <c r="BE302" s="377">
        <f t="shared" si="139"/>
        <v>0</v>
      </c>
      <c r="BF302" s="377">
        <f t="shared" si="140"/>
        <v>0</v>
      </c>
      <c r="BG302" s="328"/>
    </row>
    <row r="303" spans="2:59">
      <c r="B303" s="332">
        <v>288</v>
      </c>
      <c r="C303" s="350">
        <v>6526023.2936382312</v>
      </c>
      <c r="D303" s="350">
        <v>12319162.325094387</v>
      </c>
      <c r="E303" s="350">
        <v>18155920.570812307</v>
      </c>
      <c r="F303" s="350">
        <v>24036694.732908554</v>
      </c>
      <c r="G303" s="350">
        <v>29962421.333357841</v>
      </c>
      <c r="H303" s="348">
        <v>91000222.255811319</v>
      </c>
      <c r="I303" s="369"/>
      <c r="J303" s="350">
        <v>7441281.2791157356</v>
      </c>
      <c r="K303" s="350">
        <v>15019264.655253857</v>
      </c>
      <c r="L303" s="350">
        <v>22402607.563302718</v>
      </c>
      <c r="M303" s="350">
        <v>29586149.266999055</v>
      </c>
      <c r="N303" s="350">
        <v>36566601.67528291</v>
      </c>
      <c r="O303" s="348">
        <v>111015904.43995428</v>
      </c>
      <c r="P303" s="369"/>
      <c r="Q303" s="350">
        <f t="shared" si="141"/>
        <v>915257.98547750432</v>
      </c>
      <c r="R303" s="350">
        <f t="shared" si="142"/>
        <v>2700102.3301594704</v>
      </c>
      <c r="S303" s="350">
        <f t="shared" si="143"/>
        <v>4246686.9924904108</v>
      </c>
      <c r="T303" s="350">
        <f t="shared" si="144"/>
        <v>5549454.5340905003</v>
      </c>
      <c r="U303" s="350">
        <f t="shared" si="145"/>
        <v>6604180.3419250697</v>
      </c>
      <c r="V303" s="350">
        <f t="shared" si="146"/>
        <v>20015682.184142962</v>
      </c>
      <c r="W303" s="365"/>
      <c r="X303" s="377">
        <f t="shared" si="124"/>
        <v>0</v>
      </c>
      <c r="Y303" s="377">
        <f t="shared" si="125"/>
        <v>0</v>
      </c>
      <c r="Z303" s="377">
        <f t="shared" si="126"/>
        <v>0</v>
      </c>
      <c r="AA303" s="377">
        <f t="shared" si="127"/>
        <v>0</v>
      </c>
      <c r="AB303" s="377">
        <f t="shared" si="128"/>
        <v>0</v>
      </c>
      <c r="AC303" s="377">
        <f t="shared" si="129"/>
        <v>0</v>
      </c>
      <c r="AD303" s="376"/>
      <c r="AE303" s="332">
        <v>288</v>
      </c>
      <c r="AF303" s="350">
        <v>6840734.5381738283</v>
      </c>
      <c r="AG303" s="350">
        <v>13735190.545160461</v>
      </c>
      <c r="AH303" s="350">
        <v>20681824.163814262</v>
      </c>
      <c r="AI303" s="350">
        <v>27680865.724696226</v>
      </c>
      <c r="AJ303" s="350">
        <v>34733324.588025168</v>
      </c>
      <c r="AK303" s="348">
        <v>103671939.55986995</v>
      </c>
      <c r="AL303" s="369"/>
      <c r="AM303" s="350">
        <v>8318764.1976818815</v>
      </c>
      <c r="AN303" s="350">
        <v>18101490.648314089</v>
      </c>
      <c r="AO303" s="350">
        <v>27638356.83082208</v>
      </c>
      <c r="AP303" s="350">
        <v>36923814.466200903</v>
      </c>
      <c r="AQ303" s="350">
        <v>45955223.080957383</v>
      </c>
      <c r="AR303" s="348">
        <v>136937649.22397634</v>
      </c>
      <c r="AS303" s="369"/>
      <c r="AT303" s="350">
        <f t="shared" si="147"/>
        <v>1478029.6595080532</v>
      </c>
      <c r="AU303" s="350">
        <f t="shared" si="130"/>
        <v>4366300.1031536274</v>
      </c>
      <c r="AV303" s="350">
        <f t="shared" si="131"/>
        <v>6956532.6670078188</v>
      </c>
      <c r="AW303" s="350">
        <f t="shared" si="132"/>
        <v>9242948.7415046766</v>
      </c>
      <c r="AX303" s="350">
        <f t="shared" si="133"/>
        <v>11221898.492932215</v>
      </c>
      <c r="AY303" s="350">
        <f t="shared" si="134"/>
        <v>33265709.664106399</v>
      </c>
      <c r="AZ303" s="365"/>
      <c r="BA303" s="377">
        <f t="shared" si="135"/>
        <v>0</v>
      </c>
      <c r="BB303" s="377">
        <f t="shared" si="136"/>
        <v>0</v>
      </c>
      <c r="BC303" s="377">
        <f t="shared" si="137"/>
        <v>0</v>
      </c>
      <c r="BD303" s="377">
        <f t="shared" si="138"/>
        <v>0</v>
      </c>
      <c r="BE303" s="377">
        <f t="shared" si="139"/>
        <v>0</v>
      </c>
      <c r="BF303" s="377">
        <f t="shared" si="140"/>
        <v>0</v>
      </c>
      <c r="BG303" s="328"/>
    </row>
    <row r="304" spans="2:59">
      <c r="B304" s="332">
        <v>289</v>
      </c>
      <c r="C304" s="350">
        <v>8940512.6540520936</v>
      </c>
      <c r="D304" s="350">
        <v>16869290.658814173</v>
      </c>
      <c r="E304" s="350">
        <v>24857765.59593815</v>
      </c>
      <c r="F304" s="350">
        <v>32906482.676379994</v>
      </c>
      <c r="G304" s="350">
        <v>41016724.65603704</v>
      </c>
      <c r="H304" s="348">
        <v>124590776.24122146</v>
      </c>
      <c r="I304" s="369"/>
      <c r="J304" s="350">
        <v>9979411.4842825774</v>
      </c>
      <c r="K304" s="350">
        <v>19930819.853332203</v>
      </c>
      <c r="L304" s="350">
        <v>29621172.641258813</v>
      </c>
      <c r="M304" s="350">
        <v>39043010.606968366</v>
      </c>
      <c r="N304" s="350">
        <v>48191141.223476872</v>
      </c>
      <c r="O304" s="348">
        <v>146765555.80931884</v>
      </c>
      <c r="P304" s="369"/>
      <c r="Q304" s="350">
        <f t="shared" si="141"/>
        <v>1038898.8302304838</v>
      </c>
      <c r="R304" s="350">
        <f t="shared" si="142"/>
        <v>3061529.1945180297</v>
      </c>
      <c r="S304" s="350">
        <f t="shared" si="143"/>
        <v>4763407.0453206636</v>
      </c>
      <c r="T304" s="350">
        <f t="shared" si="144"/>
        <v>6136527.9305883721</v>
      </c>
      <c r="U304" s="350">
        <f t="shared" si="145"/>
        <v>7174416.5674398318</v>
      </c>
      <c r="V304" s="350">
        <f t="shared" si="146"/>
        <v>22174779.568097383</v>
      </c>
      <c r="W304" s="365"/>
      <c r="X304" s="377">
        <f t="shared" si="124"/>
        <v>0</v>
      </c>
      <c r="Y304" s="377">
        <f t="shared" si="125"/>
        <v>0</v>
      </c>
      <c r="Z304" s="377">
        <f t="shared" si="126"/>
        <v>0</v>
      </c>
      <c r="AA304" s="377">
        <f t="shared" si="127"/>
        <v>0</v>
      </c>
      <c r="AB304" s="377">
        <f t="shared" si="128"/>
        <v>0</v>
      </c>
      <c r="AC304" s="377">
        <f t="shared" si="129"/>
        <v>0</v>
      </c>
      <c r="AD304" s="376"/>
      <c r="AE304" s="332">
        <v>289</v>
      </c>
      <c r="AF304" s="350">
        <v>5920474.372579366</v>
      </c>
      <c r="AG304" s="350">
        <v>11887443.252084656</v>
      </c>
      <c r="AH304" s="350">
        <v>17899570.471089017</v>
      </c>
      <c r="AI304" s="350">
        <v>23957055.374586172</v>
      </c>
      <c r="AJ304" s="350">
        <v>30060771.537084073</v>
      </c>
      <c r="AK304" s="348">
        <v>89725315.007423282</v>
      </c>
      <c r="AL304" s="369"/>
      <c r="AM304" s="350">
        <v>7114645.4094132576</v>
      </c>
      <c r="AN304" s="350">
        <v>15414202.687266551</v>
      </c>
      <c r="AO304" s="350">
        <v>23498427.912640791</v>
      </c>
      <c r="AP304" s="350">
        <v>31362543.245227396</v>
      </c>
      <c r="AQ304" s="350">
        <v>39004177.315394275</v>
      </c>
      <c r="AR304" s="348">
        <v>116393996.56994227</v>
      </c>
      <c r="AS304" s="369"/>
      <c r="AT304" s="350">
        <f t="shared" si="147"/>
        <v>1194171.0368338916</v>
      </c>
      <c r="AU304" s="350">
        <f t="shared" si="130"/>
        <v>3526759.4351818953</v>
      </c>
      <c r="AV304" s="350">
        <f t="shared" si="131"/>
        <v>5598857.4415517747</v>
      </c>
      <c r="AW304" s="350">
        <f t="shared" si="132"/>
        <v>7405487.8706412241</v>
      </c>
      <c r="AX304" s="350">
        <f t="shared" si="133"/>
        <v>8943405.7783102021</v>
      </c>
      <c r="AY304" s="350">
        <f t="shared" si="134"/>
        <v>26668681.562518984</v>
      </c>
      <c r="AZ304" s="365"/>
      <c r="BA304" s="377">
        <f t="shared" si="135"/>
        <v>0</v>
      </c>
      <c r="BB304" s="377">
        <f t="shared" si="136"/>
        <v>0</v>
      </c>
      <c r="BC304" s="377">
        <f t="shared" si="137"/>
        <v>0</v>
      </c>
      <c r="BD304" s="377">
        <f t="shared" si="138"/>
        <v>0</v>
      </c>
      <c r="BE304" s="377">
        <f t="shared" si="139"/>
        <v>0</v>
      </c>
      <c r="BF304" s="377">
        <f t="shared" si="140"/>
        <v>0</v>
      </c>
      <c r="BG304" s="328"/>
    </row>
    <row r="305" spans="2:59">
      <c r="B305" s="332">
        <v>290</v>
      </c>
      <c r="C305" s="350">
        <v>6784999.6972031891</v>
      </c>
      <c r="D305" s="350">
        <v>12763847.814536337</v>
      </c>
      <c r="E305" s="350">
        <v>18787699.132638711</v>
      </c>
      <c r="F305" s="350">
        <v>24856976.067872472</v>
      </c>
      <c r="G305" s="350">
        <v>30972650.81913159</v>
      </c>
      <c r="H305" s="348">
        <v>94166173.531382293</v>
      </c>
      <c r="I305" s="369"/>
      <c r="J305" s="350">
        <v>7907413.173404783</v>
      </c>
      <c r="K305" s="350">
        <v>16077864.964008348</v>
      </c>
      <c r="L305" s="350">
        <v>24058510.285731401</v>
      </c>
      <c r="M305" s="350">
        <v>31843765.586952254</v>
      </c>
      <c r="N305" s="350">
        <v>39430194.259420693</v>
      </c>
      <c r="O305" s="348">
        <v>119317748.26951748</v>
      </c>
      <c r="P305" s="369"/>
      <c r="Q305" s="350">
        <f t="shared" si="141"/>
        <v>1122413.4762015939</v>
      </c>
      <c r="R305" s="350">
        <f t="shared" si="142"/>
        <v>3314017.1494720113</v>
      </c>
      <c r="S305" s="350">
        <f t="shared" si="143"/>
        <v>5270811.1530926898</v>
      </c>
      <c r="T305" s="350">
        <f t="shared" si="144"/>
        <v>6986789.5190797821</v>
      </c>
      <c r="U305" s="350">
        <f t="shared" si="145"/>
        <v>8457543.4402891025</v>
      </c>
      <c r="V305" s="350">
        <f t="shared" si="146"/>
        <v>25151574.738135189</v>
      </c>
      <c r="W305" s="365"/>
      <c r="X305" s="377">
        <f t="shared" si="124"/>
        <v>0</v>
      </c>
      <c r="Y305" s="377">
        <f t="shared" si="125"/>
        <v>0</v>
      </c>
      <c r="Z305" s="377">
        <f t="shared" si="126"/>
        <v>0</v>
      </c>
      <c r="AA305" s="377">
        <f t="shared" si="127"/>
        <v>0</v>
      </c>
      <c r="AB305" s="377">
        <f t="shared" si="128"/>
        <v>0</v>
      </c>
      <c r="AC305" s="377">
        <f t="shared" si="129"/>
        <v>0</v>
      </c>
      <c r="AD305" s="376"/>
      <c r="AE305" s="332">
        <v>290</v>
      </c>
      <c r="AF305" s="350">
        <v>5713734.5771922534</v>
      </c>
      <c r="AG305" s="350">
        <v>11472340.098020805</v>
      </c>
      <c r="AH305" s="350">
        <v>17274527.053309988</v>
      </c>
      <c r="AI305" s="350">
        <v>23120487.827033073</v>
      </c>
      <c r="AJ305" s="350">
        <v>29011065.488943886</v>
      </c>
      <c r="AK305" s="348">
        <v>86592155.044500008</v>
      </c>
      <c r="AL305" s="369"/>
      <c r="AM305" s="350">
        <v>6678016.6696981248</v>
      </c>
      <c r="AN305" s="350">
        <v>14317833.281821437</v>
      </c>
      <c r="AO305" s="350">
        <v>21744200.797625244</v>
      </c>
      <c r="AP305" s="350">
        <v>28952561.443293471</v>
      </c>
      <c r="AQ305" s="350">
        <v>35940436.064680003</v>
      </c>
      <c r="AR305" s="348">
        <v>107633048.25711828</v>
      </c>
      <c r="AS305" s="369"/>
      <c r="AT305" s="350">
        <f t="shared" si="147"/>
        <v>964282.09250587132</v>
      </c>
      <c r="AU305" s="350">
        <f t="shared" si="130"/>
        <v>2845493.1838006321</v>
      </c>
      <c r="AV305" s="350">
        <f t="shared" si="131"/>
        <v>4469673.7443152554</v>
      </c>
      <c r="AW305" s="350">
        <f t="shared" si="132"/>
        <v>5832073.6162603982</v>
      </c>
      <c r="AX305" s="350">
        <f t="shared" si="133"/>
        <v>6929370.5757361166</v>
      </c>
      <c r="AY305" s="350">
        <f t="shared" si="134"/>
        <v>21040893.212618276</v>
      </c>
      <c r="AZ305" s="365"/>
      <c r="BA305" s="377">
        <f t="shared" si="135"/>
        <v>0</v>
      </c>
      <c r="BB305" s="377">
        <f t="shared" si="136"/>
        <v>0</v>
      </c>
      <c r="BC305" s="377">
        <f t="shared" si="137"/>
        <v>0</v>
      </c>
      <c r="BD305" s="377">
        <f t="shared" si="138"/>
        <v>0</v>
      </c>
      <c r="BE305" s="377">
        <f t="shared" si="139"/>
        <v>0</v>
      </c>
      <c r="BF305" s="377">
        <f t="shared" si="140"/>
        <v>0</v>
      </c>
      <c r="BG305" s="328"/>
    </row>
    <row r="306" spans="2:59">
      <c r="B306" s="332">
        <v>291</v>
      </c>
      <c r="C306" s="350">
        <v>11583219.239444718</v>
      </c>
      <c r="D306" s="350">
        <v>22042053.80536399</v>
      </c>
      <c r="E306" s="350">
        <v>32579694.871036895</v>
      </c>
      <c r="F306" s="350">
        <v>43196806.735840678</v>
      </c>
      <c r="G306" s="350">
        <v>53895057.599069715</v>
      </c>
      <c r="H306" s="348">
        <v>163296832.250756</v>
      </c>
      <c r="I306" s="369"/>
      <c r="J306" s="350">
        <v>13376285.843566241</v>
      </c>
      <c r="K306" s="350">
        <v>27333963.9077994</v>
      </c>
      <c r="L306" s="350">
        <v>40946786.552408129</v>
      </c>
      <c r="M306" s="350">
        <v>54205243.919215284</v>
      </c>
      <c r="N306" s="350">
        <v>67103414.869589843</v>
      </c>
      <c r="O306" s="348">
        <v>202965695.09257889</v>
      </c>
      <c r="P306" s="369"/>
      <c r="Q306" s="350">
        <f t="shared" si="141"/>
        <v>1793066.604121523</v>
      </c>
      <c r="R306" s="350">
        <f t="shared" si="142"/>
        <v>5291910.10243541</v>
      </c>
      <c r="S306" s="350">
        <f t="shared" si="143"/>
        <v>8367091.6813712344</v>
      </c>
      <c r="T306" s="350">
        <f t="shared" si="144"/>
        <v>11008437.183374606</v>
      </c>
      <c r="U306" s="350">
        <f t="shared" si="145"/>
        <v>13208357.270520128</v>
      </c>
      <c r="V306" s="350">
        <f t="shared" si="146"/>
        <v>39668862.841822892</v>
      </c>
      <c r="W306" s="365"/>
      <c r="X306" s="377">
        <f t="shared" si="124"/>
        <v>0</v>
      </c>
      <c r="Y306" s="377">
        <f t="shared" si="125"/>
        <v>0</v>
      </c>
      <c r="Z306" s="377">
        <f t="shared" si="126"/>
        <v>0</v>
      </c>
      <c r="AA306" s="377">
        <f t="shared" si="127"/>
        <v>0</v>
      </c>
      <c r="AB306" s="377">
        <f t="shared" si="128"/>
        <v>0</v>
      </c>
      <c r="AC306" s="377">
        <f t="shared" si="129"/>
        <v>0</v>
      </c>
      <c r="AD306" s="376"/>
      <c r="AE306" s="332">
        <v>291</v>
      </c>
      <c r="AF306" s="350">
        <v>7070423.0583295412</v>
      </c>
      <c r="AG306" s="350">
        <v>14196371.369057313</v>
      </c>
      <c r="AH306" s="350">
        <v>21376249.237583507</v>
      </c>
      <c r="AI306" s="350">
        <v>28610294.728183299</v>
      </c>
      <c r="AJ306" s="350">
        <v>35899551.091946967</v>
      </c>
      <c r="AK306" s="348">
        <v>107152889.48510063</v>
      </c>
      <c r="AL306" s="369"/>
      <c r="AM306" s="350">
        <v>8546967.132991001</v>
      </c>
      <c r="AN306" s="350">
        <v>18557691.442504771</v>
      </c>
      <c r="AO306" s="350">
        <v>28312769.491365179</v>
      </c>
      <c r="AP306" s="350">
        <v>37806481.164882295</v>
      </c>
      <c r="AQ306" s="350">
        <v>47036045.566214055</v>
      </c>
      <c r="AR306" s="348">
        <v>140259954.7979573</v>
      </c>
      <c r="AS306" s="369"/>
      <c r="AT306" s="350">
        <f t="shared" si="147"/>
        <v>1476544.0746614598</v>
      </c>
      <c r="AU306" s="350">
        <f t="shared" si="130"/>
        <v>4361320.0734474584</v>
      </c>
      <c r="AV306" s="350">
        <f t="shared" si="131"/>
        <v>6936520.2537816726</v>
      </c>
      <c r="AW306" s="350">
        <f t="shared" si="132"/>
        <v>9196186.4366989955</v>
      </c>
      <c r="AX306" s="350">
        <f t="shared" si="133"/>
        <v>11136494.474267088</v>
      </c>
      <c r="AY306" s="350">
        <f t="shared" si="134"/>
        <v>33107065.312856674</v>
      </c>
      <c r="AZ306" s="365"/>
      <c r="BA306" s="377">
        <f t="shared" si="135"/>
        <v>0</v>
      </c>
      <c r="BB306" s="377">
        <f t="shared" si="136"/>
        <v>0</v>
      </c>
      <c r="BC306" s="377">
        <f t="shared" si="137"/>
        <v>0</v>
      </c>
      <c r="BD306" s="377">
        <f t="shared" si="138"/>
        <v>0</v>
      </c>
      <c r="BE306" s="377">
        <f t="shared" si="139"/>
        <v>0</v>
      </c>
      <c r="BF306" s="377">
        <f t="shared" si="140"/>
        <v>0</v>
      </c>
      <c r="BG306" s="328"/>
    </row>
    <row r="307" spans="2:59">
      <c r="B307" s="332">
        <v>292</v>
      </c>
      <c r="C307" s="350">
        <v>6956535.4903587895</v>
      </c>
      <c r="D307" s="350">
        <v>13082822.683147708</v>
      </c>
      <c r="E307" s="350">
        <v>19255221.648993086</v>
      </c>
      <c r="F307" s="350">
        <v>25474166.322253443</v>
      </c>
      <c r="G307" s="350">
        <v>31740653.355471093</v>
      </c>
      <c r="H307" s="348">
        <v>96509399.500224128</v>
      </c>
      <c r="I307" s="369"/>
      <c r="J307" s="350">
        <v>8039545.7071641646</v>
      </c>
      <c r="K307" s="350">
        <v>16279624.466665015</v>
      </c>
      <c r="L307" s="350">
        <v>24325798.899520047</v>
      </c>
      <c r="M307" s="350">
        <v>32172270.292858768</v>
      </c>
      <c r="N307" s="350">
        <v>39815348.366596133</v>
      </c>
      <c r="O307" s="348">
        <v>120632587.73280412</v>
      </c>
      <c r="P307" s="369"/>
      <c r="Q307" s="350">
        <f t="shared" si="141"/>
        <v>1083010.2168053752</v>
      </c>
      <c r="R307" s="350">
        <f t="shared" si="142"/>
        <v>3196801.7835173067</v>
      </c>
      <c r="S307" s="350">
        <f t="shared" si="143"/>
        <v>5070577.2505269609</v>
      </c>
      <c r="T307" s="350">
        <f t="shared" si="144"/>
        <v>6698103.970605325</v>
      </c>
      <c r="U307" s="350">
        <f t="shared" si="145"/>
        <v>8074695.0111250393</v>
      </c>
      <c r="V307" s="350">
        <f t="shared" si="146"/>
        <v>24123188.232579991</v>
      </c>
      <c r="W307" s="365"/>
      <c r="X307" s="377">
        <f t="shared" si="124"/>
        <v>0</v>
      </c>
      <c r="Y307" s="377">
        <f t="shared" si="125"/>
        <v>0</v>
      </c>
      <c r="Z307" s="377">
        <f t="shared" si="126"/>
        <v>0</v>
      </c>
      <c r="AA307" s="377">
        <f t="shared" si="127"/>
        <v>0</v>
      </c>
      <c r="AB307" s="377">
        <f t="shared" si="128"/>
        <v>0</v>
      </c>
      <c r="AC307" s="377">
        <f t="shared" si="129"/>
        <v>0</v>
      </c>
      <c r="AD307" s="376"/>
      <c r="AE307" s="332">
        <v>292</v>
      </c>
      <c r="AF307" s="350">
        <v>7578980.6613241257</v>
      </c>
      <c r="AG307" s="350">
        <v>15217480.365663018</v>
      </c>
      <c r="AH307" s="350">
        <v>22913788.644150313</v>
      </c>
      <c r="AI307" s="350">
        <v>30668160.684420865</v>
      </c>
      <c r="AJ307" s="350">
        <v>38481714.775970638</v>
      </c>
      <c r="AK307" s="348">
        <v>114860125.13152896</v>
      </c>
      <c r="AL307" s="369"/>
      <c r="AM307" s="350">
        <v>9297179.9503492564</v>
      </c>
      <c r="AN307" s="350">
        <v>20294207.447676007</v>
      </c>
      <c r="AO307" s="350">
        <v>31021257.501482937</v>
      </c>
      <c r="AP307" s="350">
        <v>41472160.253126644</v>
      </c>
      <c r="AQ307" s="350">
        <v>51644071.963159963</v>
      </c>
      <c r="AR307" s="348">
        <v>153728877.11579481</v>
      </c>
      <c r="AS307" s="369"/>
      <c r="AT307" s="350">
        <f t="shared" si="147"/>
        <v>1718199.2890251307</v>
      </c>
      <c r="AU307" s="350">
        <f t="shared" si="130"/>
        <v>5076727.0820129886</v>
      </c>
      <c r="AV307" s="350">
        <f t="shared" si="131"/>
        <v>8107468.8573326245</v>
      </c>
      <c r="AW307" s="350">
        <f t="shared" si="132"/>
        <v>10803999.568705779</v>
      </c>
      <c r="AX307" s="350">
        <f t="shared" si="133"/>
        <v>13162357.187189326</v>
      </c>
      <c r="AY307" s="350">
        <f t="shared" si="134"/>
        <v>38868751.984265849</v>
      </c>
      <c r="AZ307" s="365"/>
      <c r="BA307" s="377">
        <f t="shared" si="135"/>
        <v>0</v>
      </c>
      <c r="BB307" s="377">
        <f t="shared" si="136"/>
        <v>0</v>
      </c>
      <c r="BC307" s="377">
        <f t="shared" si="137"/>
        <v>0</v>
      </c>
      <c r="BD307" s="377">
        <f t="shared" si="138"/>
        <v>0</v>
      </c>
      <c r="BE307" s="377">
        <f t="shared" si="139"/>
        <v>0</v>
      </c>
      <c r="BF307" s="377">
        <f t="shared" si="140"/>
        <v>0</v>
      </c>
      <c r="BG307" s="328"/>
    </row>
    <row r="308" spans="2:59">
      <c r="B308" s="332">
        <v>293</v>
      </c>
      <c r="C308" s="350">
        <v>10315681.389674008</v>
      </c>
      <c r="D308" s="350">
        <v>19531010.506504614</v>
      </c>
      <c r="E308" s="350">
        <v>28815744.897594403</v>
      </c>
      <c r="F308" s="350">
        <v>38170498.513465792</v>
      </c>
      <c r="G308" s="350">
        <v>47596753.670724228</v>
      </c>
      <c r="H308" s="348">
        <v>144429688.97796303</v>
      </c>
      <c r="I308" s="369"/>
      <c r="J308" s="350">
        <v>11912793.004275521</v>
      </c>
      <c r="K308" s="350">
        <v>24244875.026353259</v>
      </c>
      <c r="L308" s="350">
        <v>36270916.167114839</v>
      </c>
      <c r="M308" s="350">
        <v>47982696.729384929</v>
      </c>
      <c r="N308" s="350">
        <v>59375169.838648736</v>
      </c>
      <c r="O308" s="348">
        <v>179786450.76577729</v>
      </c>
      <c r="P308" s="369"/>
      <c r="Q308" s="350">
        <f t="shared" si="141"/>
        <v>1597111.6146015134</v>
      </c>
      <c r="R308" s="350">
        <f t="shared" si="142"/>
        <v>4713864.5198486447</v>
      </c>
      <c r="S308" s="350">
        <f t="shared" si="143"/>
        <v>7455171.2695204355</v>
      </c>
      <c r="T308" s="350">
        <f t="shared" si="144"/>
        <v>9812198.215919137</v>
      </c>
      <c r="U308" s="350">
        <f t="shared" si="145"/>
        <v>11778416.167924508</v>
      </c>
      <c r="V308" s="350">
        <f t="shared" si="146"/>
        <v>35356761.78781426</v>
      </c>
      <c r="W308" s="365"/>
      <c r="X308" s="377">
        <f t="shared" si="124"/>
        <v>0</v>
      </c>
      <c r="Y308" s="377">
        <f t="shared" si="125"/>
        <v>0</v>
      </c>
      <c r="Z308" s="377">
        <f t="shared" si="126"/>
        <v>0</v>
      </c>
      <c r="AA308" s="377">
        <f t="shared" si="127"/>
        <v>0</v>
      </c>
      <c r="AB308" s="377">
        <f t="shared" si="128"/>
        <v>0</v>
      </c>
      <c r="AC308" s="377">
        <f t="shared" si="129"/>
        <v>0</v>
      </c>
      <c r="AD308" s="376"/>
      <c r="AE308" s="332">
        <v>293</v>
      </c>
      <c r="AF308" s="350">
        <v>7155420.2273384733</v>
      </c>
      <c r="AG308" s="350">
        <v>14367033.204511102</v>
      </c>
      <c r="AH308" s="350">
        <v>21633224.054257799</v>
      </c>
      <c r="AI308" s="350">
        <v>28954233.702746052</v>
      </c>
      <c r="AJ308" s="350">
        <v>36331117.942520663</v>
      </c>
      <c r="AK308" s="348">
        <v>108441029.13137409</v>
      </c>
      <c r="AL308" s="369"/>
      <c r="AM308" s="350">
        <v>8555192.1432978902</v>
      </c>
      <c r="AN308" s="350">
        <v>18500457.10684377</v>
      </c>
      <c r="AO308" s="350">
        <v>28184171.578207832</v>
      </c>
      <c r="AP308" s="350">
        <v>37600573.412733078</v>
      </c>
      <c r="AQ308" s="350">
        <v>46746752.553912997</v>
      </c>
      <c r="AR308" s="348">
        <v>139587146.79499555</v>
      </c>
      <c r="AS308" s="369"/>
      <c r="AT308" s="350">
        <f t="shared" si="147"/>
        <v>1399771.9159594169</v>
      </c>
      <c r="AU308" s="350">
        <f t="shared" si="130"/>
        <v>4133423.9023326673</v>
      </c>
      <c r="AV308" s="350">
        <f t="shared" si="131"/>
        <v>6550947.5239500329</v>
      </c>
      <c r="AW308" s="350">
        <f t="shared" si="132"/>
        <v>8646339.7099870257</v>
      </c>
      <c r="AX308" s="350">
        <f t="shared" si="133"/>
        <v>10415634.611392334</v>
      </c>
      <c r="AY308" s="350">
        <f t="shared" si="134"/>
        <v>31146117.663621455</v>
      </c>
      <c r="AZ308" s="365"/>
      <c r="BA308" s="377">
        <f t="shared" si="135"/>
        <v>0</v>
      </c>
      <c r="BB308" s="377">
        <f t="shared" si="136"/>
        <v>0</v>
      </c>
      <c r="BC308" s="377">
        <f t="shared" si="137"/>
        <v>0</v>
      </c>
      <c r="BD308" s="377">
        <f t="shared" si="138"/>
        <v>0</v>
      </c>
      <c r="BE308" s="377">
        <f t="shared" si="139"/>
        <v>0</v>
      </c>
      <c r="BF308" s="377">
        <f t="shared" si="140"/>
        <v>0</v>
      </c>
      <c r="BG308" s="328"/>
    </row>
    <row r="309" spans="2:59">
      <c r="B309" s="332">
        <v>294</v>
      </c>
      <c r="C309" s="350">
        <v>12009835.0497269</v>
      </c>
      <c r="D309" s="350">
        <v>22457728.875801548</v>
      </c>
      <c r="E309" s="350">
        <v>32984220.690563776</v>
      </c>
      <c r="F309" s="350">
        <v>43590088.664178617</v>
      </c>
      <c r="G309" s="350">
        <v>54277049.098188303</v>
      </c>
      <c r="H309" s="348">
        <v>165318922.37845916</v>
      </c>
      <c r="I309" s="369"/>
      <c r="J309" s="350">
        <v>13477195.282042965</v>
      </c>
      <c r="K309" s="350">
        <v>26783749.531629227</v>
      </c>
      <c r="L309" s="350">
        <v>39733731.158124611</v>
      </c>
      <c r="M309" s="350">
        <v>52317967.7245313</v>
      </c>
      <c r="N309" s="350">
        <v>64530391.506799422</v>
      </c>
      <c r="O309" s="348">
        <v>196843035.20312753</v>
      </c>
      <c r="P309" s="369"/>
      <c r="Q309" s="350">
        <f t="shared" si="141"/>
        <v>1467360.2323160656</v>
      </c>
      <c r="R309" s="350">
        <f t="shared" si="142"/>
        <v>4326020.6558276787</v>
      </c>
      <c r="S309" s="350">
        <f t="shared" si="143"/>
        <v>6749510.4675608352</v>
      </c>
      <c r="T309" s="350">
        <f t="shared" si="144"/>
        <v>8727879.0603526831</v>
      </c>
      <c r="U309" s="350">
        <f t="shared" si="145"/>
        <v>10253342.408611119</v>
      </c>
      <c r="V309" s="350">
        <f t="shared" si="146"/>
        <v>31524112.824668378</v>
      </c>
      <c r="W309" s="365"/>
      <c r="X309" s="377">
        <f t="shared" si="124"/>
        <v>0</v>
      </c>
      <c r="Y309" s="377">
        <f t="shared" si="125"/>
        <v>0</v>
      </c>
      <c r="Z309" s="377">
        <f t="shared" si="126"/>
        <v>0</v>
      </c>
      <c r="AA309" s="377">
        <f t="shared" si="127"/>
        <v>0</v>
      </c>
      <c r="AB309" s="377">
        <f t="shared" si="128"/>
        <v>0</v>
      </c>
      <c r="AC309" s="377">
        <f t="shared" si="129"/>
        <v>0</v>
      </c>
      <c r="AD309" s="376"/>
      <c r="AE309" s="332">
        <v>294</v>
      </c>
      <c r="AF309" s="350">
        <v>8013718.846009939</v>
      </c>
      <c r="AG309" s="350">
        <v>16090370.809020415</v>
      </c>
      <c r="AH309" s="350">
        <v>24228147.305898361</v>
      </c>
      <c r="AI309" s="350">
        <v>32427318.162105814</v>
      </c>
      <c r="AJ309" s="350">
        <v>40689065.813383088</v>
      </c>
      <c r="AK309" s="348">
        <v>121448620.93641762</v>
      </c>
      <c r="AL309" s="369"/>
      <c r="AM309" s="350">
        <v>9436102.2428968959</v>
      </c>
      <c r="AN309" s="350">
        <v>20288707.977266081</v>
      </c>
      <c r="AO309" s="350">
        <v>30844038.468962714</v>
      </c>
      <c r="AP309" s="350">
        <v>41095681.493336201</v>
      </c>
      <c r="AQ309" s="350">
        <v>51040230.783111528</v>
      </c>
      <c r="AR309" s="348">
        <v>152704760.96557343</v>
      </c>
      <c r="AS309" s="369"/>
      <c r="AT309" s="350">
        <f t="shared" si="147"/>
        <v>1422383.3968869569</v>
      </c>
      <c r="AU309" s="350">
        <f t="shared" si="130"/>
        <v>4198337.1682456657</v>
      </c>
      <c r="AV309" s="350">
        <f t="shared" si="131"/>
        <v>6615891.1630643532</v>
      </c>
      <c r="AW309" s="350">
        <f t="shared" si="132"/>
        <v>8668363.3312303871</v>
      </c>
      <c r="AX309" s="350">
        <f t="shared" si="133"/>
        <v>10351164.96972844</v>
      </c>
      <c r="AY309" s="350">
        <f t="shared" si="134"/>
        <v>31256140.029155806</v>
      </c>
      <c r="AZ309" s="365"/>
      <c r="BA309" s="377">
        <f t="shared" si="135"/>
        <v>0</v>
      </c>
      <c r="BB309" s="377">
        <f t="shared" si="136"/>
        <v>0</v>
      </c>
      <c r="BC309" s="377">
        <f t="shared" si="137"/>
        <v>0</v>
      </c>
      <c r="BD309" s="377">
        <f t="shared" si="138"/>
        <v>0</v>
      </c>
      <c r="BE309" s="377">
        <f t="shared" si="139"/>
        <v>0</v>
      </c>
      <c r="BF309" s="377">
        <f t="shared" si="140"/>
        <v>0</v>
      </c>
      <c r="BG309" s="328"/>
    </row>
    <row r="310" spans="2:59">
      <c r="B310" s="332">
        <v>295</v>
      </c>
      <c r="C310" s="350">
        <v>10338250.496551905</v>
      </c>
      <c r="D310" s="350">
        <v>19505452.001131523</v>
      </c>
      <c r="E310" s="350">
        <v>28741674.340108328</v>
      </c>
      <c r="F310" s="350">
        <v>38047548.219167687</v>
      </c>
      <c r="G310" s="350">
        <v>47424556.898661666</v>
      </c>
      <c r="H310" s="348">
        <v>144057481.95562112</v>
      </c>
      <c r="I310" s="369"/>
      <c r="J310" s="350">
        <v>11410995.149174511</v>
      </c>
      <c r="K310" s="350">
        <v>22664323.033016142</v>
      </c>
      <c r="L310" s="350">
        <v>33604518.484305099</v>
      </c>
      <c r="M310" s="350">
        <v>44223306.24681057</v>
      </c>
      <c r="N310" s="350">
        <v>54514877.060132667</v>
      </c>
      <c r="O310" s="348">
        <v>166418019.97343898</v>
      </c>
      <c r="P310" s="369"/>
      <c r="Q310" s="350">
        <f t="shared" si="141"/>
        <v>1072744.6526226066</v>
      </c>
      <c r="R310" s="350">
        <f t="shared" si="142"/>
        <v>3158871.0318846181</v>
      </c>
      <c r="S310" s="350">
        <f t="shared" si="143"/>
        <v>4862844.1441967711</v>
      </c>
      <c r="T310" s="350">
        <f t="shared" si="144"/>
        <v>6175758.0276428834</v>
      </c>
      <c r="U310" s="350">
        <f t="shared" si="145"/>
        <v>7090320.1614710018</v>
      </c>
      <c r="V310" s="350">
        <f t="shared" si="146"/>
        <v>22360538.017817855</v>
      </c>
      <c r="W310" s="365"/>
      <c r="X310" s="377">
        <f t="shared" si="124"/>
        <v>0</v>
      </c>
      <c r="Y310" s="377">
        <f t="shared" si="125"/>
        <v>0</v>
      </c>
      <c r="Z310" s="377">
        <f t="shared" si="126"/>
        <v>0</v>
      </c>
      <c r="AA310" s="377">
        <f t="shared" si="127"/>
        <v>0</v>
      </c>
      <c r="AB310" s="377">
        <f t="shared" si="128"/>
        <v>0</v>
      </c>
      <c r="AC310" s="377">
        <f t="shared" si="129"/>
        <v>0</v>
      </c>
      <c r="AD310" s="376"/>
      <c r="AE310" s="332">
        <v>295</v>
      </c>
      <c r="AF310" s="350">
        <v>3986625.8533864301</v>
      </c>
      <c r="AG310" s="350">
        <v>8004559.3675592691</v>
      </c>
      <c r="AH310" s="350">
        <v>12052900.817382805</v>
      </c>
      <c r="AI310" s="350">
        <v>16131784.43431481</v>
      </c>
      <c r="AJ310" s="350">
        <v>20241798.450733144</v>
      </c>
      <c r="AK310" s="348">
        <v>60417668.923376456</v>
      </c>
      <c r="AL310" s="369"/>
      <c r="AM310" s="350">
        <v>4806660.4990738323</v>
      </c>
      <c r="AN310" s="350">
        <v>10426574.754870521</v>
      </c>
      <c r="AO310" s="350">
        <v>15901969.411615571</v>
      </c>
      <c r="AP310" s="350">
        <v>21229622.746410724</v>
      </c>
      <c r="AQ310" s="350">
        <v>26407954.09555091</v>
      </c>
      <c r="AR310" s="348">
        <v>78772781.507521555</v>
      </c>
      <c r="AS310" s="369"/>
      <c r="AT310" s="350">
        <f t="shared" si="147"/>
        <v>820034.64568740223</v>
      </c>
      <c r="AU310" s="350">
        <f t="shared" si="130"/>
        <v>2422015.3873112518</v>
      </c>
      <c r="AV310" s="350">
        <f t="shared" si="131"/>
        <v>3849068.594232766</v>
      </c>
      <c r="AW310" s="350">
        <f t="shared" si="132"/>
        <v>5097838.312095914</v>
      </c>
      <c r="AX310" s="350">
        <f t="shared" si="133"/>
        <v>6166155.6448177658</v>
      </c>
      <c r="AY310" s="350">
        <f t="shared" si="134"/>
        <v>18355112.584145099</v>
      </c>
      <c r="AZ310" s="365"/>
      <c r="BA310" s="377">
        <f t="shared" si="135"/>
        <v>0</v>
      </c>
      <c r="BB310" s="377">
        <f t="shared" si="136"/>
        <v>0</v>
      </c>
      <c r="BC310" s="377">
        <f t="shared" si="137"/>
        <v>0</v>
      </c>
      <c r="BD310" s="377">
        <f t="shared" si="138"/>
        <v>0</v>
      </c>
      <c r="BE310" s="377">
        <f t="shared" si="139"/>
        <v>0</v>
      </c>
      <c r="BF310" s="377">
        <f t="shared" si="140"/>
        <v>0</v>
      </c>
      <c r="BG310" s="328"/>
    </row>
    <row r="311" spans="2:59">
      <c r="B311" s="332">
        <v>296</v>
      </c>
      <c r="C311" s="350">
        <v>7968542.0922858594</v>
      </c>
      <c r="D311" s="350">
        <v>14930129.006888267</v>
      </c>
      <c r="E311" s="350">
        <v>21944096.639019925</v>
      </c>
      <c r="F311" s="350">
        <v>29010954.671626262</v>
      </c>
      <c r="G311" s="350">
        <v>36131842.862885609</v>
      </c>
      <c r="H311" s="348">
        <v>109985565.27270593</v>
      </c>
      <c r="I311" s="369"/>
      <c r="J311" s="350">
        <v>8929731.5639951136</v>
      </c>
      <c r="K311" s="350">
        <v>17763588.425378665</v>
      </c>
      <c r="L311" s="350">
        <v>26360714.468660053</v>
      </c>
      <c r="M311" s="350">
        <v>34714943.626386955</v>
      </c>
      <c r="N311" s="350">
        <v>42822160.083800256</v>
      </c>
      <c r="O311" s="348">
        <v>130591138.16822104</v>
      </c>
      <c r="P311" s="369"/>
      <c r="Q311" s="350">
        <f t="shared" si="141"/>
        <v>961189.4717092542</v>
      </c>
      <c r="R311" s="350">
        <f t="shared" si="142"/>
        <v>2833459.4184903987</v>
      </c>
      <c r="S311" s="350">
        <f t="shared" si="143"/>
        <v>4416617.8296401277</v>
      </c>
      <c r="T311" s="350">
        <f t="shared" si="144"/>
        <v>5703988.954760693</v>
      </c>
      <c r="U311" s="350">
        <f t="shared" si="145"/>
        <v>6690317.220914647</v>
      </c>
      <c r="V311" s="350">
        <f t="shared" si="146"/>
        <v>20605572.895515114</v>
      </c>
      <c r="W311" s="365"/>
      <c r="X311" s="377">
        <f t="shared" si="124"/>
        <v>0</v>
      </c>
      <c r="Y311" s="377">
        <f t="shared" si="125"/>
        <v>0</v>
      </c>
      <c r="Z311" s="377">
        <f t="shared" si="126"/>
        <v>0</v>
      </c>
      <c r="AA311" s="377">
        <f t="shared" si="127"/>
        <v>0</v>
      </c>
      <c r="AB311" s="377">
        <f t="shared" si="128"/>
        <v>0</v>
      </c>
      <c r="AC311" s="377">
        <f t="shared" si="129"/>
        <v>0</v>
      </c>
      <c r="AD311" s="376"/>
      <c r="AE311" s="332">
        <v>296</v>
      </c>
      <c r="AF311" s="350">
        <v>6156967.8002245324</v>
      </c>
      <c r="AG311" s="350">
        <v>12362287.33107323</v>
      </c>
      <c r="AH311" s="350">
        <v>18614569.051893581</v>
      </c>
      <c r="AI311" s="350">
        <v>24914020.27051774</v>
      </c>
      <c r="AJ311" s="350">
        <v>31261549.456399009</v>
      </c>
      <c r="AK311" s="348">
        <v>93309393.910108089</v>
      </c>
      <c r="AL311" s="369"/>
      <c r="AM311" s="350">
        <v>7235620.9909931719</v>
      </c>
      <c r="AN311" s="350">
        <v>15545863.523634098</v>
      </c>
      <c r="AO311" s="350">
        <v>23627284.100844719</v>
      </c>
      <c r="AP311" s="350">
        <v>31474960.195816092</v>
      </c>
      <c r="AQ311" s="350">
        <v>39086260.411917217</v>
      </c>
      <c r="AR311" s="348">
        <v>116969989.2232053</v>
      </c>
      <c r="AS311" s="369"/>
      <c r="AT311" s="350">
        <f t="shared" si="147"/>
        <v>1078653.1907686396</v>
      </c>
      <c r="AU311" s="350">
        <f t="shared" si="130"/>
        <v>3183576.1925608683</v>
      </c>
      <c r="AV311" s="350">
        <f t="shared" si="131"/>
        <v>5012715.0489511378</v>
      </c>
      <c r="AW311" s="350">
        <f t="shared" si="132"/>
        <v>6560939.9252983518</v>
      </c>
      <c r="AX311" s="350">
        <f t="shared" si="133"/>
        <v>7824710.9555182084</v>
      </c>
      <c r="AY311" s="350">
        <f t="shared" si="134"/>
        <v>23660595.313097209</v>
      </c>
      <c r="AZ311" s="365"/>
      <c r="BA311" s="377">
        <f t="shared" si="135"/>
        <v>0</v>
      </c>
      <c r="BB311" s="377">
        <f t="shared" si="136"/>
        <v>0</v>
      </c>
      <c r="BC311" s="377">
        <f t="shared" si="137"/>
        <v>0</v>
      </c>
      <c r="BD311" s="377">
        <f t="shared" si="138"/>
        <v>0</v>
      </c>
      <c r="BE311" s="377">
        <f t="shared" si="139"/>
        <v>0</v>
      </c>
      <c r="BF311" s="377">
        <f t="shared" si="140"/>
        <v>0</v>
      </c>
      <c r="BG311" s="328"/>
    </row>
    <row r="312" spans="2:59">
      <c r="B312" s="332">
        <v>297</v>
      </c>
      <c r="C312" s="350">
        <v>5890473.4929469367</v>
      </c>
      <c r="D312" s="350">
        <v>11053009.233479789</v>
      </c>
      <c r="E312" s="350">
        <v>16254394.582251344</v>
      </c>
      <c r="F312" s="350">
        <v>21495002.599360831</v>
      </c>
      <c r="G312" s="350">
        <v>26775676.36509899</v>
      </c>
      <c r="H312" s="348">
        <v>81468556.273137897</v>
      </c>
      <c r="I312" s="369"/>
      <c r="J312" s="350">
        <v>6885212.1226256238</v>
      </c>
      <c r="K312" s="350">
        <v>13990397.18726787</v>
      </c>
      <c r="L312" s="350">
        <v>20930607.217928723</v>
      </c>
      <c r="M312" s="350">
        <v>27701100.546395734</v>
      </c>
      <c r="N312" s="350">
        <v>34299020.689020231</v>
      </c>
      <c r="O312" s="348">
        <v>103806337.76323818</v>
      </c>
      <c r="P312" s="369"/>
      <c r="Q312" s="350">
        <f t="shared" si="141"/>
        <v>994738.62967868708</v>
      </c>
      <c r="R312" s="350">
        <f t="shared" si="142"/>
        <v>2937387.9537880812</v>
      </c>
      <c r="S312" s="350">
        <f t="shared" si="143"/>
        <v>4676212.6356773786</v>
      </c>
      <c r="T312" s="350">
        <f t="shared" si="144"/>
        <v>6206097.9470349029</v>
      </c>
      <c r="U312" s="350">
        <f t="shared" si="145"/>
        <v>7523344.3239212409</v>
      </c>
      <c r="V312" s="350">
        <f t="shared" si="146"/>
        <v>22337781.490100279</v>
      </c>
      <c r="W312" s="365"/>
      <c r="X312" s="377">
        <f t="shared" si="124"/>
        <v>0</v>
      </c>
      <c r="Y312" s="377">
        <f t="shared" si="125"/>
        <v>0</v>
      </c>
      <c r="Z312" s="377">
        <f t="shared" si="126"/>
        <v>0</v>
      </c>
      <c r="AA312" s="377">
        <f t="shared" si="127"/>
        <v>0</v>
      </c>
      <c r="AB312" s="377">
        <f t="shared" si="128"/>
        <v>0</v>
      </c>
      <c r="AC312" s="377">
        <f t="shared" si="129"/>
        <v>0</v>
      </c>
      <c r="AD312" s="376"/>
      <c r="AE312" s="332">
        <v>297</v>
      </c>
      <c r="AF312" s="350">
        <v>5581796.47693126</v>
      </c>
      <c r="AG312" s="350">
        <v>11207427.764829315</v>
      </c>
      <c r="AH312" s="350">
        <v>16875634.131083831</v>
      </c>
      <c r="AI312" s="350">
        <v>22586603.517253816</v>
      </c>
      <c r="AJ312" s="350">
        <v>28341159.525436662</v>
      </c>
      <c r="AK312" s="348">
        <v>84592621.415534884</v>
      </c>
      <c r="AL312" s="369"/>
      <c r="AM312" s="350">
        <v>6399961.25323126</v>
      </c>
      <c r="AN312" s="350">
        <v>13619909.742074914</v>
      </c>
      <c r="AO312" s="350">
        <v>20627628.604466654</v>
      </c>
      <c r="AP312" s="350">
        <v>27418700.341515902</v>
      </c>
      <c r="AQ312" s="350">
        <v>33990577.614481255</v>
      </c>
      <c r="AR312" s="348">
        <v>102056777.55576998</v>
      </c>
      <c r="AS312" s="369"/>
      <c r="AT312" s="350">
        <f t="shared" si="147"/>
        <v>818164.77630000003</v>
      </c>
      <c r="AU312" s="350">
        <f t="shared" si="130"/>
        <v>2412481.977245599</v>
      </c>
      <c r="AV312" s="350">
        <f t="shared" si="131"/>
        <v>3751994.4733828232</v>
      </c>
      <c r="AW312" s="350">
        <f t="shared" si="132"/>
        <v>4832096.8242620863</v>
      </c>
      <c r="AX312" s="350">
        <f t="shared" si="133"/>
        <v>5649418.0890445933</v>
      </c>
      <c r="AY312" s="350">
        <f t="shared" si="134"/>
        <v>17464156.140235096</v>
      </c>
      <c r="AZ312" s="365"/>
      <c r="BA312" s="377">
        <f t="shared" si="135"/>
        <v>0</v>
      </c>
      <c r="BB312" s="377">
        <f t="shared" si="136"/>
        <v>0</v>
      </c>
      <c r="BC312" s="377">
        <f t="shared" si="137"/>
        <v>0</v>
      </c>
      <c r="BD312" s="377">
        <f t="shared" si="138"/>
        <v>0</v>
      </c>
      <c r="BE312" s="377">
        <f t="shared" si="139"/>
        <v>0</v>
      </c>
      <c r="BF312" s="377">
        <f t="shared" si="140"/>
        <v>0</v>
      </c>
      <c r="BG312" s="328"/>
    </row>
    <row r="313" spans="2:59">
      <c r="B313" s="332">
        <v>298</v>
      </c>
      <c r="C313" s="350">
        <v>7700538.1994795036</v>
      </c>
      <c r="D313" s="350">
        <v>14323165.293448042</v>
      </c>
      <c r="E313" s="350">
        <v>20995588.208095305</v>
      </c>
      <c r="F313" s="350">
        <v>27718323.141310759</v>
      </c>
      <c r="G313" s="350">
        <v>34492467.988660946</v>
      </c>
      <c r="H313" s="348">
        <v>105230082.83099456</v>
      </c>
      <c r="I313" s="369"/>
      <c r="J313" s="350">
        <v>8893665.9631357789</v>
      </c>
      <c r="K313" s="350">
        <v>17845315.604487557</v>
      </c>
      <c r="L313" s="350">
        <v>26584892.648528658</v>
      </c>
      <c r="M313" s="350">
        <v>35106287.910572946</v>
      </c>
      <c r="N313" s="350">
        <v>43405678.535521895</v>
      </c>
      <c r="O313" s="348">
        <v>131835840.66224684</v>
      </c>
      <c r="P313" s="369"/>
      <c r="Q313" s="350">
        <f t="shared" si="141"/>
        <v>1193127.7636562753</v>
      </c>
      <c r="R313" s="350">
        <f t="shared" si="142"/>
        <v>3522150.3110395148</v>
      </c>
      <c r="S313" s="350">
        <f t="shared" si="143"/>
        <v>5589304.4404333532</v>
      </c>
      <c r="T313" s="350">
        <f t="shared" si="144"/>
        <v>7387964.7692621872</v>
      </c>
      <c r="U313" s="350">
        <f t="shared" si="145"/>
        <v>8913210.5468609482</v>
      </c>
      <c r="V313" s="350">
        <f t="shared" si="146"/>
        <v>26605757.831252277</v>
      </c>
      <c r="W313" s="365"/>
      <c r="X313" s="377">
        <f t="shared" si="124"/>
        <v>0</v>
      </c>
      <c r="Y313" s="377">
        <f t="shared" si="125"/>
        <v>0</v>
      </c>
      <c r="Z313" s="377">
        <f t="shared" si="126"/>
        <v>0</v>
      </c>
      <c r="AA313" s="377">
        <f t="shared" si="127"/>
        <v>0</v>
      </c>
      <c r="AB313" s="377">
        <f t="shared" si="128"/>
        <v>0</v>
      </c>
      <c r="AC313" s="377">
        <f t="shared" si="129"/>
        <v>0</v>
      </c>
      <c r="AD313" s="376"/>
      <c r="AE313" s="332">
        <v>298</v>
      </c>
      <c r="AF313" s="350">
        <v>8383628.1423580432</v>
      </c>
      <c r="AG313" s="350">
        <v>16833094.363254953</v>
      </c>
      <c r="AH313" s="350">
        <v>25346506.59625522</v>
      </c>
      <c r="AI313" s="350">
        <v>33924147.121830687</v>
      </c>
      <c r="AJ313" s="350">
        <v>42567252.956370309</v>
      </c>
      <c r="AK313" s="348">
        <v>127054629.18006921</v>
      </c>
      <c r="AL313" s="369"/>
      <c r="AM313" s="350">
        <v>10150899.700379409</v>
      </c>
      <c r="AN313" s="350">
        <v>22053343.766097613</v>
      </c>
      <c r="AO313" s="350">
        <v>33653153.586955078</v>
      </c>
      <c r="AP313" s="350">
        <v>44943541.976116821</v>
      </c>
      <c r="AQ313" s="350">
        <v>55921228.230893649</v>
      </c>
      <c r="AR313" s="348">
        <v>166722167.26044255</v>
      </c>
      <c r="AS313" s="369"/>
      <c r="AT313" s="350">
        <f t="shared" si="147"/>
        <v>1767271.5580213657</v>
      </c>
      <c r="AU313" s="350">
        <f t="shared" si="130"/>
        <v>5220249.4028426595</v>
      </c>
      <c r="AV313" s="350">
        <f t="shared" si="131"/>
        <v>8306646.9906998575</v>
      </c>
      <c r="AW313" s="350">
        <f t="shared" si="132"/>
        <v>11019394.854286134</v>
      </c>
      <c r="AX313" s="350">
        <f t="shared" si="133"/>
        <v>13353975.27452334</v>
      </c>
      <c r="AY313" s="350">
        <f t="shared" si="134"/>
        <v>39667538.080373347</v>
      </c>
      <c r="AZ313" s="365"/>
      <c r="BA313" s="377">
        <f t="shared" si="135"/>
        <v>0</v>
      </c>
      <c r="BB313" s="377">
        <f t="shared" si="136"/>
        <v>0</v>
      </c>
      <c r="BC313" s="377">
        <f t="shared" si="137"/>
        <v>0</v>
      </c>
      <c r="BD313" s="377">
        <f t="shared" si="138"/>
        <v>0</v>
      </c>
      <c r="BE313" s="377">
        <f t="shared" si="139"/>
        <v>0</v>
      </c>
      <c r="BF313" s="377">
        <f t="shared" si="140"/>
        <v>0</v>
      </c>
      <c r="BG313" s="328"/>
    </row>
    <row r="314" spans="2:59">
      <c r="B314" s="332">
        <v>299</v>
      </c>
      <c r="C314" s="350">
        <v>5374549.9574066456</v>
      </c>
      <c r="D314" s="350">
        <v>10202087.298938029</v>
      </c>
      <c r="E314" s="350">
        <v>15065991.703325639</v>
      </c>
      <c r="F314" s="350">
        <v>19966577.112650305</v>
      </c>
      <c r="G314" s="350">
        <v>24904616.710193016</v>
      </c>
      <c r="H314" s="348">
        <v>75513822.782513633</v>
      </c>
      <c r="I314" s="369"/>
      <c r="J314" s="350">
        <v>6025304.5286354618</v>
      </c>
      <c r="K314" s="350">
        <v>12120136.950767165</v>
      </c>
      <c r="L314" s="350">
        <v>18053379.125496864</v>
      </c>
      <c r="M314" s="350">
        <v>23820593.492804956</v>
      </c>
      <c r="N314" s="350">
        <v>29418761.340223789</v>
      </c>
      <c r="O314" s="348">
        <v>89438175.437928244</v>
      </c>
      <c r="P314" s="369"/>
      <c r="Q314" s="350">
        <f t="shared" si="141"/>
        <v>650754.57122881617</v>
      </c>
      <c r="R314" s="350">
        <f t="shared" si="142"/>
        <v>1918049.6518291365</v>
      </c>
      <c r="S314" s="350">
        <f t="shared" si="143"/>
        <v>2987387.4221712258</v>
      </c>
      <c r="T314" s="350">
        <f t="shared" si="144"/>
        <v>3854016.3801546507</v>
      </c>
      <c r="U314" s="350">
        <f t="shared" si="145"/>
        <v>4514144.6300307736</v>
      </c>
      <c r="V314" s="350">
        <f t="shared" si="146"/>
        <v>13924352.655414611</v>
      </c>
      <c r="W314" s="365"/>
      <c r="X314" s="377">
        <f t="shared" si="124"/>
        <v>0</v>
      </c>
      <c r="Y314" s="377">
        <f t="shared" si="125"/>
        <v>0</v>
      </c>
      <c r="Z314" s="377">
        <f t="shared" si="126"/>
        <v>0</v>
      </c>
      <c r="AA314" s="377">
        <f t="shared" si="127"/>
        <v>0</v>
      </c>
      <c r="AB314" s="377">
        <f t="shared" si="128"/>
        <v>0</v>
      </c>
      <c r="AC314" s="377">
        <f t="shared" si="129"/>
        <v>0</v>
      </c>
      <c r="AD314" s="376"/>
      <c r="AE314" s="332">
        <v>299</v>
      </c>
      <c r="AF314" s="350">
        <v>5671596.46544501</v>
      </c>
      <c r="AG314" s="350">
        <v>11387732.956663124</v>
      </c>
      <c r="AH314" s="350">
        <v>17147129.474455208</v>
      </c>
      <c r="AI314" s="350">
        <v>22949976.983985648</v>
      </c>
      <c r="AJ314" s="350">
        <v>28797112.337469287</v>
      </c>
      <c r="AK314" s="348">
        <v>85953548.218018278</v>
      </c>
      <c r="AL314" s="369"/>
      <c r="AM314" s="350">
        <v>6644123.7945623957</v>
      </c>
      <c r="AN314" s="350">
        <v>14257784.436279021</v>
      </c>
      <c r="AO314" s="350">
        <v>21660030.081403155</v>
      </c>
      <c r="AP314" s="350">
        <v>28846332.225712575</v>
      </c>
      <c r="AQ314" s="350">
        <v>35814245.551266789</v>
      </c>
      <c r="AR314" s="348">
        <v>107222516.08922394</v>
      </c>
      <c r="AS314" s="369"/>
      <c r="AT314" s="350">
        <f t="shared" si="147"/>
        <v>972527.32911738567</v>
      </c>
      <c r="AU314" s="350">
        <f t="shared" si="130"/>
        <v>2870051.4796158969</v>
      </c>
      <c r="AV314" s="350">
        <f t="shared" si="131"/>
        <v>4512900.6069479473</v>
      </c>
      <c r="AW314" s="350">
        <f t="shared" si="132"/>
        <v>5896355.2417269275</v>
      </c>
      <c r="AX314" s="350">
        <f t="shared" si="133"/>
        <v>7017133.2137975022</v>
      </c>
      <c r="AY314" s="350">
        <f t="shared" si="134"/>
        <v>21268967.871205658</v>
      </c>
      <c r="AZ314" s="365"/>
      <c r="BA314" s="377">
        <f t="shared" si="135"/>
        <v>0</v>
      </c>
      <c r="BB314" s="377">
        <f t="shared" si="136"/>
        <v>0</v>
      </c>
      <c r="BC314" s="377">
        <f t="shared" si="137"/>
        <v>0</v>
      </c>
      <c r="BD314" s="377">
        <f t="shared" si="138"/>
        <v>0</v>
      </c>
      <c r="BE314" s="377">
        <f t="shared" si="139"/>
        <v>0</v>
      </c>
      <c r="BF314" s="377">
        <f t="shared" si="140"/>
        <v>0</v>
      </c>
      <c r="BG314" s="328"/>
    </row>
    <row r="315" spans="2:59">
      <c r="B315" s="332">
        <v>300</v>
      </c>
      <c r="C315" s="350">
        <v>7205843.5608290825</v>
      </c>
      <c r="D315" s="350">
        <v>13798551.948039547</v>
      </c>
      <c r="E315" s="350">
        <v>20440963.353718679</v>
      </c>
      <c r="F315" s="350">
        <v>27133471.549034417</v>
      </c>
      <c r="G315" s="350">
        <v>33877117.21666643</v>
      </c>
      <c r="H315" s="348">
        <v>102455947.62828815</v>
      </c>
      <c r="I315" s="369"/>
      <c r="J315" s="350">
        <v>7967033.1586597469</v>
      </c>
      <c r="K315" s="350">
        <v>16039766.139270831</v>
      </c>
      <c r="L315" s="350">
        <v>23884292.663171053</v>
      </c>
      <c r="M315" s="350">
        <v>31494699.805948496</v>
      </c>
      <c r="N315" s="350">
        <v>38866872.590370744</v>
      </c>
      <c r="O315" s="348">
        <v>118252664.35742086</v>
      </c>
      <c r="P315" s="369"/>
      <c r="Q315" s="350">
        <f t="shared" si="141"/>
        <v>761189.59783066437</v>
      </c>
      <c r="R315" s="350">
        <f t="shared" si="142"/>
        <v>2241214.1912312843</v>
      </c>
      <c r="S315" s="350">
        <f t="shared" si="143"/>
        <v>3443329.3094523735</v>
      </c>
      <c r="T315" s="350">
        <f t="shared" si="144"/>
        <v>4361228.2569140792</v>
      </c>
      <c r="U315" s="350">
        <f t="shared" si="145"/>
        <v>4989755.3737043142</v>
      </c>
      <c r="V315" s="350">
        <f t="shared" si="146"/>
        <v>15796716.729132712</v>
      </c>
      <c r="W315" s="365"/>
      <c r="X315" s="377">
        <f t="shared" si="124"/>
        <v>0</v>
      </c>
      <c r="Y315" s="377">
        <f t="shared" si="125"/>
        <v>0</v>
      </c>
      <c r="Z315" s="377">
        <f t="shared" si="126"/>
        <v>0</v>
      </c>
      <c r="AA315" s="377">
        <f t="shared" si="127"/>
        <v>0</v>
      </c>
      <c r="AB315" s="377">
        <f t="shared" si="128"/>
        <v>0</v>
      </c>
      <c r="AC315" s="377">
        <f t="shared" si="129"/>
        <v>0</v>
      </c>
      <c r="AD315" s="376"/>
      <c r="AE315" s="332">
        <v>300</v>
      </c>
      <c r="AF315" s="350">
        <v>7344846.963073913</v>
      </c>
      <c r="AG315" s="350">
        <v>14747374.276826503</v>
      </c>
      <c r="AH315" s="350">
        <v>22205924.313059472</v>
      </c>
      <c r="AI315" s="350">
        <v>29720744.37602238</v>
      </c>
      <c r="AJ315" s="350">
        <v>37292918.208447307</v>
      </c>
      <c r="AK315" s="348">
        <v>111311808.13742958</v>
      </c>
      <c r="AL315" s="369"/>
      <c r="AM315" s="350">
        <v>8279945.5686206333</v>
      </c>
      <c r="AN315" s="350">
        <v>17502240.027214542</v>
      </c>
      <c r="AO315" s="350">
        <v>26441032.956540726</v>
      </c>
      <c r="AP315" s="350">
        <v>35090551.577420466</v>
      </c>
      <c r="AQ315" s="350">
        <v>43447300.660304025</v>
      </c>
      <c r="AR315" s="348">
        <v>130761070.79010038</v>
      </c>
      <c r="AS315" s="369"/>
      <c r="AT315" s="350">
        <f t="shared" si="147"/>
        <v>935098.60554672033</v>
      </c>
      <c r="AU315" s="350">
        <f t="shared" si="130"/>
        <v>2754865.7503880393</v>
      </c>
      <c r="AV315" s="350">
        <f t="shared" si="131"/>
        <v>4235108.6434812546</v>
      </c>
      <c r="AW315" s="350">
        <f t="shared" si="132"/>
        <v>5369807.2013980858</v>
      </c>
      <c r="AX315" s="350">
        <f t="shared" si="133"/>
        <v>6154382.4518567175</v>
      </c>
      <c r="AY315" s="350">
        <f t="shared" si="134"/>
        <v>19449262.652670801</v>
      </c>
      <c r="AZ315" s="365"/>
      <c r="BA315" s="377">
        <f t="shared" si="135"/>
        <v>0</v>
      </c>
      <c r="BB315" s="377">
        <f t="shared" si="136"/>
        <v>0</v>
      </c>
      <c r="BC315" s="377">
        <f t="shared" si="137"/>
        <v>0</v>
      </c>
      <c r="BD315" s="377">
        <f t="shared" si="138"/>
        <v>0</v>
      </c>
      <c r="BE315" s="377">
        <f t="shared" si="139"/>
        <v>0</v>
      </c>
      <c r="BF315" s="377">
        <f t="shared" si="140"/>
        <v>0</v>
      </c>
      <c r="BG315" s="328"/>
    </row>
    <row r="316" spans="2:59">
      <c r="B316" s="332">
        <v>301</v>
      </c>
      <c r="C316" s="350">
        <v>6138648.6101839244</v>
      </c>
      <c r="D316" s="350">
        <v>11506641.792487755</v>
      </c>
      <c r="E316" s="350">
        <v>16915026.760622621</v>
      </c>
      <c r="F316" s="350">
        <v>22364195.011482902</v>
      </c>
      <c r="G316" s="350">
        <v>27855024.740009341</v>
      </c>
      <c r="H316" s="348">
        <v>84779536.914786547</v>
      </c>
      <c r="I316" s="369"/>
      <c r="J316" s="350">
        <v>6864732.2389021758</v>
      </c>
      <c r="K316" s="350">
        <v>13646770.448483439</v>
      </c>
      <c r="L316" s="350">
        <v>20243495.736848753</v>
      </c>
      <c r="M316" s="350">
        <v>26650248.030307483</v>
      </c>
      <c r="N316" s="350">
        <v>32863933.085662674</v>
      </c>
      <c r="O316" s="348">
        <v>100269179.54020452</v>
      </c>
      <c r="P316" s="369"/>
      <c r="Q316" s="350">
        <f t="shared" si="141"/>
        <v>726083.62871825136</v>
      </c>
      <c r="R316" s="350">
        <f t="shared" si="142"/>
        <v>2140128.6559956837</v>
      </c>
      <c r="S316" s="350">
        <f t="shared" si="143"/>
        <v>3328468.9762261324</v>
      </c>
      <c r="T316" s="350">
        <f t="shared" si="144"/>
        <v>4286053.0188245811</v>
      </c>
      <c r="U316" s="350">
        <f t="shared" si="145"/>
        <v>5008908.3456533328</v>
      </c>
      <c r="V316" s="350">
        <f t="shared" si="146"/>
        <v>15489642.625417978</v>
      </c>
      <c r="W316" s="365"/>
      <c r="X316" s="377">
        <f t="shared" si="124"/>
        <v>0</v>
      </c>
      <c r="Y316" s="377">
        <f t="shared" si="125"/>
        <v>0</v>
      </c>
      <c r="Z316" s="377">
        <f t="shared" si="126"/>
        <v>0</v>
      </c>
      <c r="AA316" s="377">
        <f t="shared" si="127"/>
        <v>0</v>
      </c>
      <c r="AB316" s="377">
        <f t="shared" si="128"/>
        <v>0</v>
      </c>
      <c r="AC316" s="377">
        <f t="shared" si="129"/>
        <v>0</v>
      </c>
      <c r="AD316" s="376"/>
      <c r="AE316" s="332">
        <v>301</v>
      </c>
      <c r="AF316" s="350">
        <v>5760729.3349253247</v>
      </c>
      <c r="AG316" s="350">
        <v>11566698.671429167</v>
      </c>
      <c r="AH316" s="350">
        <v>17416607.894282937</v>
      </c>
      <c r="AI316" s="350">
        <v>23310650.96979421</v>
      </c>
      <c r="AJ316" s="350">
        <v>29249677.901860896</v>
      </c>
      <c r="AK316" s="348">
        <v>87304364.772292539</v>
      </c>
      <c r="AL316" s="369"/>
      <c r="AM316" s="350">
        <v>6876065.4414597498</v>
      </c>
      <c r="AN316" s="350">
        <v>14860056.216197884</v>
      </c>
      <c r="AO316" s="350">
        <v>22633128.878690869</v>
      </c>
      <c r="AP316" s="350">
        <v>30190647.687529787</v>
      </c>
      <c r="AQ316" s="350">
        <v>37530258.047791995</v>
      </c>
      <c r="AR316" s="348">
        <v>112090156.27167028</v>
      </c>
      <c r="AS316" s="369"/>
      <c r="AT316" s="350">
        <f t="shared" si="147"/>
        <v>1115336.1065344252</v>
      </c>
      <c r="AU316" s="350">
        <f t="shared" si="130"/>
        <v>3293357.5447687171</v>
      </c>
      <c r="AV316" s="350">
        <f t="shared" si="131"/>
        <v>5216520.9844079316</v>
      </c>
      <c r="AW316" s="350">
        <f t="shared" si="132"/>
        <v>6879996.7177355774</v>
      </c>
      <c r="AX316" s="350">
        <f t="shared" si="133"/>
        <v>8280580.1459310986</v>
      </c>
      <c r="AY316" s="350">
        <f t="shared" si="134"/>
        <v>24785791.499377742</v>
      </c>
      <c r="AZ316" s="365"/>
      <c r="BA316" s="377">
        <f t="shared" si="135"/>
        <v>0</v>
      </c>
      <c r="BB316" s="377">
        <f t="shared" si="136"/>
        <v>0</v>
      </c>
      <c r="BC316" s="377">
        <f t="shared" si="137"/>
        <v>0</v>
      </c>
      <c r="BD316" s="377">
        <f t="shared" si="138"/>
        <v>0</v>
      </c>
      <c r="BE316" s="377">
        <f t="shared" si="139"/>
        <v>0</v>
      </c>
      <c r="BF316" s="377">
        <f t="shared" si="140"/>
        <v>0</v>
      </c>
      <c r="BG316" s="328"/>
    </row>
    <row r="317" spans="2:59">
      <c r="B317" s="332">
        <v>302</v>
      </c>
      <c r="C317" s="350">
        <v>7290818.4834546726</v>
      </c>
      <c r="D317" s="350">
        <v>13870082.488816727</v>
      </c>
      <c r="E317" s="350">
        <v>20498919.513356585</v>
      </c>
      <c r="F317" s="350">
        <v>27177748.551837407</v>
      </c>
      <c r="G317" s="350">
        <v>33907619.488820292</v>
      </c>
      <c r="H317" s="348">
        <v>102745188.52628568</v>
      </c>
      <c r="I317" s="369"/>
      <c r="J317" s="350">
        <v>8306432.4749036795</v>
      </c>
      <c r="K317" s="350">
        <v>16865889.05873929</v>
      </c>
      <c r="L317" s="350">
        <v>25207961.515767775</v>
      </c>
      <c r="M317" s="350">
        <v>33326604.749186315</v>
      </c>
      <c r="N317" s="350">
        <v>41217880.847671874</v>
      </c>
      <c r="O317" s="348">
        <v>124924768.64626893</v>
      </c>
      <c r="P317" s="369"/>
      <c r="Q317" s="350">
        <f t="shared" si="141"/>
        <v>1015613.9914490068</v>
      </c>
      <c r="R317" s="350">
        <f t="shared" si="142"/>
        <v>2995806.5699225627</v>
      </c>
      <c r="S317" s="350">
        <f t="shared" si="143"/>
        <v>4709042.0024111904</v>
      </c>
      <c r="T317" s="350">
        <f t="shared" si="144"/>
        <v>6148856.1973489076</v>
      </c>
      <c r="U317" s="350">
        <f t="shared" si="145"/>
        <v>7310261.3588515818</v>
      </c>
      <c r="V317" s="350">
        <f t="shared" si="146"/>
        <v>22179580.119983256</v>
      </c>
      <c r="W317" s="365"/>
      <c r="X317" s="377">
        <f t="shared" si="124"/>
        <v>0</v>
      </c>
      <c r="Y317" s="377">
        <f t="shared" si="125"/>
        <v>0</v>
      </c>
      <c r="Z317" s="377">
        <f t="shared" si="126"/>
        <v>0</v>
      </c>
      <c r="AA317" s="377">
        <f t="shared" si="127"/>
        <v>0</v>
      </c>
      <c r="AB317" s="377">
        <f t="shared" si="128"/>
        <v>0</v>
      </c>
      <c r="AC317" s="377">
        <f t="shared" si="129"/>
        <v>0</v>
      </c>
      <c r="AD317" s="376"/>
      <c r="AE317" s="332">
        <v>302</v>
      </c>
      <c r="AF317" s="350">
        <v>5015827.9586668527</v>
      </c>
      <c r="AG317" s="350">
        <v>10071046.079859123</v>
      </c>
      <c r="AH317" s="350">
        <v>15164522.362065565</v>
      </c>
      <c r="AI317" s="350">
        <v>20296425.690434564</v>
      </c>
      <c r="AJ317" s="350">
        <v>25467496.157594718</v>
      </c>
      <c r="AK317" s="348">
        <v>76015318.248620823</v>
      </c>
      <c r="AL317" s="369"/>
      <c r="AM317" s="350">
        <v>5817254.2112372154</v>
      </c>
      <c r="AN317" s="350">
        <v>12435301.432367228</v>
      </c>
      <c r="AO317" s="350">
        <v>18864621.434793562</v>
      </c>
      <c r="AP317" s="350">
        <v>25101225.904351309</v>
      </c>
      <c r="AQ317" s="350">
        <v>31142892.855700936</v>
      </c>
      <c r="AR317" s="348">
        <v>93361295.838450253</v>
      </c>
      <c r="AS317" s="369"/>
      <c r="AT317" s="350">
        <f t="shared" si="147"/>
        <v>801426.25257036276</v>
      </c>
      <c r="AU317" s="350">
        <f t="shared" si="130"/>
        <v>2364255.3525081053</v>
      </c>
      <c r="AV317" s="350">
        <f t="shared" si="131"/>
        <v>3700099.0727279969</v>
      </c>
      <c r="AW317" s="350">
        <f t="shared" si="132"/>
        <v>4804800.213916745</v>
      </c>
      <c r="AX317" s="350">
        <f t="shared" si="133"/>
        <v>5675396.6981062181</v>
      </c>
      <c r="AY317" s="350">
        <f t="shared" si="134"/>
        <v>17345977.58982943</v>
      </c>
      <c r="AZ317" s="365"/>
      <c r="BA317" s="377">
        <f t="shared" si="135"/>
        <v>0</v>
      </c>
      <c r="BB317" s="377">
        <f t="shared" si="136"/>
        <v>0</v>
      </c>
      <c r="BC317" s="377">
        <f t="shared" si="137"/>
        <v>0</v>
      </c>
      <c r="BD317" s="377">
        <f t="shared" si="138"/>
        <v>0</v>
      </c>
      <c r="BE317" s="377">
        <f t="shared" si="139"/>
        <v>0</v>
      </c>
      <c r="BF317" s="377">
        <f t="shared" si="140"/>
        <v>0</v>
      </c>
      <c r="BG317" s="328"/>
    </row>
    <row r="318" spans="2:59">
      <c r="B318" s="332">
        <v>303</v>
      </c>
      <c r="C318" s="350">
        <v>5660190.3512606677</v>
      </c>
      <c r="D318" s="350">
        <v>10654721.468580632</v>
      </c>
      <c r="E318" s="350">
        <v>15686848.99858848</v>
      </c>
      <c r="F318" s="350">
        <v>20756923.78412392</v>
      </c>
      <c r="G318" s="350">
        <v>25865757.084705703</v>
      </c>
      <c r="H318" s="348">
        <v>78624441.687259406</v>
      </c>
      <c r="I318" s="369"/>
      <c r="J318" s="350">
        <v>6769966.7490930837</v>
      </c>
      <c r="K318" s="350">
        <v>13933704.230657527</v>
      </c>
      <c r="L318" s="350">
        <v>20943123.236963771</v>
      </c>
      <c r="M318" s="350">
        <v>27793561.653679721</v>
      </c>
      <c r="N318" s="350">
        <v>34482376.734606281</v>
      </c>
      <c r="O318" s="348">
        <v>103922732.60500039</v>
      </c>
      <c r="P318" s="369"/>
      <c r="Q318" s="350">
        <f t="shared" si="141"/>
        <v>1109776.397832416</v>
      </c>
      <c r="R318" s="350">
        <f t="shared" si="142"/>
        <v>3278982.7620768957</v>
      </c>
      <c r="S318" s="350">
        <f t="shared" si="143"/>
        <v>5256274.2383752912</v>
      </c>
      <c r="T318" s="350">
        <f t="shared" si="144"/>
        <v>7036637.8695558012</v>
      </c>
      <c r="U318" s="350">
        <f t="shared" si="145"/>
        <v>8616619.649900578</v>
      </c>
      <c r="V318" s="350">
        <f t="shared" si="146"/>
        <v>25298290.917740986</v>
      </c>
      <c r="W318" s="365"/>
      <c r="X318" s="377">
        <f t="shared" si="124"/>
        <v>0</v>
      </c>
      <c r="Y318" s="377">
        <f t="shared" si="125"/>
        <v>0</v>
      </c>
      <c r="Z318" s="377">
        <f t="shared" si="126"/>
        <v>0</v>
      </c>
      <c r="AA318" s="377">
        <f t="shared" si="127"/>
        <v>0</v>
      </c>
      <c r="AB318" s="377">
        <f t="shared" si="128"/>
        <v>0</v>
      </c>
      <c r="AC318" s="377">
        <f t="shared" si="129"/>
        <v>0</v>
      </c>
      <c r="AD318" s="376"/>
      <c r="AE318" s="332">
        <v>303</v>
      </c>
      <c r="AF318" s="350">
        <v>6239624.330072226</v>
      </c>
      <c r="AG318" s="350">
        <v>12528249.506761296</v>
      </c>
      <c r="AH318" s="350">
        <v>18864467.335003607</v>
      </c>
      <c r="AI318" s="350">
        <v>25248487.905713268</v>
      </c>
      <c r="AJ318" s="350">
        <v>31681231.884433433</v>
      </c>
      <c r="AK318" s="348">
        <v>94562060.96198383</v>
      </c>
      <c r="AL318" s="369"/>
      <c r="AM318" s="350">
        <v>7543217.8625891525</v>
      </c>
      <c r="AN318" s="350">
        <v>16378726.056797016</v>
      </c>
      <c r="AO318" s="350">
        <v>24988643.719263613</v>
      </c>
      <c r="AP318" s="350">
        <v>33367922.713098269</v>
      </c>
      <c r="AQ318" s="350">
        <v>41514109.461688086</v>
      </c>
      <c r="AR318" s="348">
        <v>123792619.81343614</v>
      </c>
      <c r="AS318" s="369"/>
      <c r="AT318" s="350">
        <f t="shared" si="147"/>
        <v>1303593.5325169265</v>
      </c>
      <c r="AU318" s="350">
        <f t="shared" si="130"/>
        <v>3850476.5500357207</v>
      </c>
      <c r="AV318" s="350">
        <f t="shared" si="131"/>
        <v>6124176.3842600062</v>
      </c>
      <c r="AW318" s="350">
        <f t="shared" si="132"/>
        <v>8119434.8073850013</v>
      </c>
      <c r="AX318" s="350">
        <f t="shared" si="133"/>
        <v>9832877.577254653</v>
      </c>
      <c r="AY318" s="350">
        <f t="shared" si="134"/>
        <v>29230558.851452306</v>
      </c>
      <c r="AZ318" s="365"/>
      <c r="BA318" s="377">
        <f t="shared" si="135"/>
        <v>0</v>
      </c>
      <c r="BB318" s="377">
        <f t="shared" si="136"/>
        <v>0</v>
      </c>
      <c r="BC318" s="377">
        <f t="shared" si="137"/>
        <v>0</v>
      </c>
      <c r="BD318" s="377">
        <f t="shared" si="138"/>
        <v>0</v>
      </c>
      <c r="BE318" s="377">
        <f t="shared" si="139"/>
        <v>0</v>
      </c>
      <c r="BF318" s="377">
        <f t="shared" si="140"/>
        <v>0</v>
      </c>
      <c r="BG318" s="328"/>
    </row>
    <row r="319" spans="2:59">
      <c r="B319" s="332">
        <v>304</v>
      </c>
      <c r="C319" s="350">
        <v>6339330.9263347154</v>
      </c>
      <c r="D319" s="350">
        <v>12002655.407522548</v>
      </c>
      <c r="E319" s="350">
        <v>17708633.29448837</v>
      </c>
      <c r="F319" s="350">
        <v>23457641.835930057</v>
      </c>
      <c r="G319" s="350">
        <v>29250591.971561469</v>
      </c>
      <c r="H319" s="348">
        <v>88758853.435837165</v>
      </c>
      <c r="I319" s="369"/>
      <c r="J319" s="350">
        <v>7199130.6272497354</v>
      </c>
      <c r="K319" s="350">
        <v>14538604.63945117</v>
      </c>
      <c r="L319" s="350">
        <v>21688260.373538464</v>
      </c>
      <c r="M319" s="350">
        <v>28642992.111500833</v>
      </c>
      <c r="N319" s="350">
        <v>35399483.182021126</v>
      </c>
      <c r="O319" s="348">
        <v>107468470.93376133</v>
      </c>
      <c r="P319" s="369"/>
      <c r="Q319" s="350">
        <f t="shared" si="141"/>
        <v>859799.70091501996</v>
      </c>
      <c r="R319" s="350">
        <f t="shared" si="142"/>
        <v>2535949.2319286224</v>
      </c>
      <c r="S319" s="350">
        <f t="shared" si="143"/>
        <v>3979627.0790500939</v>
      </c>
      <c r="T319" s="350">
        <f t="shared" si="144"/>
        <v>5185350.2755707763</v>
      </c>
      <c r="U319" s="350">
        <f t="shared" si="145"/>
        <v>6148891.210459657</v>
      </c>
      <c r="V319" s="350">
        <f t="shared" si="146"/>
        <v>18709617.497924164</v>
      </c>
      <c r="W319" s="365"/>
      <c r="X319" s="377">
        <f t="shared" si="124"/>
        <v>0</v>
      </c>
      <c r="Y319" s="377">
        <f t="shared" si="125"/>
        <v>0</v>
      </c>
      <c r="Z319" s="377">
        <f t="shared" si="126"/>
        <v>0</v>
      </c>
      <c r="AA319" s="377">
        <f t="shared" si="127"/>
        <v>0</v>
      </c>
      <c r="AB319" s="377">
        <f t="shared" si="128"/>
        <v>0</v>
      </c>
      <c r="AC319" s="377">
        <f t="shared" si="129"/>
        <v>0</v>
      </c>
      <c r="AD319" s="376"/>
      <c r="AE319" s="332">
        <v>304</v>
      </c>
      <c r="AF319" s="350">
        <v>8575443.6079843119</v>
      </c>
      <c r="AG319" s="350">
        <v>17218231.654460058</v>
      </c>
      <c r="AH319" s="350">
        <v>25926428.78295093</v>
      </c>
      <c r="AI319" s="350">
        <v>34700323.732440434</v>
      </c>
      <c r="AJ319" s="350">
        <v>43541181.821965337</v>
      </c>
      <c r="AK319" s="348">
        <v>129961609.59980106</v>
      </c>
      <c r="AL319" s="369"/>
      <c r="AM319" s="350">
        <v>10267640.938549988</v>
      </c>
      <c r="AN319" s="350">
        <v>22215353.405917287</v>
      </c>
      <c r="AO319" s="350">
        <v>33850047.896464422</v>
      </c>
      <c r="AP319" s="350">
        <v>45164814.604324408</v>
      </c>
      <c r="AQ319" s="350">
        <v>56156180.781563997</v>
      </c>
      <c r="AR319" s="348">
        <v>167654037.62682009</v>
      </c>
      <c r="AS319" s="369"/>
      <c r="AT319" s="350">
        <f t="shared" si="147"/>
        <v>1692197.3305656761</v>
      </c>
      <c r="AU319" s="350">
        <f t="shared" si="130"/>
        <v>4997121.7514572293</v>
      </c>
      <c r="AV319" s="350">
        <f t="shared" si="131"/>
        <v>7923619.113513492</v>
      </c>
      <c r="AW319" s="350">
        <f t="shared" si="132"/>
        <v>10464490.871883973</v>
      </c>
      <c r="AX319" s="350">
        <f t="shared" si="133"/>
        <v>12614998.95959866</v>
      </c>
      <c r="AY319" s="350">
        <f t="shared" si="134"/>
        <v>37692428.027019024</v>
      </c>
      <c r="AZ319" s="365"/>
      <c r="BA319" s="377">
        <f t="shared" si="135"/>
        <v>0</v>
      </c>
      <c r="BB319" s="377">
        <f t="shared" si="136"/>
        <v>0</v>
      </c>
      <c r="BC319" s="377">
        <f t="shared" si="137"/>
        <v>0</v>
      </c>
      <c r="BD319" s="377">
        <f t="shared" si="138"/>
        <v>0</v>
      </c>
      <c r="BE319" s="377">
        <f t="shared" si="139"/>
        <v>0</v>
      </c>
      <c r="BF319" s="377">
        <f t="shared" si="140"/>
        <v>0</v>
      </c>
      <c r="BG319" s="328"/>
    </row>
    <row r="320" spans="2:59">
      <c r="B320" s="332">
        <v>305</v>
      </c>
      <c r="C320" s="350">
        <v>9407346.1598833557</v>
      </c>
      <c r="D320" s="350">
        <v>17724538.739951145</v>
      </c>
      <c r="E320" s="350">
        <v>26104344.390635878</v>
      </c>
      <c r="F320" s="350">
        <v>34547342.56682159</v>
      </c>
      <c r="G320" s="350">
        <v>43054882.142520621</v>
      </c>
      <c r="H320" s="348">
        <v>130838453.99981259</v>
      </c>
      <c r="I320" s="369"/>
      <c r="J320" s="350">
        <v>10663253.80476474</v>
      </c>
      <c r="K320" s="350">
        <v>21428708.764011309</v>
      </c>
      <c r="L320" s="350">
        <v>31929725.446123991</v>
      </c>
      <c r="M320" s="350">
        <v>42158275.235096589</v>
      </c>
      <c r="N320" s="350">
        <v>52108911.563575767</v>
      </c>
      <c r="O320" s="348">
        <v>158288874.81357241</v>
      </c>
      <c r="P320" s="369"/>
      <c r="Q320" s="350">
        <f t="shared" si="141"/>
        <v>1255907.6448813844</v>
      </c>
      <c r="R320" s="350">
        <f t="shared" si="142"/>
        <v>3704170.0240601636</v>
      </c>
      <c r="S320" s="350">
        <f t="shared" si="143"/>
        <v>5825381.0554881133</v>
      </c>
      <c r="T320" s="350">
        <f t="shared" si="144"/>
        <v>7610932.6682749987</v>
      </c>
      <c r="U320" s="350">
        <f t="shared" si="145"/>
        <v>9054029.4210551456</v>
      </c>
      <c r="V320" s="350">
        <f t="shared" si="146"/>
        <v>27450420.813759819</v>
      </c>
      <c r="W320" s="365"/>
      <c r="X320" s="377">
        <f t="shared" si="124"/>
        <v>0</v>
      </c>
      <c r="Y320" s="377">
        <f t="shared" si="125"/>
        <v>0</v>
      </c>
      <c r="Z320" s="377">
        <f t="shared" si="126"/>
        <v>0</v>
      </c>
      <c r="AA320" s="377">
        <f t="shared" si="127"/>
        <v>0</v>
      </c>
      <c r="AB320" s="377">
        <f t="shared" si="128"/>
        <v>0</v>
      </c>
      <c r="AC320" s="377">
        <f t="shared" si="129"/>
        <v>0</v>
      </c>
      <c r="AD320" s="376"/>
      <c r="AE320" s="332">
        <v>305</v>
      </c>
      <c r="AF320" s="350">
        <v>7398809.1063156892</v>
      </c>
      <c r="AG320" s="350">
        <v>14855722.337333012</v>
      </c>
      <c r="AH320" s="350">
        <v>22369069.886360273</v>
      </c>
      <c r="AI320" s="350">
        <v>29939100.874576285</v>
      </c>
      <c r="AJ320" s="350">
        <v>37566907.006904967</v>
      </c>
      <c r="AK320" s="348">
        <v>112129609.21149021</v>
      </c>
      <c r="AL320" s="369"/>
      <c r="AM320" s="350">
        <v>8409928.1309876703</v>
      </c>
      <c r="AN320" s="350">
        <v>17835907.421722472</v>
      </c>
      <c r="AO320" s="350">
        <v>26978373.388215955</v>
      </c>
      <c r="AP320" s="350">
        <v>35831491.280760653</v>
      </c>
      <c r="AQ320" s="350">
        <v>44391810.223617733</v>
      </c>
      <c r="AR320" s="348">
        <v>133447510.44530448</v>
      </c>
      <c r="AS320" s="369"/>
      <c r="AT320" s="350">
        <f t="shared" si="147"/>
        <v>1011119.0246719811</v>
      </c>
      <c r="AU320" s="350">
        <f t="shared" si="130"/>
        <v>2980185.0843894593</v>
      </c>
      <c r="AV320" s="350">
        <f t="shared" si="131"/>
        <v>4609303.5018556826</v>
      </c>
      <c r="AW320" s="350">
        <f t="shared" si="132"/>
        <v>5892390.4061843678</v>
      </c>
      <c r="AX320" s="350">
        <f t="shared" si="133"/>
        <v>6824903.2167127654</v>
      </c>
      <c r="AY320" s="350">
        <f t="shared" si="134"/>
        <v>21317901.233814269</v>
      </c>
      <c r="AZ320" s="365"/>
      <c r="BA320" s="377">
        <f t="shared" si="135"/>
        <v>0</v>
      </c>
      <c r="BB320" s="377">
        <f t="shared" si="136"/>
        <v>0</v>
      </c>
      <c r="BC320" s="377">
        <f t="shared" si="137"/>
        <v>0</v>
      </c>
      <c r="BD320" s="377">
        <f t="shared" si="138"/>
        <v>0</v>
      </c>
      <c r="BE320" s="377">
        <f t="shared" si="139"/>
        <v>0</v>
      </c>
      <c r="BF320" s="377">
        <f t="shared" si="140"/>
        <v>0</v>
      </c>
      <c r="BG320" s="328"/>
    </row>
    <row r="321" spans="2:59">
      <c r="B321" s="332">
        <v>306</v>
      </c>
      <c r="C321" s="350">
        <v>7509109.0155939683</v>
      </c>
      <c r="D321" s="350">
        <v>14033661.133957677</v>
      </c>
      <c r="E321" s="350">
        <v>20607293.882036421</v>
      </c>
      <c r="F321" s="350">
        <v>27230495.604208756</v>
      </c>
      <c r="G321" s="350">
        <v>33904339.144285053</v>
      </c>
      <c r="H321" s="348">
        <v>103284898.78008187</v>
      </c>
      <c r="I321" s="369"/>
      <c r="J321" s="350">
        <v>8582191.895077832</v>
      </c>
      <c r="K321" s="350">
        <v>17200025.026328411</v>
      </c>
      <c r="L321" s="350">
        <v>25605894.37862521</v>
      </c>
      <c r="M321" s="350">
        <v>33793780.024603292</v>
      </c>
      <c r="N321" s="350">
        <v>41759793.107410647</v>
      </c>
      <c r="O321" s="348">
        <v>126941684.4320454</v>
      </c>
      <c r="P321" s="369"/>
      <c r="Q321" s="350">
        <f t="shared" si="141"/>
        <v>1073082.8794838637</v>
      </c>
      <c r="R321" s="350">
        <f t="shared" si="142"/>
        <v>3166363.8923707344</v>
      </c>
      <c r="S321" s="350">
        <f t="shared" si="143"/>
        <v>4998600.4965887889</v>
      </c>
      <c r="T321" s="350">
        <f t="shared" si="144"/>
        <v>6563284.4203945361</v>
      </c>
      <c r="U321" s="350">
        <f t="shared" si="145"/>
        <v>7855453.963125594</v>
      </c>
      <c r="V321" s="350">
        <f t="shared" si="146"/>
        <v>23656785.651963532</v>
      </c>
      <c r="W321" s="365"/>
      <c r="X321" s="377">
        <f t="shared" si="124"/>
        <v>0</v>
      </c>
      <c r="Y321" s="377">
        <f t="shared" si="125"/>
        <v>0</v>
      </c>
      <c r="Z321" s="377">
        <f t="shared" si="126"/>
        <v>0</v>
      </c>
      <c r="AA321" s="377">
        <f t="shared" si="127"/>
        <v>0</v>
      </c>
      <c r="AB321" s="377">
        <f t="shared" si="128"/>
        <v>0</v>
      </c>
      <c r="AC321" s="377">
        <f t="shared" si="129"/>
        <v>0</v>
      </c>
      <c r="AD321" s="376"/>
      <c r="AE321" s="332">
        <v>306</v>
      </c>
      <c r="AF321" s="350">
        <v>7750245.9406436291</v>
      </c>
      <c r="AG321" s="350">
        <v>15561355.900095243</v>
      </c>
      <c r="AH321" s="350">
        <v>23431580.757334415</v>
      </c>
      <c r="AI321" s="350">
        <v>31361181.46657379</v>
      </c>
      <c r="AJ321" s="350">
        <v>39351301.587747596</v>
      </c>
      <c r="AK321" s="348">
        <v>117455665.65239468</v>
      </c>
      <c r="AL321" s="369"/>
      <c r="AM321" s="350">
        <v>9041947.9218839351</v>
      </c>
      <c r="AN321" s="350">
        <v>19372789.04702998</v>
      </c>
      <c r="AO321" s="350">
        <v>29413615.334568314</v>
      </c>
      <c r="AP321" s="350">
        <v>39158249.114004157</v>
      </c>
      <c r="AQ321" s="350">
        <v>48603311.120488554</v>
      </c>
      <c r="AR321" s="348">
        <v>145589912.53797495</v>
      </c>
      <c r="AS321" s="369"/>
      <c r="AT321" s="350">
        <f t="shared" si="147"/>
        <v>1291701.981240306</v>
      </c>
      <c r="AU321" s="350">
        <f t="shared" si="130"/>
        <v>3811433.1469347365</v>
      </c>
      <c r="AV321" s="350">
        <f t="shared" si="131"/>
        <v>5982034.5772338994</v>
      </c>
      <c r="AW321" s="350">
        <f t="shared" si="132"/>
        <v>7797067.6474303678</v>
      </c>
      <c r="AX321" s="350">
        <f t="shared" si="133"/>
        <v>9252009.532740958</v>
      </c>
      <c r="AY321" s="350">
        <f t="shared" si="134"/>
        <v>28134246.885580271</v>
      </c>
      <c r="AZ321" s="365"/>
      <c r="BA321" s="377">
        <f t="shared" si="135"/>
        <v>0</v>
      </c>
      <c r="BB321" s="377">
        <f t="shared" si="136"/>
        <v>0</v>
      </c>
      <c r="BC321" s="377">
        <f t="shared" si="137"/>
        <v>0</v>
      </c>
      <c r="BD321" s="377">
        <f t="shared" si="138"/>
        <v>0</v>
      </c>
      <c r="BE321" s="377">
        <f t="shared" si="139"/>
        <v>0</v>
      </c>
      <c r="BF321" s="377">
        <f t="shared" si="140"/>
        <v>0</v>
      </c>
      <c r="BG321" s="328"/>
    </row>
    <row r="322" spans="2:59">
      <c r="B322" s="332">
        <v>307</v>
      </c>
      <c r="C322" s="350">
        <v>7444098.8794497699</v>
      </c>
      <c r="D322" s="350">
        <v>13828621.70297676</v>
      </c>
      <c r="E322" s="350">
        <v>20261144.163197212</v>
      </c>
      <c r="F322" s="350">
        <v>26742169.231113203</v>
      </c>
      <c r="G322" s="350">
        <v>33272757.649457693</v>
      </c>
      <c r="H322" s="348">
        <v>101548791.62619463</v>
      </c>
      <c r="I322" s="369"/>
      <c r="J322" s="350">
        <v>8834681.9148810413</v>
      </c>
      <c r="K322" s="350">
        <v>17936974.758455798</v>
      </c>
      <c r="L322" s="350">
        <v>26842450.669486642</v>
      </c>
      <c r="M322" s="350">
        <v>35545159.673164792</v>
      </c>
      <c r="N322" s="350">
        <v>44041663.96517656</v>
      </c>
      <c r="O322" s="348">
        <v>133200930.98116484</v>
      </c>
      <c r="P322" s="369"/>
      <c r="Q322" s="350">
        <f t="shared" si="141"/>
        <v>1390583.0354312714</v>
      </c>
      <c r="R322" s="350">
        <f t="shared" si="142"/>
        <v>4108353.0554790385</v>
      </c>
      <c r="S322" s="350">
        <f t="shared" si="143"/>
        <v>6581306.50628943</v>
      </c>
      <c r="T322" s="350">
        <f t="shared" si="144"/>
        <v>8802990.4420515895</v>
      </c>
      <c r="U322" s="350">
        <f t="shared" si="145"/>
        <v>10768906.315718867</v>
      </c>
      <c r="V322" s="350">
        <f t="shared" si="146"/>
        <v>31652139.354970217</v>
      </c>
      <c r="W322" s="365"/>
      <c r="X322" s="377">
        <f t="shared" si="124"/>
        <v>0</v>
      </c>
      <c r="Y322" s="377">
        <f t="shared" si="125"/>
        <v>0</v>
      </c>
      <c r="Z322" s="377">
        <f t="shared" si="126"/>
        <v>0</v>
      </c>
      <c r="AA322" s="377">
        <f t="shared" si="127"/>
        <v>0</v>
      </c>
      <c r="AB322" s="377">
        <f t="shared" si="128"/>
        <v>0</v>
      </c>
      <c r="AC322" s="377">
        <f t="shared" si="129"/>
        <v>0</v>
      </c>
      <c r="AD322" s="376"/>
      <c r="AE322" s="332">
        <v>307</v>
      </c>
      <c r="AF322" s="350">
        <v>5972212.6592081189</v>
      </c>
      <c r="AG322" s="350">
        <v>11991326.135035377</v>
      </c>
      <c r="AH322" s="350">
        <v>18055992.583454534</v>
      </c>
      <c r="AI322" s="350">
        <v>24166413.091510341</v>
      </c>
      <c r="AJ322" s="350">
        <v>30323468.867769338</v>
      </c>
      <c r="AK322" s="348">
        <v>90509413.33697772</v>
      </c>
      <c r="AL322" s="369"/>
      <c r="AM322" s="350">
        <v>6864713.5702523813</v>
      </c>
      <c r="AN322" s="350">
        <v>14623291.218309069</v>
      </c>
      <c r="AO322" s="350">
        <v>22155307.385687813</v>
      </c>
      <c r="AP322" s="350">
        <v>29456030.754237853</v>
      </c>
      <c r="AQ322" s="350">
        <v>36522753.141178481</v>
      </c>
      <c r="AR322" s="348">
        <v>109622096.06966561</v>
      </c>
      <c r="AS322" s="369"/>
      <c r="AT322" s="350">
        <f t="shared" si="147"/>
        <v>892500.91104426235</v>
      </c>
      <c r="AU322" s="350">
        <f t="shared" si="130"/>
        <v>2631965.0832736921</v>
      </c>
      <c r="AV322" s="350">
        <f t="shared" si="131"/>
        <v>4099314.8022332788</v>
      </c>
      <c r="AW322" s="350">
        <f t="shared" si="132"/>
        <v>5289617.6627275124</v>
      </c>
      <c r="AX322" s="350">
        <f t="shared" si="133"/>
        <v>6199284.2734091431</v>
      </c>
      <c r="AY322" s="350">
        <f t="shared" si="134"/>
        <v>19112682.732687891</v>
      </c>
      <c r="AZ322" s="365"/>
      <c r="BA322" s="377">
        <f t="shared" si="135"/>
        <v>0</v>
      </c>
      <c r="BB322" s="377">
        <f t="shared" si="136"/>
        <v>0</v>
      </c>
      <c r="BC322" s="377">
        <f t="shared" si="137"/>
        <v>0</v>
      </c>
      <c r="BD322" s="377">
        <f t="shared" si="138"/>
        <v>0</v>
      </c>
      <c r="BE322" s="377">
        <f t="shared" si="139"/>
        <v>0</v>
      </c>
      <c r="BF322" s="377">
        <f t="shared" si="140"/>
        <v>0</v>
      </c>
      <c r="BG322" s="328"/>
    </row>
    <row r="323" spans="2:59">
      <c r="B323" s="332">
        <v>308</v>
      </c>
      <c r="C323" s="350">
        <v>5963364.0819215896</v>
      </c>
      <c r="D323" s="350">
        <v>11240049.306817761</v>
      </c>
      <c r="E323" s="350">
        <v>16556459.629843883</v>
      </c>
      <c r="F323" s="350">
        <v>21912961.382995412</v>
      </c>
      <c r="G323" s="350">
        <v>27310409.771605887</v>
      </c>
      <c r="H323" s="348">
        <v>82983244.173184544</v>
      </c>
      <c r="I323" s="369"/>
      <c r="J323" s="350">
        <v>6786814.924057669</v>
      </c>
      <c r="K323" s="350">
        <v>13669150.593132608</v>
      </c>
      <c r="L323" s="350">
        <v>20377926.121591482</v>
      </c>
      <c r="M323" s="350">
        <v>26908286.547164395</v>
      </c>
      <c r="N323" s="350">
        <v>33257060.273963861</v>
      </c>
      <c r="O323" s="348">
        <v>100999238.45991001</v>
      </c>
      <c r="P323" s="369"/>
      <c r="Q323" s="350">
        <f t="shared" si="141"/>
        <v>823450.84213607945</v>
      </c>
      <c r="R323" s="350">
        <f t="shared" si="142"/>
        <v>2429101.2863148469</v>
      </c>
      <c r="S323" s="350">
        <f t="shared" si="143"/>
        <v>3821466.4917475991</v>
      </c>
      <c r="T323" s="350">
        <f t="shared" si="144"/>
        <v>4995325.1641689837</v>
      </c>
      <c r="U323" s="350">
        <f t="shared" si="145"/>
        <v>5946650.5023579746</v>
      </c>
      <c r="V323" s="350">
        <f t="shared" si="146"/>
        <v>18015994.286725461</v>
      </c>
      <c r="W323" s="365"/>
      <c r="X323" s="377">
        <f t="shared" si="124"/>
        <v>0</v>
      </c>
      <c r="Y323" s="377">
        <f t="shared" si="125"/>
        <v>0</v>
      </c>
      <c r="Z323" s="377">
        <f t="shared" si="126"/>
        <v>0</v>
      </c>
      <c r="AA323" s="377">
        <f t="shared" si="127"/>
        <v>0</v>
      </c>
      <c r="AB323" s="377">
        <f t="shared" si="128"/>
        <v>0</v>
      </c>
      <c r="AC323" s="377">
        <f t="shared" si="129"/>
        <v>0</v>
      </c>
      <c r="AD323" s="376"/>
      <c r="AE323" s="332">
        <v>308</v>
      </c>
      <c r="AF323" s="350">
        <v>6368036.0702894945</v>
      </c>
      <c r="AG323" s="350">
        <v>12786081.426751379</v>
      </c>
      <c r="AH323" s="350">
        <v>19252698.893606365</v>
      </c>
      <c r="AI323" s="350">
        <v>25768102.885448717</v>
      </c>
      <c r="AJ323" s="350">
        <v>32333233.01515853</v>
      </c>
      <c r="AK323" s="348">
        <v>96508152.291254491</v>
      </c>
      <c r="AL323" s="369"/>
      <c r="AM323" s="350">
        <v>7254507.7651643716</v>
      </c>
      <c r="AN323" s="350">
        <v>15399176.066847637</v>
      </c>
      <c r="AO323" s="350">
        <v>23300314.735826485</v>
      </c>
      <c r="AP323" s="350">
        <v>30952897.309818465</v>
      </c>
      <c r="AQ323" s="350">
        <v>38353970.100376494</v>
      </c>
      <c r="AR323" s="348">
        <v>115260865.97803345</v>
      </c>
      <c r="AS323" s="369"/>
      <c r="AT323" s="350">
        <f t="shared" si="147"/>
        <v>886471.69487487711</v>
      </c>
      <c r="AU323" s="350">
        <f t="shared" si="130"/>
        <v>2613094.6400962584</v>
      </c>
      <c r="AV323" s="350">
        <f t="shared" si="131"/>
        <v>4047615.8422201201</v>
      </c>
      <c r="AW323" s="350">
        <f t="shared" si="132"/>
        <v>5184794.4243697487</v>
      </c>
      <c r="AX323" s="350">
        <f t="shared" si="133"/>
        <v>6020737.0852179639</v>
      </c>
      <c r="AY323" s="350">
        <f t="shared" si="134"/>
        <v>18752713.686778963</v>
      </c>
      <c r="AZ323" s="365"/>
      <c r="BA323" s="377">
        <f t="shared" si="135"/>
        <v>0</v>
      </c>
      <c r="BB323" s="377">
        <f t="shared" si="136"/>
        <v>0</v>
      </c>
      <c r="BC323" s="377">
        <f t="shared" si="137"/>
        <v>0</v>
      </c>
      <c r="BD323" s="377">
        <f t="shared" si="138"/>
        <v>0</v>
      </c>
      <c r="BE323" s="377">
        <f t="shared" si="139"/>
        <v>0</v>
      </c>
      <c r="BF323" s="377">
        <f t="shared" si="140"/>
        <v>0</v>
      </c>
      <c r="BG323" s="328"/>
    </row>
    <row r="324" spans="2:59">
      <c r="B324" s="332">
        <v>309</v>
      </c>
      <c r="C324" s="350">
        <v>8674953.0066044182</v>
      </c>
      <c r="D324" s="350">
        <v>16196488.064409001</v>
      </c>
      <c r="E324" s="350">
        <v>23774598.216176592</v>
      </c>
      <c r="F324" s="350">
        <v>31409851.236606702</v>
      </c>
      <c r="G324" s="350">
        <v>39103485.997568578</v>
      </c>
      <c r="H324" s="348">
        <v>119159376.52136528</v>
      </c>
      <c r="I324" s="369"/>
      <c r="J324" s="350">
        <v>9937880.0216312893</v>
      </c>
      <c r="K324" s="350">
        <v>19923432.133086778</v>
      </c>
      <c r="L324" s="350">
        <v>29664057.901577614</v>
      </c>
      <c r="M324" s="350">
        <v>39152883.06269069</v>
      </c>
      <c r="N324" s="350">
        <v>48385523.189930484</v>
      </c>
      <c r="O324" s="348">
        <v>147063776.30891687</v>
      </c>
      <c r="P324" s="369"/>
      <c r="Q324" s="350">
        <f t="shared" si="141"/>
        <v>1262927.0150268711</v>
      </c>
      <c r="R324" s="350">
        <f t="shared" si="142"/>
        <v>3726944.0686777774</v>
      </c>
      <c r="S324" s="350">
        <f t="shared" si="143"/>
        <v>5889459.6854010224</v>
      </c>
      <c r="T324" s="350">
        <f t="shared" si="144"/>
        <v>7743031.826083988</v>
      </c>
      <c r="U324" s="350">
        <f t="shared" si="145"/>
        <v>9282037.1923619062</v>
      </c>
      <c r="V324" s="350">
        <f t="shared" si="146"/>
        <v>27904399.787551582</v>
      </c>
      <c r="W324" s="365"/>
      <c r="X324" s="377">
        <f t="shared" si="124"/>
        <v>0</v>
      </c>
      <c r="Y324" s="377">
        <f t="shared" si="125"/>
        <v>0</v>
      </c>
      <c r="Z324" s="377">
        <f t="shared" si="126"/>
        <v>0</v>
      </c>
      <c r="AA324" s="377">
        <f t="shared" si="127"/>
        <v>0</v>
      </c>
      <c r="AB324" s="377">
        <f t="shared" si="128"/>
        <v>0</v>
      </c>
      <c r="AC324" s="377">
        <f t="shared" si="129"/>
        <v>0</v>
      </c>
      <c r="AD324" s="376"/>
      <c r="AE324" s="332">
        <v>309</v>
      </c>
      <c r="AF324" s="350">
        <v>6883144.8952524588</v>
      </c>
      <c r="AG324" s="350">
        <v>13820344.315170487</v>
      </c>
      <c r="AH324" s="350">
        <v>20810044.83118999</v>
      </c>
      <c r="AI324" s="350">
        <v>27852478.20184746</v>
      </c>
      <c r="AJ324" s="350">
        <v>34948660.045070894</v>
      </c>
      <c r="AK324" s="348">
        <v>104314672.2885313</v>
      </c>
      <c r="AL324" s="369"/>
      <c r="AM324" s="350">
        <v>7903040.218373863</v>
      </c>
      <c r="AN324" s="350">
        <v>16827846.484085843</v>
      </c>
      <c r="AO324" s="350">
        <v>25491272.515107922</v>
      </c>
      <c r="AP324" s="350">
        <v>33887867.803995207</v>
      </c>
      <c r="AQ324" s="350">
        <v>42014502.244202048</v>
      </c>
      <c r="AR324" s="348">
        <v>126124529.26576489</v>
      </c>
      <c r="AS324" s="369"/>
      <c r="AT324" s="350">
        <f t="shared" si="147"/>
        <v>1019895.3231214043</v>
      </c>
      <c r="AU324" s="350">
        <f t="shared" si="130"/>
        <v>3007502.1689153556</v>
      </c>
      <c r="AV324" s="350">
        <f t="shared" si="131"/>
        <v>4681227.6839179322</v>
      </c>
      <c r="AW324" s="350">
        <f t="shared" si="132"/>
        <v>6035389.6021477468</v>
      </c>
      <c r="AX324" s="350">
        <f t="shared" si="133"/>
        <v>7065842.1991311535</v>
      </c>
      <c r="AY324" s="350">
        <f t="shared" si="134"/>
        <v>21809856.977233589</v>
      </c>
      <c r="AZ324" s="365"/>
      <c r="BA324" s="377">
        <f t="shared" si="135"/>
        <v>0</v>
      </c>
      <c r="BB324" s="377">
        <f t="shared" si="136"/>
        <v>0</v>
      </c>
      <c r="BC324" s="377">
        <f t="shared" si="137"/>
        <v>0</v>
      </c>
      <c r="BD324" s="377">
        <f t="shared" si="138"/>
        <v>0</v>
      </c>
      <c r="BE324" s="377">
        <f t="shared" si="139"/>
        <v>0</v>
      </c>
      <c r="BF324" s="377">
        <f t="shared" si="140"/>
        <v>0</v>
      </c>
      <c r="BG324" s="328"/>
    </row>
    <row r="325" spans="2:59">
      <c r="B325" s="332">
        <v>310</v>
      </c>
      <c r="C325" s="350">
        <v>8408223.9422416091</v>
      </c>
      <c r="D325" s="350">
        <v>15941136.39552686</v>
      </c>
      <c r="E325" s="350">
        <v>23530789.938206956</v>
      </c>
      <c r="F325" s="350">
        <v>31177680.126659259</v>
      </c>
      <c r="G325" s="350">
        <v>38883015.910992086</v>
      </c>
      <c r="H325" s="348">
        <v>117940846.31362677</v>
      </c>
      <c r="I325" s="369"/>
      <c r="J325" s="350">
        <v>9689043.8715508729</v>
      </c>
      <c r="K325" s="350">
        <v>19721091.484946933</v>
      </c>
      <c r="L325" s="350">
        <v>29510836.162903517</v>
      </c>
      <c r="M325" s="350">
        <v>39051193.98580531</v>
      </c>
      <c r="N325" s="350">
        <v>48337632.438991979</v>
      </c>
      <c r="O325" s="348">
        <v>146309797.94419861</v>
      </c>
      <c r="P325" s="369"/>
      <c r="Q325" s="350">
        <f t="shared" si="141"/>
        <v>1280819.9293092638</v>
      </c>
      <c r="R325" s="350">
        <f t="shared" si="142"/>
        <v>3779955.0894200727</v>
      </c>
      <c r="S325" s="350">
        <f t="shared" si="143"/>
        <v>5980046.2246965617</v>
      </c>
      <c r="T325" s="350">
        <f t="shared" si="144"/>
        <v>7873513.8591460511</v>
      </c>
      <c r="U325" s="350">
        <f t="shared" si="145"/>
        <v>9454616.5279998928</v>
      </c>
      <c r="V325" s="350">
        <f t="shared" si="146"/>
        <v>28368951.630571842</v>
      </c>
      <c r="W325" s="365"/>
      <c r="X325" s="377">
        <f t="shared" si="124"/>
        <v>0</v>
      </c>
      <c r="Y325" s="377">
        <f t="shared" si="125"/>
        <v>0</v>
      </c>
      <c r="Z325" s="377">
        <f t="shared" si="126"/>
        <v>0</v>
      </c>
      <c r="AA325" s="377">
        <f t="shared" si="127"/>
        <v>0</v>
      </c>
      <c r="AB325" s="377">
        <f t="shared" si="128"/>
        <v>0</v>
      </c>
      <c r="AC325" s="377">
        <f t="shared" si="129"/>
        <v>0</v>
      </c>
      <c r="AD325" s="376"/>
      <c r="AE325" s="332">
        <v>310</v>
      </c>
      <c r="AF325" s="350">
        <v>6586894.5218210891</v>
      </c>
      <c r="AG325" s="350">
        <v>13225517.063002173</v>
      </c>
      <c r="AH325" s="350">
        <v>19914381.054503288</v>
      </c>
      <c r="AI325" s="350">
        <v>26653708.279979676</v>
      </c>
      <c r="AJ325" s="350">
        <v>33444470.64519069</v>
      </c>
      <c r="AK325" s="348">
        <v>99824971.56449692</v>
      </c>
      <c r="AL325" s="369"/>
      <c r="AM325" s="350">
        <v>7747571.7433639737</v>
      </c>
      <c r="AN325" s="350">
        <v>16651277.627279684</v>
      </c>
      <c r="AO325" s="350">
        <v>25310384.244181391</v>
      </c>
      <c r="AP325" s="350">
        <v>33719623.442484088</v>
      </c>
      <c r="AQ325" s="350">
        <v>41876186.871032178</v>
      </c>
      <c r="AR325" s="348">
        <v>125305043.92834131</v>
      </c>
      <c r="AS325" s="369"/>
      <c r="AT325" s="350">
        <f t="shared" si="147"/>
        <v>1160677.2215428846</v>
      </c>
      <c r="AU325" s="350">
        <f t="shared" si="130"/>
        <v>3425760.5642775111</v>
      </c>
      <c r="AV325" s="350">
        <f t="shared" si="131"/>
        <v>5396003.1896781027</v>
      </c>
      <c r="AW325" s="350">
        <f t="shared" si="132"/>
        <v>7065915.1625044122</v>
      </c>
      <c r="AX325" s="350">
        <f t="shared" si="133"/>
        <v>8431716.2258414887</v>
      </c>
      <c r="AY325" s="350">
        <f t="shared" si="134"/>
        <v>25480072.363844395</v>
      </c>
      <c r="AZ325" s="365"/>
      <c r="BA325" s="377">
        <f t="shared" si="135"/>
        <v>0</v>
      </c>
      <c r="BB325" s="377">
        <f t="shared" si="136"/>
        <v>0</v>
      </c>
      <c r="BC325" s="377">
        <f t="shared" si="137"/>
        <v>0</v>
      </c>
      <c r="BD325" s="377">
        <f t="shared" si="138"/>
        <v>0</v>
      </c>
      <c r="BE325" s="377">
        <f t="shared" si="139"/>
        <v>0</v>
      </c>
      <c r="BF325" s="377">
        <f t="shared" si="140"/>
        <v>0</v>
      </c>
      <c r="BG325" s="328"/>
    </row>
    <row r="326" spans="2:59">
      <c r="B326" s="332">
        <v>311</v>
      </c>
      <c r="C326" s="350">
        <v>9192243.480062345</v>
      </c>
      <c r="D326" s="350">
        <v>17413543.860217731</v>
      </c>
      <c r="E326" s="350">
        <v>25696766.06451356</v>
      </c>
      <c r="F326" s="350">
        <v>34042455.019872904</v>
      </c>
      <c r="G326" s="350">
        <v>42451931.93234542</v>
      </c>
      <c r="H326" s="348">
        <v>128796940.35701196</v>
      </c>
      <c r="I326" s="369"/>
      <c r="J326" s="350">
        <v>10276198.009458477</v>
      </c>
      <c r="K326" s="350">
        <v>20607971.367915154</v>
      </c>
      <c r="L326" s="350">
        <v>30658731.677775972</v>
      </c>
      <c r="M326" s="350">
        <v>40421139.793637857</v>
      </c>
      <c r="N326" s="350">
        <v>49890243.452036604</v>
      </c>
      <c r="O326" s="348">
        <v>151854284.30082405</v>
      </c>
      <c r="P326" s="369"/>
      <c r="Q326" s="350">
        <f t="shared" si="141"/>
        <v>1083954.5293961316</v>
      </c>
      <c r="R326" s="350">
        <f t="shared" si="142"/>
        <v>3194427.5076974221</v>
      </c>
      <c r="S326" s="350">
        <f t="shared" si="143"/>
        <v>4961965.6132624112</v>
      </c>
      <c r="T326" s="350">
        <f t="shared" si="144"/>
        <v>6378684.773764953</v>
      </c>
      <c r="U326" s="350">
        <f t="shared" si="145"/>
        <v>7438311.5196911842</v>
      </c>
      <c r="V326" s="350">
        <f t="shared" si="146"/>
        <v>23057343.943812087</v>
      </c>
      <c r="W326" s="365"/>
      <c r="X326" s="377">
        <f t="shared" si="124"/>
        <v>0</v>
      </c>
      <c r="Y326" s="377">
        <f t="shared" si="125"/>
        <v>0</v>
      </c>
      <c r="Z326" s="377">
        <f t="shared" si="126"/>
        <v>0</v>
      </c>
      <c r="AA326" s="377">
        <f t="shared" si="127"/>
        <v>0</v>
      </c>
      <c r="AB326" s="377">
        <f t="shared" si="128"/>
        <v>0</v>
      </c>
      <c r="AC326" s="377">
        <f t="shared" si="129"/>
        <v>0</v>
      </c>
      <c r="AD326" s="376"/>
      <c r="AE326" s="332">
        <v>311</v>
      </c>
      <c r="AF326" s="350">
        <v>8945574.4843954369</v>
      </c>
      <c r="AG326" s="350">
        <v>17961400.108927116</v>
      </c>
      <c r="AH326" s="350">
        <v>27045457.983808786</v>
      </c>
      <c r="AI326" s="350">
        <v>36198049.31049446</v>
      </c>
      <c r="AJ326" s="350">
        <v>45420494.021364003</v>
      </c>
      <c r="AK326" s="348">
        <v>135570975.90898979</v>
      </c>
      <c r="AL326" s="369"/>
      <c r="AM326" s="350">
        <v>10744903.162786862</v>
      </c>
      <c r="AN326" s="350">
        <v>23275316.65120288</v>
      </c>
      <c r="AO326" s="350">
        <v>35480222.871460602</v>
      </c>
      <c r="AP326" s="350">
        <v>47352404.135779828</v>
      </c>
      <c r="AQ326" s="350">
        <v>58888272.334884644</v>
      </c>
      <c r="AR326" s="348">
        <v>175741119.15611482</v>
      </c>
      <c r="AS326" s="369"/>
      <c r="AT326" s="350">
        <f t="shared" si="147"/>
        <v>1799328.6783914249</v>
      </c>
      <c r="AU326" s="350">
        <f t="shared" si="130"/>
        <v>5313916.542275764</v>
      </c>
      <c r="AV326" s="350">
        <f t="shared" si="131"/>
        <v>8434764.887651816</v>
      </c>
      <c r="AW326" s="350">
        <f t="shared" si="132"/>
        <v>11154354.825285368</v>
      </c>
      <c r="AX326" s="350">
        <f t="shared" si="133"/>
        <v>13467778.31352064</v>
      </c>
      <c r="AY326" s="350">
        <f t="shared" si="134"/>
        <v>40170143.24712503</v>
      </c>
      <c r="AZ326" s="365"/>
      <c r="BA326" s="377">
        <f t="shared" si="135"/>
        <v>0</v>
      </c>
      <c r="BB326" s="377">
        <f t="shared" si="136"/>
        <v>0</v>
      </c>
      <c r="BC326" s="377">
        <f t="shared" si="137"/>
        <v>0</v>
      </c>
      <c r="BD326" s="377">
        <f t="shared" si="138"/>
        <v>0</v>
      </c>
      <c r="BE326" s="377">
        <f t="shared" si="139"/>
        <v>0</v>
      </c>
      <c r="BF326" s="377">
        <f t="shared" si="140"/>
        <v>0</v>
      </c>
      <c r="BG326" s="328"/>
    </row>
    <row r="327" spans="2:59">
      <c r="B327" s="332">
        <v>312</v>
      </c>
      <c r="C327" s="350">
        <v>10885829.771362614</v>
      </c>
      <c r="D327" s="350">
        <v>20728225.115237147</v>
      </c>
      <c r="E327" s="350">
        <v>30644786.355854429</v>
      </c>
      <c r="F327" s="350">
        <v>40636134.805834293</v>
      </c>
      <c r="G327" s="350">
        <v>50703838.67368637</v>
      </c>
      <c r="H327" s="348">
        <v>153598814.72197485</v>
      </c>
      <c r="I327" s="369"/>
      <c r="J327" s="350">
        <v>12144407.345550817</v>
      </c>
      <c r="K327" s="350">
        <v>24436518.245971158</v>
      </c>
      <c r="L327" s="350">
        <v>36386634.787624188</v>
      </c>
      <c r="M327" s="350">
        <v>47986109.309594542</v>
      </c>
      <c r="N327" s="350">
        <v>59229125.122416154</v>
      </c>
      <c r="O327" s="348">
        <v>180182794.81115687</v>
      </c>
      <c r="P327" s="369"/>
      <c r="Q327" s="350">
        <f t="shared" si="141"/>
        <v>1258577.5741882026</v>
      </c>
      <c r="R327" s="350">
        <f t="shared" si="142"/>
        <v>3708293.1307340115</v>
      </c>
      <c r="S327" s="350">
        <f t="shared" si="143"/>
        <v>5741848.4317697585</v>
      </c>
      <c r="T327" s="350">
        <f t="shared" si="144"/>
        <v>7349974.5037602484</v>
      </c>
      <c r="U327" s="350">
        <f t="shared" si="145"/>
        <v>8525286.4487297833</v>
      </c>
      <c r="V327" s="350">
        <f t="shared" si="146"/>
        <v>26583980.089182019</v>
      </c>
      <c r="W327" s="365"/>
      <c r="X327" s="377">
        <f t="shared" si="124"/>
        <v>0</v>
      </c>
      <c r="Y327" s="377">
        <f t="shared" si="125"/>
        <v>0</v>
      </c>
      <c r="Z327" s="377">
        <f t="shared" si="126"/>
        <v>0</v>
      </c>
      <c r="AA327" s="377">
        <f t="shared" si="127"/>
        <v>0</v>
      </c>
      <c r="AB327" s="377">
        <f t="shared" si="128"/>
        <v>0</v>
      </c>
      <c r="AC327" s="377">
        <f t="shared" si="129"/>
        <v>0</v>
      </c>
      <c r="AD327" s="376"/>
      <c r="AE327" s="332">
        <v>312</v>
      </c>
      <c r="AF327" s="350">
        <v>6780209.125271773</v>
      </c>
      <c r="AG327" s="350">
        <v>13613664.402844146</v>
      </c>
      <c r="AH327" s="350">
        <v>20498835.635302126</v>
      </c>
      <c r="AI327" s="350">
        <v>27435951.115289256</v>
      </c>
      <c r="AJ327" s="350">
        <v>34426011.272412635</v>
      </c>
      <c r="AK327" s="348">
        <v>102754671.55111992</v>
      </c>
      <c r="AL327" s="369"/>
      <c r="AM327" s="350">
        <v>7645447.958976998</v>
      </c>
      <c r="AN327" s="350">
        <v>16162758.179206766</v>
      </c>
      <c r="AO327" s="350">
        <v>24418421.843256161</v>
      </c>
      <c r="AP327" s="350">
        <v>32407109.383382194</v>
      </c>
      <c r="AQ327" s="350">
        <v>40125596.319252059</v>
      </c>
      <c r="AR327" s="348">
        <v>120759333.68407418</v>
      </c>
      <c r="AS327" s="369"/>
      <c r="AT327" s="350">
        <f t="shared" si="147"/>
        <v>865238.83370522503</v>
      </c>
      <c r="AU327" s="350">
        <f t="shared" si="130"/>
        <v>2549093.7763626203</v>
      </c>
      <c r="AV327" s="350">
        <f t="shared" si="131"/>
        <v>3919586.2079540342</v>
      </c>
      <c r="AW327" s="350">
        <f t="shared" si="132"/>
        <v>4971158.2680929378</v>
      </c>
      <c r="AX327" s="350">
        <f t="shared" si="133"/>
        <v>5699585.0468394235</v>
      </c>
      <c r="AY327" s="350">
        <f t="shared" si="134"/>
        <v>18004662.132954255</v>
      </c>
      <c r="AZ327" s="365"/>
      <c r="BA327" s="377">
        <f t="shared" si="135"/>
        <v>0</v>
      </c>
      <c r="BB327" s="377">
        <f t="shared" si="136"/>
        <v>0</v>
      </c>
      <c r="BC327" s="377">
        <f t="shared" si="137"/>
        <v>0</v>
      </c>
      <c r="BD327" s="377">
        <f t="shared" si="138"/>
        <v>0</v>
      </c>
      <c r="BE327" s="377">
        <f t="shared" si="139"/>
        <v>0</v>
      </c>
      <c r="BF327" s="377">
        <f t="shared" si="140"/>
        <v>0</v>
      </c>
      <c r="BG327" s="328"/>
    </row>
    <row r="328" spans="2:59">
      <c r="B328" s="332">
        <v>313</v>
      </c>
      <c r="C328" s="350">
        <v>8453283.6260450557</v>
      </c>
      <c r="D328" s="350">
        <v>16194164.006250905</v>
      </c>
      <c r="E328" s="350">
        <v>23993405.73560081</v>
      </c>
      <c r="F328" s="350">
        <v>31851469.201424129</v>
      </c>
      <c r="G328" s="350">
        <v>39769575.475728318</v>
      </c>
      <c r="H328" s="348">
        <v>120261898.04504921</v>
      </c>
      <c r="I328" s="369"/>
      <c r="J328" s="350">
        <v>9413768.0954543725</v>
      </c>
      <c r="K328" s="350">
        <v>19023574.474377587</v>
      </c>
      <c r="L328" s="350">
        <v>28364854.140592985</v>
      </c>
      <c r="M328" s="350">
        <v>37430724.960795611</v>
      </c>
      <c r="N328" s="350">
        <v>46216507.070568308</v>
      </c>
      <c r="O328" s="348">
        <v>140449428.74178886</v>
      </c>
      <c r="P328" s="369"/>
      <c r="Q328" s="350">
        <f t="shared" si="141"/>
        <v>960484.46940931678</v>
      </c>
      <c r="R328" s="350">
        <f t="shared" si="142"/>
        <v>2829410.4681266826</v>
      </c>
      <c r="S328" s="350">
        <f t="shared" si="143"/>
        <v>4371448.4049921744</v>
      </c>
      <c r="T328" s="350">
        <f t="shared" si="144"/>
        <v>5579255.7593714818</v>
      </c>
      <c r="U328" s="350">
        <f t="shared" si="145"/>
        <v>6446931.5948399901</v>
      </c>
      <c r="V328" s="350">
        <f t="shared" si="146"/>
        <v>20187530.696739659</v>
      </c>
      <c r="W328" s="365"/>
      <c r="X328" s="377">
        <f t="shared" si="124"/>
        <v>0</v>
      </c>
      <c r="Y328" s="377">
        <f t="shared" si="125"/>
        <v>0</v>
      </c>
      <c r="Z328" s="377">
        <f t="shared" si="126"/>
        <v>0</v>
      </c>
      <c r="AA328" s="377">
        <f t="shared" si="127"/>
        <v>0</v>
      </c>
      <c r="AB328" s="377">
        <f t="shared" si="128"/>
        <v>0</v>
      </c>
      <c r="AC328" s="377">
        <f t="shared" si="129"/>
        <v>0</v>
      </c>
      <c r="AD328" s="376"/>
      <c r="AE328" s="332">
        <v>313</v>
      </c>
      <c r="AF328" s="350">
        <v>5669363.8942945683</v>
      </c>
      <c r="AG328" s="350">
        <v>11383250.281595726</v>
      </c>
      <c r="AH328" s="350">
        <v>17140379.666564111</v>
      </c>
      <c r="AI328" s="350">
        <v>22940942.939192452</v>
      </c>
      <c r="AJ328" s="350">
        <v>28785776.6222765</v>
      </c>
      <c r="AK328" s="348">
        <v>85919713.403923362</v>
      </c>
      <c r="AL328" s="369"/>
      <c r="AM328" s="350">
        <v>6991934.901815556</v>
      </c>
      <c r="AN328" s="350">
        <v>15291434.100755053</v>
      </c>
      <c r="AO328" s="350">
        <v>23390096.908985928</v>
      </c>
      <c r="AP328" s="350">
        <v>31283297.491275333</v>
      </c>
      <c r="AQ328" s="350">
        <v>38968946.392157122</v>
      </c>
      <c r="AR328" s="348">
        <v>115925709.79498899</v>
      </c>
      <c r="AS328" s="369"/>
      <c r="AT328" s="350">
        <f t="shared" si="147"/>
        <v>1322571.0075209877</v>
      </c>
      <c r="AU328" s="350">
        <f t="shared" si="130"/>
        <v>3908183.8191593271</v>
      </c>
      <c r="AV328" s="350">
        <f t="shared" si="131"/>
        <v>6249717.242421817</v>
      </c>
      <c r="AW328" s="350">
        <f t="shared" si="132"/>
        <v>8342354.5520828813</v>
      </c>
      <c r="AX328" s="350">
        <f t="shared" si="133"/>
        <v>10183169.769880623</v>
      </c>
      <c r="AY328" s="350">
        <f t="shared" si="134"/>
        <v>30005996.391065627</v>
      </c>
      <c r="AZ328" s="365"/>
      <c r="BA328" s="377">
        <f t="shared" si="135"/>
        <v>0</v>
      </c>
      <c r="BB328" s="377">
        <f t="shared" si="136"/>
        <v>0</v>
      </c>
      <c r="BC328" s="377">
        <f t="shared" si="137"/>
        <v>0</v>
      </c>
      <c r="BD328" s="377">
        <f t="shared" si="138"/>
        <v>0</v>
      </c>
      <c r="BE328" s="377">
        <f t="shared" si="139"/>
        <v>0</v>
      </c>
      <c r="BF328" s="377">
        <f t="shared" si="140"/>
        <v>0</v>
      </c>
      <c r="BG328" s="328"/>
    </row>
    <row r="329" spans="2:59">
      <c r="B329" s="332">
        <v>314</v>
      </c>
      <c r="C329" s="350">
        <v>9592765.8662337884</v>
      </c>
      <c r="D329" s="350">
        <v>17916097.778568372</v>
      </c>
      <c r="E329" s="350">
        <v>26302037.692884013</v>
      </c>
      <c r="F329" s="350">
        <v>34751212.09690471</v>
      </c>
      <c r="G329" s="350">
        <v>43264991.138108917</v>
      </c>
      <c r="H329" s="348">
        <v>131827104.57269979</v>
      </c>
      <c r="I329" s="369"/>
      <c r="J329" s="350">
        <v>10943206.162368748</v>
      </c>
      <c r="K329" s="350">
        <v>21900602.294925034</v>
      </c>
      <c r="L329" s="350">
        <v>32594759.098974749</v>
      </c>
      <c r="M329" s="350">
        <v>43017711.19645758</v>
      </c>
      <c r="N329" s="350">
        <v>53164174.130054675</v>
      </c>
      <c r="O329" s="348">
        <v>161620452.88278079</v>
      </c>
      <c r="P329" s="369"/>
      <c r="Q329" s="350">
        <f t="shared" si="141"/>
        <v>1350440.2961349599</v>
      </c>
      <c r="R329" s="350">
        <f t="shared" si="142"/>
        <v>3984504.5163566619</v>
      </c>
      <c r="S329" s="350">
        <f t="shared" si="143"/>
        <v>6292721.4060907364</v>
      </c>
      <c r="T329" s="350">
        <f t="shared" si="144"/>
        <v>8266499.0995528698</v>
      </c>
      <c r="U329" s="350">
        <f t="shared" si="145"/>
        <v>9899182.9919457585</v>
      </c>
      <c r="V329" s="350">
        <f t="shared" si="146"/>
        <v>29793348.310081005</v>
      </c>
      <c r="W329" s="365"/>
      <c r="X329" s="377">
        <f t="shared" si="124"/>
        <v>0</v>
      </c>
      <c r="Y329" s="377">
        <f t="shared" si="125"/>
        <v>0</v>
      </c>
      <c r="Z329" s="377">
        <f t="shared" si="126"/>
        <v>0</v>
      </c>
      <c r="AA329" s="377">
        <f t="shared" si="127"/>
        <v>0</v>
      </c>
      <c r="AB329" s="377">
        <f t="shared" si="128"/>
        <v>0</v>
      </c>
      <c r="AC329" s="377">
        <f t="shared" si="129"/>
        <v>0</v>
      </c>
      <c r="AD329" s="376"/>
      <c r="AE329" s="332">
        <v>314</v>
      </c>
      <c r="AF329" s="350">
        <v>6257529.6879018079</v>
      </c>
      <c r="AG329" s="350">
        <v>12564200.836285368</v>
      </c>
      <c r="AH329" s="350">
        <v>18918601.209100764</v>
      </c>
      <c r="AI329" s="350">
        <v>25320941.500143439</v>
      </c>
      <c r="AJ329" s="350">
        <v>31772145.01691784</v>
      </c>
      <c r="AK329" s="348">
        <v>94833418.250349224</v>
      </c>
      <c r="AL329" s="369"/>
      <c r="AM329" s="350">
        <v>7214012.0241147997</v>
      </c>
      <c r="AN329" s="350">
        <v>15385202.74558093</v>
      </c>
      <c r="AO329" s="350">
        <v>23319647.447418109</v>
      </c>
      <c r="AP329" s="350">
        <v>31012382.74045983</v>
      </c>
      <c r="AQ329" s="350">
        <v>38460592.676417187</v>
      </c>
      <c r="AR329" s="348">
        <v>115391837.63399085</v>
      </c>
      <c r="AS329" s="369"/>
      <c r="AT329" s="350">
        <f t="shared" si="147"/>
        <v>956482.33621299174</v>
      </c>
      <c r="AU329" s="350">
        <f t="shared" si="130"/>
        <v>2821001.9092955627</v>
      </c>
      <c r="AV329" s="350">
        <f t="shared" si="131"/>
        <v>4401046.2383173443</v>
      </c>
      <c r="AW329" s="350">
        <f t="shared" si="132"/>
        <v>5691441.240316391</v>
      </c>
      <c r="AX329" s="350">
        <f t="shared" si="133"/>
        <v>6688447.6594993472</v>
      </c>
      <c r="AY329" s="350">
        <f t="shared" si="134"/>
        <v>20558419.38364163</v>
      </c>
      <c r="AZ329" s="365"/>
      <c r="BA329" s="377">
        <f t="shared" si="135"/>
        <v>0</v>
      </c>
      <c r="BB329" s="377">
        <f t="shared" si="136"/>
        <v>0</v>
      </c>
      <c r="BC329" s="377">
        <f t="shared" si="137"/>
        <v>0</v>
      </c>
      <c r="BD329" s="377">
        <f t="shared" si="138"/>
        <v>0</v>
      </c>
      <c r="BE329" s="377">
        <f t="shared" si="139"/>
        <v>0</v>
      </c>
      <c r="BF329" s="377">
        <f t="shared" si="140"/>
        <v>0</v>
      </c>
      <c r="BG329" s="328"/>
    </row>
    <row r="330" spans="2:59">
      <c r="B330" s="332">
        <v>315</v>
      </c>
      <c r="C330" s="350">
        <v>7076814.9704631921</v>
      </c>
      <c r="D330" s="350">
        <v>13163770.998245873</v>
      </c>
      <c r="E330" s="350">
        <v>19296495.36136499</v>
      </c>
      <c r="F330" s="350">
        <v>25475462.279087536</v>
      </c>
      <c r="G330" s="350">
        <v>31701680.745400719</v>
      </c>
      <c r="H330" s="348">
        <v>96714224.354562312</v>
      </c>
      <c r="I330" s="369"/>
      <c r="J330" s="350">
        <v>8024151.302505618</v>
      </c>
      <c r="K330" s="350">
        <v>15958304.933229161</v>
      </c>
      <c r="L330" s="350">
        <v>23690055.023216881</v>
      </c>
      <c r="M330" s="350">
        <v>31213956.791675471</v>
      </c>
      <c r="N330" s="350">
        <v>38526478.378854126</v>
      </c>
      <c r="O330" s="348">
        <v>117412946.42948127</v>
      </c>
      <c r="P330" s="369"/>
      <c r="Q330" s="350">
        <f t="shared" si="141"/>
        <v>947336.33204242587</v>
      </c>
      <c r="R330" s="350">
        <f t="shared" si="142"/>
        <v>2794533.9349832889</v>
      </c>
      <c r="S330" s="350">
        <f t="shared" si="143"/>
        <v>4393559.6618518904</v>
      </c>
      <c r="T330" s="350">
        <f t="shared" si="144"/>
        <v>5738494.5125879347</v>
      </c>
      <c r="U330" s="350">
        <f t="shared" si="145"/>
        <v>6824797.6334534064</v>
      </c>
      <c r="V330" s="350">
        <f t="shared" si="146"/>
        <v>20698722.074918956</v>
      </c>
      <c r="W330" s="365"/>
      <c r="X330" s="377">
        <f t="shared" si="124"/>
        <v>0</v>
      </c>
      <c r="Y330" s="377">
        <f t="shared" si="125"/>
        <v>0</v>
      </c>
      <c r="Z330" s="377">
        <f t="shared" si="126"/>
        <v>0</v>
      </c>
      <c r="AA330" s="377">
        <f t="shared" si="127"/>
        <v>0</v>
      </c>
      <c r="AB330" s="377">
        <f t="shared" si="128"/>
        <v>0</v>
      </c>
      <c r="AC330" s="377">
        <f t="shared" si="129"/>
        <v>0</v>
      </c>
      <c r="AD330" s="376"/>
      <c r="AE330" s="332">
        <v>315</v>
      </c>
      <c r="AF330" s="350">
        <v>5741750.2689176239</v>
      </c>
      <c r="AG330" s="350">
        <v>11528591.493533248</v>
      </c>
      <c r="AH330" s="350">
        <v>17359227.841925364</v>
      </c>
      <c r="AI330" s="350">
        <v>23233852.641367987</v>
      </c>
      <c r="AJ330" s="350">
        <v>29153313.095370546</v>
      </c>
      <c r="AK330" s="348">
        <v>87016735.341114774</v>
      </c>
      <c r="AL330" s="369"/>
      <c r="AM330" s="350">
        <v>6535138.3858083412</v>
      </c>
      <c r="AN330" s="350">
        <v>13867193.290277552</v>
      </c>
      <c r="AO330" s="350">
        <v>20979492.574628226</v>
      </c>
      <c r="AP330" s="350">
        <v>27867505.78971485</v>
      </c>
      <c r="AQ330" s="350">
        <v>34528563.761578672</v>
      </c>
      <c r="AR330" s="348">
        <v>103777893.80200765</v>
      </c>
      <c r="AS330" s="369"/>
      <c r="AT330" s="350">
        <f t="shared" si="147"/>
        <v>793388.1168907173</v>
      </c>
      <c r="AU330" s="350">
        <f t="shared" si="130"/>
        <v>2338601.7967443038</v>
      </c>
      <c r="AV330" s="350">
        <f t="shared" si="131"/>
        <v>3620264.7327028625</v>
      </c>
      <c r="AW330" s="350">
        <f t="shared" si="132"/>
        <v>4633653.1483468637</v>
      </c>
      <c r="AX330" s="350">
        <f t="shared" si="133"/>
        <v>5375250.6662081257</v>
      </c>
      <c r="AY330" s="350">
        <f t="shared" si="134"/>
        <v>16761158.460892871</v>
      </c>
      <c r="AZ330" s="365"/>
      <c r="BA330" s="377">
        <f t="shared" si="135"/>
        <v>0</v>
      </c>
      <c r="BB330" s="377">
        <f t="shared" si="136"/>
        <v>0</v>
      </c>
      <c r="BC330" s="377">
        <f t="shared" si="137"/>
        <v>0</v>
      </c>
      <c r="BD330" s="377">
        <f t="shared" si="138"/>
        <v>0</v>
      </c>
      <c r="BE330" s="377">
        <f t="shared" si="139"/>
        <v>0</v>
      </c>
      <c r="BF330" s="377">
        <f t="shared" si="140"/>
        <v>0</v>
      </c>
      <c r="BG330" s="328"/>
    </row>
    <row r="331" spans="2:59">
      <c r="B331" s="332">
        <v>316</v>
      </c>
      <c r="C331" s="350">
        <v>9095228.7658334076</v>
      </c>
      <c r="D331" s="350">
        <v>17067875.707536019</v>
      </c>
      <c r="E331" s="350">
        <v>25100519.63299045</v>
      </c>
      <c r="F331" s="350">
        <v>33193736.253365196</v>
      </c>
      <c r="G331" s="350">
        <v>41348827.379958913</v>
      </c>
      <c r="H331" s="348">
        <v>125806187.73968399</v>
      </c>
      <c r="I331" s="369"/>
      <c r="J331" s="350">
        <v>10435951.311631337</v>
      </c>
      <c r="K331" s="350">
        <v>21024393.233394314</v>
      </c>
      <c r="L331" s="350">
        <v>31361555.992899444</v>
      </c>
      <c r="M331" s="350">
        <v>41439766.617728472</v>
      </c>
      <c r="N331" s="350">
        <v>51253995.409385733</v>
      </c>
      <c r="O331" s="348">
        <v>155515662.56503931</v>
      </c>
      <c r="P331" s="369"/>
      <c r="Q331" s="350">
        <f t="shared" si="141"/>
        <v>1340722.5457979292</v>
      </c>
      <c r="R331" s="350">
        <f t="shared" si="142"/>
        <v>3956517.5258582942</v>
      </c>
      <c r="S331" s="350">
        <f t="shared" si="143"/>
        <v>6261036.3599089943</v>
      </c>
      <c r="T331" s="350">
        <f t="shared" si="144"/>
        <v>8246030.3643632755</v>
      </c>
      <c r="U331" s="350">
        <f t="shared" si="145"/>
        <v>9905168.0294268206</v>
      </c>
      <c r="V331" s="350">
        <f t="shared" si="146"/>
        <v>29709474.825355321</v>
      </c>
      <c r="W331" s="365"/>
      <c r="X331" s="377">
        <f t="shared" si="124"/>
        <v>0</v>
      </c>
      <c r="Y331" s="377">
        <f t="shared" si="125"/>
        <v>0</v>
      </c>
      <c r="Z331" s="377">
        <f t="shared" si="126"/>
        <v>0</v>
      </c>
      <c r="AA331" s="377">
        <f t="shared" si="127"/>
        <v>0</v>
      </c>
      <c r="AB331" s="377">
        <f t="shared" si="128"/>
        <v>0</v>
      </c>
      <c r="AC331" s="377">
        <f t="shared" si="129"/>
        <v>0</v>
      </c>
      <c r="AD331" s="376"/>
      <c r="AE331" s="332">
        <v>316</v>
      </c>
      <c r="AF331" s="350">
        <v>6576786.4918332342</v>
      </c>
      <c r="AG331" s="350">
        <v>13205221.622922659</v>
      </c>
      <c r="AH331" s="350">
        <v>19883821.105467878</v>
      </c>
      <c r="AI331" s="350">
        <v>26612806.382782292</v>
      </c>
      <c r="AJ331" s="350">
        <v>33393147.869170889</v>
      </c>
      <c r="AK331" s="348">
        <v>99671783.472176954</v>
      </c>
      <c r="AL331" s="369"/>
      <c r="AM331" s="350">
        <v>7712412.7460541949</v>
      </c>
      <c r="AN331" s="350">
        <v>16556713.644536767</v>
      </c>
      <c r="AO331" s="350">
        <v>25156093.691168841</v>
      </c>
      <c r="AP331" s="350">
        <v>33505299.400267433</v>
      </c>
      <c r="AQ331" s="350">
        <v>41601503.163396433</v>
      </c>
      <c r="AR331" s="348">
        <v>124532022.64542367</v>
      </c>
      <c r="AS331" s="369"/>
      <c r="AT331" s="350">
        <f t="shared" si="147"/>
        <v>1135626.2542209607</v>
      </c>
      <c r="AU331" s="350">
        <f t="shared" si="130"/>
        <v>3351492.0216141082</v>
      </c>
      <c r="AV331" s="350">
        <f t="shared" si="131"/>
        <v>5272272.5857009627</v>
      </c>
      <c r="AW331" s="350">
        <f t="shared" si="132"/>
        <v>6892493.0174851418</v>
      </c>
      <c r="AX331" s="350">
        <f t="shared" si="133"/>
        <v>8208355.2942255437</v>
      </c>
      <c r="AY331" s="350">
        <f t="shared" si="134"/>
        <v>24860239.173246711</v>
      </c>
      <c r="AZ331" s="365"/>
      <c r="BA331" s="377">
        <f t="shared" si="135"/>
        <v>0</v>
      </c>
      <c r="BB331" s="377">
        <f t="shared" si="136"/>
        <v>0</v>
      </c>
      <c r="BC331" s="377">
        <f t="shared" si="137"/>
        <v>0</v>
      </c>
      <c r="BD331" s="377">
        <f t="shared" si="138"/>
        <v>0</v>
      </c>
      <c r="BE331" s="377">
        <f t="shared" si="139"/>
        <v>0</v>
      </c>
      <c r="BF331" s="377">
        <f t="shared" si="140"/>
        <v>0</v>
      </c>
      <c r="BG331" s="328"/>
    </row>
    <row r="332" spans="2:59">
      <c r="B332" s="332">
        <v>317</v>
      </c>
      <c r="C332" s="350">
        <v>8658882.083043186</v>
      </c>
      <c r="D332" s="350">
        <v>16262544.091541134</v>
      </c>
      <c r="E332" s="350">
        <v>23923430.769229822</v>
      </c>
      <c r="F332" s="350">
        <v>31642087.159337375</v>
      </c>
      <c r="G332" s="350">
        <v>39419753.073060542</v>
      </c>
      <c r="H332" s="348">
        <v>119906697.17621206</v>
      </c>
      <c r="I332" s="369"/>
      <c r="J332" s="350">
        <v>9991234.80743099</v>
      </c>
      <c r="K332" s="350">
        <v>20195170.354654685</v>
      </c>
      <c r="L332" s="350">
        <v>30158923.561487138</v>
      </c>
      <c r="M332" s="350">
        <v>39875261.429983877</v>
      </c>
      <c r="N332" s="350">
        <v>49339547.361184902</v>
      </c>
      <c r="O332" s="348">
        <v>149560137.5147416</v>
      </c>
      <c r="P332" s="369"/>
      <c r="Q332" s="350">
        <f t="shared" si="141"/>
        <v>1332352.724387804</v>
      </c>
      <c r="R332" s="350">
        <f t="shared" si="142"/>
        <v>3932626.2631135508</v>
      </c>
      <c r="S332" s="350">
        <f t="shared" si="143"/>
        <v>6235492.7922573164</v>
      </c>
      <c r="T332" s="350">
        <f t="shared" si="144"/>
        <v>8233174.2706465013</v>
      </c>
      <c r="U332" s="350">
        <f t="shared" si="145"/>
        <v>9919794.2881243601</v>
      </c>
      <c r="V332" s="350">
        <f t="shared" si="146"/>
        <v>29653440.338529542</v>
      </c>
      <c r="W332" s="365"/>
      <c r="X332" s="377">
        <f t="shared" si="124"/>
        <v>0</v>
      </c>
      <c r="Y332" s="377">
        <f t="shared" si="125"/>
        <v>0</v>
      </c>
      <c r="Z332" s="377">
        <f t="shared" si="126"/>
        <v>0</v>
      </c>
      <c r="AA332" s="377">
        <f t="shared" si="127"/>
        <v>0</v>
      </c>
      <c r="AB332" s="377">
        <f t="shared" si="128"/>
        <v>0</v>
      </c>
      <c r="AC332" s="377">
        <f t="shared" si="129"/>
        <v>0</v>
      </c>
      <c r="AD332" s="376"/>
      <c r="AE332" s="332">
        <v>317</v>
      </c>
      <c r="AF332" s="350">
        <v>5695707.8478060383</v>
      </c>
      <c r="AG332" s="350">
        <v>11436145.072231688</v>
      </c>
      <c r="AH332" s="350">
        <v>17220026.232479442</v>
      </c>
      <c r="AI332" s="350">
        <v>23047543.105554607</v>
      </c>
      <c r="AJ332" s="350">
        <v>28919536.101341162</v>
      </c>
      <c r="AK332" s="348">
        <v>86318958.359412938</v>
      </c>
      <c r="AL332" s="369"/>
      <c r="AM332" s="350">
        <v>6466731.0800256105</v>
      </c>
      <c r="AN332" s="350">
        <v>13708534.294651367</v>
      </c>
      <c r="AO332" s="350">
        <v>20731864.794805564</v>
      </c>
      <c r="AP332" s="350">
        <v>27532232.986667361</v>
      </c>
      <c r="AQ332" s="350">
        <v>34106974.892987192</v>
      </c>
      <c r="AR332" s="348">
        <v>102546338.0491371</v>
      </c>
      <c r="AS332" s="369"/>
      <c r="AT332" s="350">
        <f t="shared" si="147"/>
        <v>771023.23221957218</v>
      </c>
      <c r="AU332" s="350">
        <f t="shared" si="130"/>
        <v>2272389.2224196792</v>
      </c>
      <c r="AV332" s="350">
        <f t="shared" si="131"/>
        <v>3511838.5623261221</v>
      </c>
      <c r="AW332" s="350">
        <f t="shared" si="132"/>
        <v>4484689.8811127543</v>
      </c>
      <c r="AX332" s="350">
        <f t="shared" si="133"/>
        <v>5187438.7916460298</v>
      </c>
      <c r="AY332" s="350">
        <f t="shared" si="134"/>
        <v>16227379.689724162</v>
      </c>
      <c r="AZ332" s="365"/>
      <c r="BA332" s="377">
        <f t="shared" si="135"/>
        <v>0</v>
      </c>
      <c r="BB332" s="377">
        <f t="shared" si="136"/>
        <v>0</v>
      </c>
      <c r="BC332" s="377">
        <f t="shared" si="137"/>
        <v>0</v>
      </c>
      <c r="BD332" s="377">
        <f t="shared" si="138"/>
        <v>0</v>
      </c>
      <c r="BE332" s="377">
        <f t="shared" si="139"/>
        <v>0</v>
      </c>
      <c r="BF332" s="377">
        <f t="shared" si="140"/>
        <v>0</v>
      </c>
      <c r="BG332" s="328"/>
    </row>
    <row r="333" spans="2:59">
      <c r="B333" s="332">
        <v>318</v>
      </c>
      <c r="C333" s="350">
        <v>7783955.6039531287</v>
      </c>
      <c r="D333" s="350">
        <v>14597682.59048241</v>
      </c>
      <c r="E333" s="350">
        <v>21462682.167449668</v>
      </c>
      <c r="F333" s="350">
        <v>28379449.186873823</v>
      </c>
      <c r="G333" s="350">
        <v>35349097.456339277</v>
      </c>
      <c r="H333" s="348">
        <v>107572867.00509831</v>
      </c>
      <c r="I333" s="369"/>
      <c r="J333" s="350">
        <v>9173285.1999181658</v>
      </c>
      <c r="K333" s="350">
        <v>18701233.872570664</v>
      </c>
      <c r="L333" s="350">
        <v>28015962.403715756</v>
      </c>
      <c r="M333" s="350">
        <v>37111094.581330083</v>
      </c>
      <c r="N333" s="350">
        <v>45982836.339907587</v>
      </c>
      <c r="O333" s="348">
        <v>138984412.39744225</v>
      </c>
      <c r="P333" s="369"/>
      <c r="Q333" s="350">
        <f t="shared" si="141"/>
        <v>1389329.5959650371</v>
      </c>
      <c r="R333" s="350">
        <f t="shared" si="142"/>
        <v>4103551.2820882536</v>
      </c>
      <c r="S333" s="350">
        <f t="shared" si="143"/>
        <v>6553280.2362660877</v>
      </c>
      <c r="T333" s="350">
        <f t="shared" si="144"/>
        <v>8731645.3944562599</v>
      </c>
      <c r="U333" s="350">
        <f t="shared" si="145"/>
        <v>10633738.883568309</v>
      </c>
      <c r="V333" s="350">
        <f t="shared" si="146"/>
        <v>31411545.392343938</v>
      </c>
      <c r="W333" s="365"/>
      <c r="X333" s="377">
        <f t="shared" si="124"/>
        <v>0</v>
      </c>
      <c r="Y333" s="377">
        <f t="shared" si="125"/>
        <v>0</v>
      </c>
      <c r="Z333" s="377">
        <f t="shared" si="126"/>
        <v>0</v>
      </c>
      <c r="AA333" s="377">
        <f t="shared" si="127"/>
        <v>0</v>
      </c>
      <c r="AB333" s="377">
        <f t="shared" si="128"/>
        <v>0</v>
      </c>
      <c r="AC333" s="377">
        <f t="shared" si="129"/>
        <v>0</v>
      </c>
      <c r="AD333" s="376"/>
      <c r="AE333" s="332">
        <v>318</v>
      </c>
      <c r="AF333" s="350">
        <v>4677932.7076314427</v>
      </c>
      <c r="AG333" s="350">
        <v>9392602.0280723795</v>
      </c>
      <c r="AH333" s="350">
        <v>14142952.217996243</v>
      </c>
      <c r="AI333" s="350">
        <v>18929140.785468701</v>
      </c>
      <c r="AJ333" s="350">
        <v>23751857.966188133</v>
      </c>
      <c r="AK333" s="348">
        <v>70894485.705356896</v>
      </c>
      <c r="AL333" s="369"/>
      <c r="AM333" s="350">
        <v>5707916.2054604944</v>
      </c>
      <c r="AN333" s="350">
        <v>12435535.791198077</v>
      </c>
      <c r="AO333" s="350">
        <v>18995604.258581772</v>
      </c>
      <c r="AP333" s="350">
        <v>25384322.05493217</v>
      </c>
      <c r="AQ333" s="350">
        <v>31599903.03354774</v>
      </c>
      <c r="AR333" s="348">
        <v>94123281.343720257</v>
      </c>
      <c r="AS333" s="369"/>
      <c r="AT333" s="350">
        <f t="shared" si="147"/>
        <v>1029983.4978290517</v>
      </c>
      <c r="AU333" s="350">
        <f t="shared" si="130"/>
        <v>3042933.7631256972</v>
      </c>
      <c r="AV333" s="350">
        <f t="shared" si="131"/>
        <v>4852652.0405855291</v>
      </c>
      <c r="AW333" s="350">
        <f t="shared" si="132"/>
        <v>6455181.2694634683</v>
      </c>
      <c r="AX333" s="350">
        <f t="shared" si="133"/>
        <v>7848045.0673596077</v>
      </c>
      <c r="AY333" s="350">
        <f t="shared" si="134"/>
        <v>23228795.638363361</v>
      </c>
      <c r="AZ333" s="365"/>
      <c r="BA333" s="377">
        <f t="shared" si="135"/>
        <v>0</v>
      </c>
      <c r="BB333" s="377">
        <f t="shared" si="136"/>
        <v>0</v>
      </c>
      <c r="BC333" s="377">
        <f t="shared" si="137"/>
        <v>0</v>
      </c>
      <c r="BD333" s="377">
        <f t="shared" si="138"/>
        <v>0</v>
      </c>
      <c r="BE333" s="377">
        <f t="shared" si="139"/>
        <v>0</v>
      </c>
      <c r="BF333" s="377">
        <f t="shared" si="140"/>
        <v>0</v>
      </c>
      <c r="BG333" s="328"/>
    </row>
    <row r="334" spans="2:59">
      <c r="B334" s="332">
        <v>319</v>
      </c>
      <c r="C334" s="350">
        <v>7144522.7512801811</v>
      </c>
      <c r="D334" s="350">
        <v>13438677.078664977</v>
      </c>
      <c r="E334" s="350">
        <v>19780207.449003063</v>
      </c>
      <c r="F334" s="350">
        <v>26169559.000274777</v>
      </c>
      <c r="G334" s="350">
        <v>32607755.395652033</v>
      </c>
      <c r="H334" s="348">
        <v>99140721.674875021</v>
      </c>
      <c r="I334" s="369"/>
      <c r="J334" s="350">
        <v>8347020.6239517424</v>
      </c>
      <c r="K334" s="350">
        <v>16989409.561275117</v>
      </c>
      <c r="L334" s="350">
        <v>25436822.590039112</v>
      </c>
      <c r="M334" s="350">
        <v>33683195.160178974</v>
      </c>
      <c r="N334" s="350">
        <v>41724742.951203994</v>
      </c>
      <c r="O334" s="348">
        <v>126181190.88664895</v>
      </c>
      <c r="P334" s="369"/>
      <c r="Q334" s="350">
        <f t="shared" si="141"/>
        <v>1202497.8726715613</v>
      </c>
      <c r="R334" s="350">
        <f t="shared" si="142"/>
        <v>3550732.48261014</v>
      </c>
      <c r="S334" s="350">
        <f t="shared" si="143"/>
        <v>5656615.1410360485</v>
      </c>
      <c r="T334" s="350">
        <f t="shared" si="144"/>
        <v>7513636.1599041969</v>
      </c>
      <c r="U334" s="350">
        <f t="shared" si="145"/>
        <v>9116987.5555519611</v>
      </c>
      <c r="V334" s="350">
        <f t="shared" si="146"/>
        <v>27040469.211773932</v>
      </c>
      <c r="W334" s="365"/>
      <c r="X334" s="377">
        <f t="shared" si="124"/>
        <v>0</v>
      </c>
      <c r="Y334" s="377">
        <f t="shared" si="125"/>
        <v>0</v>
      </c>
      <c r="Z334" s="377">
        <f t="shared" si="126"/>
        <v>0</v>
      </c>
      <c r="AA334" s="377">
        <f t="shared" si="127"/>
        <v>0</v>
      </c>
      <c r="AB334" s="377">
        <f t="shared" si="128"/>
        <v>0</v>
      </c>
      <c r="AC334" s="377">
        <f t="shared" si="129"/>
        <v>0</v>
      </c>
      <c r="AD334" s="376"/>
      <c r="AE334" s="332">
        <v>319</v>
      </c>
      <c r="AF334" s="350">
        <v>6139631.178478458</v>
      </c>
      <c r="AG334" s="350">
        <v>12327477.940098783</v>
      </c>
      <c r="AH334" s="350">
        <v>18562154.656839076</v>
      </c>
      <c r="AI334" s="350">
        <v>24843868.052799758</v>
      </c>
      <c r="AJ334" s="350">
        <v>31173524.039390661</v>
      </c>
      <c r="AK334" s="348">
        <v>93046655.867606729</v>
      </c>
      <c r="AL334" s="369"/>
      <c r="AM334" s="350">
        <v>7216938.6708781142</v>
      </c>
      <c r="AN334" s="350">
        <v>15507106.528022487</v>
      </c>
      <c r="AO334" s="350">
        <v>23569147.402619004</v>
      </c>
      <c r="AP334" s="350">
        <v>31398152.150143921</v>
      </c>
      <c r="AQ334" s="350">
        <v>38991498.496518306</v>
      </c>
      <c r="AR334" s="348">
        <v>116682843.24818185</v>
      </c>
      <c r="AS334" s="369"/>
      <c r="AT334" s="350">
        <f t="shared" si="147"/>
        <v>1077307.4923996562</v>
      </c>
      <c r="AU334" s="350">
        <f t="shared" si="130"/>
        <v>3179628.5879237037</v>
      </c>
      <c r="AV334" s="350">
        <f t="shared" si="131"/>
        <v>5006992.7457799278</v>
      </c>
      <c r="AW334" s="350">
        <f t="shared" si="132"/>
        <v>6554284.0973441638</v>
      </c>
      <c r="AX334" s="350">
        <f t="shared" si="133"/>
        <v>7817974.4571276456</v>
      </c>
      <c r="AY334" s="350">
        <f t="shared" si="134"/>
        <v>23636187.38057512</v>
      </c>
      <c r="AZ334" s="365"/>
      <c r="BA334" s="377">
        <f t="shared" si="135"/>
        <v>0</v>
      </c>
      <c r="BB334" s="377">
        <f t="shared" si="136"/>
        <v>0</v>
      </c>
      <c r="BC334" s="377">
        <f t="shared" si="137"/>
        <v>0</v>
      </c>
      <c r="BD334" s="377">
        <f t="shared" si="138"/>
        <v>0</v>
      </c>
      <c r="BE334" s="377">
        <f t="shared" si="139"/>
        <v>0</v>
      </c>
      <c r="BF334" s="377">
        <f t="shared" si="140"/>
        <v>0</v>
      </c>
      <c r="BG334" s="328"/>
    </row>
    <row r="335" spans="2:59">
      <c r="B335" s="332">
        <v>320</v>
      </c>
      <c r="C335" s="350">
        <v>7114935.9542326806</v>
      </c>
      <c r="D335" s="350">
        <v>13294179.060383832</v>
      </c>
      <c r="E335" s="350">
        <v>19519904.293846563</v>
      </c>
      <c r="F335" s="350">
        <v>25792575.000479646</v>
      </c>
      <c r="G335" s="350">
        <v>32113207.61279273</v>
      </c>
      <c r="H335" s="348">
        <v>97834801.921735451</v>
      </c>
      <c r="I335" s="369"/>
      <c r="J335" s="350">
        <v>8137542.2391189421</v>
      </c>
      <c r="K335" s="350">
        <v>16311735.885589428</v>
      </c>
      <c r="L335" s="350">
        <v>24289265.639945962</v>
      </c>
      <c r="M335" s="350">
        <v>32064310.460437894</v>
      </c>
      <c r="N335" s="350">
        <v>39633069.874991946</v>
      </c>
      <c r="O335" s="348">
        <v>120435924.10008419</v>
      </c>
      <c r="P335" s="369"/>
      <c r="Q335" s="350">
        <f t="shared" si="141"/>
        <v>1022606.2848862614</v>
      </c>
      <c r="R335" s="350">
        <f t="shared" si="142"/>
        <v>3017556.8252055962</v>
      </c>
      <c r="S335" s="350">
        <f t="shared" si="143"/>
        <v>4769361.346099399</v>
      </c>
      <c r="T335" s="350">
        <f t="shared" si="144"/>
        <v>6271735.4599582478</v>
      </c>
      <c r="U335" s="350">
        <f t="shared" si="145"/>
        <v>7519862.2621992156</v>
      </c>
      <c r="V335" s="350">
        <f t="shared" si="146"/>
        <v>22601122.178348735</v>
      </c>
      <c r="W335" s="365"/>
      <c r="X335" s="377">
        <f t="shared" si="124"/>
        <v>0</v>
      </c>
      <c r="Y335" s="377">
        <f t="shared" si="125"/>
        <v>0</v>
      </c>
      <c r="Z335" s="377">
        <f t="shared" si="126"/>
        <v>0</v>
      </c>
      <c r="AA335" s="377">
        <f t="shared" si="127"/>
        <v>0</v>
      </c>
      <c r="AB335" s="377">
        <f t="shared" si="128"/>
        <v>0</v>
      </c>
      <c r="AC335" s="377">
        <f t="shared" si="129"/>
        <v>0</v>
      </c>
      <c r="AD335" s="376"/>
      <c r="AE335" s="332">
        <v>320</v>
      </c>
      <c r="AF335" s="350">
        <v>5640640.8005471211</v>
      </c>
      <c r="AG335" s="350">
        <v>11325578.526688978</v>
      </c>
      <c r="AH335" s="350">
        <v>17053540.165482692</v>
      </c>
      <c r="AI335" s="350">
        <v>22824715.639801707</v>
      </c>
      <c r="AJ335" s="350">
        <v>28639937.234307989</v>
      </c>
      <c r="AK335" s="348">
        <v>85484412.366828486</v>
      </c>
      <c r="AL335" s="369"/>
      <c r="AM335" s="350">
        <v>7138240.5817090496</v>
      </c>
      <c r="AN335" s="350">
        <v>15752918.098150609</v>
      </c>
      <c r="AO335" s="350">
        <v>24173219.588365875</v>
      </c>
      <c r="AP335" s="350">
        <v>32394491.253496278</v>
      </c>
      <c r="AQ335" s="350">
        <v>40414838.273315936</v>
      </c>
      <c r="AR335" s="348">
        <v>119873707.79503775</v>
      </c>
      <c r="AS335" s="369"/>
      <c r="AT335" s="350">
        <f t="shared" si="147"/>
        <v>1497599.7811619285</v>
      </c>
      <c r="AU335" s="350">
        <f t="shared" si="130"/>
        <v>4427339.571461631</v>
      </c>
      <c r="AV335" s="350">
        <f t="shared" si="131"/>
        <v>7119679.4228831828</v>
      </c>
      <c r="AW335" s="350">
        <f t="shared" si="132"/>
        <v>9569775.613694571</v>
      </c>
      <c r="AX335" s="350">
        <f t="shared" si="133"/>
        <v>11774901.039007947</v>
      </c>
      <c r="AY335" s="350">
        <f t="shared" si="134"/>
        <v>34389295.42820926</v>
      </c>
      <c r="AZ335" s="365"/>
      <c r="BA335" s="377">
        <f t="shared" si="135"/>
        <v>0</v>
      </c>
      <c r="BB335" s="377">
        <f t="shared" si="136"/>
        <v>0</v>
      </c>
      <c r="BC335" s="377">
        <f t="shared" si="137"/>
        <v>0</v>
      </c>
      <c r="BD335" s="377">
        <f t="shared" si="138"/>
        <v>0</v>
      </c>
      <c r="BE335" s="377">
        <f t="shared" si="139"/>
        <v>0</v>
      </c>
      <c r="BF335" s="377">
        <f t="shared" si="140"/>
        <v>0</v>
      </c>
      <c r="BG335" s="328"/>
    </row>
    <row r="336" spans="2:59">
      <c r="B336" s="332">
        <v>321</v>
      </c>
      <c r="C336" s="350">
        <v>6450141.5932616126</v>
      </c>
      <c r="D336" s="350">
        <v>12155731.121105678</v>
      </c>
      <c r="E336" s="350">
        <v>17904274.127079748</v>
      </c>
      <c r="F336" s="350">
        <v>23696167.257099338</v>
      </c>
      <c r="G336" s="350">
        <v>29532335.463889681</v>
      </c>
      <c r="H336" s="348">
        <v>89738649.562436059</v>
      </c>
      <c r="I336" s="369"/>
      <c r="J336" s="350">
        <v>7266604.4568228181</v>
      </c>
      <c r="K336" s="350">
        <v>14563066.430697044</v>
      </c>
      <c r="L336" s="350">
        <v>21671295.217135131</v>
      </c>
      <c r="M336" s="350">
        <v>28586011.350658398</v>
      </c>
      <c r="N336" s="350">
        <v>35303657.17363479</v>
      </c>
      <c r="O336" s="348">
        <v>107390634.62894818</v>
      </c>
      <c r="P336" s="369"/>
      <c r="Q336" s="350">
        <f t="shared" si="141"/>
        <v>816462.86356120557</v>
      </c>
      <c r="R336" s="350">
        <f t="shared" si="142"/>
        <v>2407335.309591366</v>
      </c>
      <c r="S336" s="350">
        <f t="shared" si="143"/>
        <v>3767021.0900553837</v>
      </c>
      <c r="T336" s="350">
        <f t="shared" si="144"/>
        <v>4889844.0935590602</v>
      </c>
      <c r="U336" s="350">
        <f t="shared" si="145"/>
        <v>5771321.7097451091</v>
      </c>
      <c r="V336" s="350">
        <f t="shared" si="146"/>
        <v>17651985.066512123</v>
      </c>
      <c r="W336" s="365"/>
      <c r="X336" s="377">
        <f t="shared" ref="X336:X399" si="148">IF(Q336&lt;Q$8,1,0)</f>
        <v>0</v>
      </c>
      <c r="Y336" s="377">
        <f t="shared" ref="Y336:Y399" si="149">IF(R336&lt;R$8,1,0)</f>
        <v>0</v>
      </c>
      <c r="Z336" s="377">
        <f t="shared" ref="Z336:Z399" si="150">IF(S336&lt;S$8,1,0)</f>
        <v>0</v>
      </c>
      <c r="AA336" s="377">
        <f t="shared" ref="AA336:AA399" si="151">IF(T336&lt;T$8,1,0)</f>
        <v>0</v>
      </c>
      <c r="AB336" s="377">
        <f t="shared" ref="AB336:AB399" si="152">IF(U336&lt;U$8,1,0)</f>
        <v>0</v>
      </c>
      <c r="AC336" s="377">
        <f t="shared" ref="AC336:AC399" si="153">IF(V336&lt;V$8,1,0)</f>
        <v>0</v>
      </c>
      <c r="AD336" s="376"/>
      <c r="AE336" s="332">
        <v>321</v>
      </c>
      <c r="AF336" s="350">
        <v>5551825.5166541971</v>
      </c>
      <c r="AG336" s="350">
        <v>11147250.477152139</v>
      </c>
      <c r="AH336" s="350">
        <v>16785021.91290582</v>
      </c>
      <c r="AI336" s="350">
        <v>22465326.756338749</v>
      </c>
      <c r="AJ336" s="350">
        <v>28188984.187290024</v>
      </c>
      <c r="AK336" s="348">
        <v>84138408.850340933</v>
      </c>
      <c r="AL336" s="369"/>
      <c r="AM336" s="350">
        <v>6726531.8717298582</v>
      </c>
      <c r="AN336" s="350">
        <v>14617205.004277453</v>
      </c>
      <c r="AO336" s="350">
        <v>22307598.164856665</v>
      </c>
      <c r="AP336" s="350">
        <v>29793215.488239635</v>
      </c>
      <c r="AQ336" s="350">
        <v>37071888.855571166</v>
      </c>
      <c r="AR336" s="348">
        <v>110516439.38467477</v>
      </c>
      <c r="AS336" s="369"/>
      <c r="AT336" s="350">
        <f t="shared" si="147"/>
        <v>1174706.3550756611</v>
      </c>
      <c r="AU336" s="350">
        <f t="shared" ref="AU336:AU399" si="154">AN336-AG336</f>
        <v>3469954.5271253139</v>
      </c>
      <c r="AV336" s="350">
        <f t="shared" ref="AV336:AV399" si="155">AO336-AH336</f>
        <v>5522576.2519508451</v>
      </c>
      <c r="AW336" s="350">
        <f t="shared" ref="AW336:AW399" si="156">AP336-AI336</f>
        <v>7327888.7319008857</v>
      </c>
      <c r="AX336" s="350">
        <f t="shared" ref="AX336:AX399" si="157">AQ336-AJ336</f>
        <v>8882904.6682811417</v>
      </c>
      <c r="AY336" s="350">
        <f t="shared" ref="AY336:AY399" si="158">AR336-AK336</f>
        <v>26378030.53433384</v>
      </c>
      <c r="AZ336" s="365"/>
      <c r="BA336" s="377">
        <f t="shared" ref="BA336:BA399" si="159">IF(AT336&lt;AT$8,1,0)</f>
        <v>0</v>
      </c>
      <c r="BB336" s="377">
        <f t="shared" ref="BB336:BB399" si="160">IF(AU336&lt;AU$8,1,0)</f>
        <v>0</v>
      </c>
      <c r="BC336" s="377">
        <f t="shared" ref="BC336:BC399" si="161">IF(AV336&lt;AV$8,1,0)</f>
        <v>0</v>
      </c>
      <c r="BD336" s="377">
        <f t="shared" ref="BD336:BD399" si="162">IF(AW336&lt;AW$8,1,0)</f>
        <v>0</v>
      </c>
      <c r="BE336" s="377">
        <f t="shared" ref="BE336:BE399" si="163">IF(AX336&lt;AX$8,1,0)</f>
        <v>0</v>
      </c>
      <c r="BF336" s="377">
        <f t="shared" ref="BF336:BF399" si="164">IF(AY336&lt;AY$8,1,0)</f>
        <v>0</v>
      </c>
      <c r="BG336" s="328"/>
    </row>
    <row r="337" spans="2:59">
      <c r="B337" s="332">
        <v>322</v>
      </c>
      <c r="C337" s="350">
        <v>6311709.3767532967</v>
      </c>
      <c r="D337" s="350">
        <v>11703402.885616254</v>
      </c>
      <c r="E337" s="350">
        <v>17135624.572635569</v>
      </c>
      <c r="F337" s="350">
        <v>22608805.777003817</v>
      </c>
      <c r="G337" s="350">
        <v>28123845.15423388</v>
      </c>
      <c r="H337" s="348">
        <v>85883387.766242817</v>
      </c>
      <c r="I337" s="369"/>
      <c r="J337" s="350">
        <v>7404856.0880805729</v>
      </c>
      <c r="K337" s="350">
        <v>14932084.159027277</v>
      </c>
      <c r="L337" s="350">
        <v>22294170.394893616</v>
      </c>
      <c r="M337" s="350">
        <v>29485974.852085333</v>
      </c>
      <c r="N337" s="350">
        <v>36504364.668146938</v>
      </c>
      <c r="O337" s="348">
        <v>110621450.16223374</v>
      </c>
      <c r="P337" s="369"/>
      <c r="Q337" s="350">
        <f t="shared" ref="Q337:Q400" si="165">J337-C337</f>
        <v>1093146.7113272762</v>
      </c>
      <c r="R337" s="350">
        <f t="shared" ref="R337:R400" si="166">K337-D337</f>
        <v>3228681.2734110225</v>
      </c>
      <c r="S337" s="350">
        <f t="shared" ref="S337:S400" si="167">L337-E337</f>
        <v>5158545.8222580478</v>
      </c>
      <c r="T337" s="350">
        <f t="shared" ref="T337:T400" si="168">M337-F337</f>
        <v>6877169.0750815161</v>
      </c>
      <c r="U337" s="350">
        <f t="shared" ref="U337:U400" si="169">N337-G337</f>
        <v>8380519.5139130577</v>
      </c>
      <c r="V337" s="350">
        <f t="shared" ref="V337:V400" si="170">O337-H337</f>
        <v>24738062.395990923</v>
      </c>
      <c r="W337" s="365"/>
      <c r="X337" s="377">
        <f t="shared" si="148"/>
        <v>0</v>
      </c>
      <c r="Y337" s="377">
        <f t="shared" si="149"/>
        <v>0</v>
      </c>
      <c r="Z337" s="377">
        <f t="shared" si="150"/>
        <v>0</v>
      </c>
      <c r="AA337" s="377">
        <f t="shared" si="151"/>
        <v>0</v>
      </c>
      <c r="AB337" s="377">
        <f t="shared" si="152"/>
        <v>0</v>
      </c>
      <c r="AC337" s="377">
        <f t="shared" si="153"/>
        <v>0</v>
      </c>
      <c r="AD337" s="376"/>
      <c r="AE337" s="332">
        <v>322</v>
      </c>
      <c r="AF337" s="350">
        <v>5842216.4629940018</v>
      </c>
      <c r="AG337" s="350">
        <v>11730312.860045228</v>
      </c>
      <c r="AH337" s="350">
        <v>17662970.685431462</v>
      </c>
      <c r="AI337" s="350">
        <v>23640386.649167959</v>
      </c>
      <c r="AJ337" s="350">
        <v>29663422.778695565</v>
      </c>
      <c r="AK337" s="348">
        <v>88539309.436334223</v>
      </c>
      <c r="AL337" s="369"/>
      <c r="AM337" s="350">
        <v>7054890.4524495006</v>
      </c>
      <c r="AN337" s="350">
        <v>15312142.263994696</v>
      </c>
      <c r="AO337" s="350">
        <v>23357935.249507092</v>
      </c>
      <c r="AP337" s="350">
        <v>31187545.025202375</v>
      </c>
      <c r="AQ337" s="350">
        <v>38798666.292069875</v>
      </c>
      <c r="AR337" s="348">
        <v>115711179.28322354</v>
      </c>
      <c r="AS337" s="369"/>
      <c r="AT337" s="350">
        <f t="shared" ref="AT337:AT400" si="171">AM337-AF337</f>
        <v>1212673.9894554988</v>
      </c>
      <c r="AU337" s="350">
        <f t="shared" si="154"/>
        <v>3581829.4039494675</v>
      </c>
      <c r="AV337" s="350">
        <f t="shared" si="155"/>
        <v>5694964.5640756302</v>
      </c>
      <c r="AW337" s="350">
        <f t="shared" si="156"/>
        <v>7547158.3760344163</v>
      </c>
      <c r="AX337" s="350">
        <f t="shared" si="157"/>
        <v>9135243.51337431</v>
      </c>
      <c r="AY337" s="350">
        <f t="shared" si="158"/>
        <v>27171869.846889317</v>
      </c>
      <c r="AZ337" s="365"/>
      <c r="BA337" s="377">
        <f t="shared" si="159"/>
        <v>0</v>
      </c>
      <c r="BB337" s="377">
        <f t="shared" si="160"/>
        <v>0</v>
      </c>
      <c r="BC337" s="377">
        <f t="shared" si="161"/>
        <v>0</v>
      </c>
      <c r="BD337" s="377">
        <f t="shared" si="162"/>
        <v>0</v>
      </c>
      <c r="BE337" s="377">
        <f t="shared" si="163"/>
        <v>0</v>
      </c>
      <c r="BF337" s="377">
        <f t="shared" si="164"/>
        <v>0</v>
      </c>
      <c r="BG337" s="328"/>
    </row>
    <row r="338" spans="2:59">
      <c r="B338" s="332">
        <v>323</v>
      </c>
      <c r="C338" s="350">
        <v>9040158.1709758621</v>
      </c>
      <c r="D338" s="350">
        <v>16910783.28911493</v>
      </c>
      <c r="E338" s="350">
        <v>24840620.021006361</v>
      </c>
      <c r="F338" s="350">
        <v>32830252.722192008</v>
      </c>
      <c r="G338" s="350">
        <v>40880973.51191815</v>
      </c>
      <c r="H338" s="348">
        <v>124502787.71520731</v>
      </c>
      <c r="I338" s="369"/>
      <c r="J338" s="350">
        <v>10377062.31808004</v>
      </c>
      <c r="K338" s="350">
        <v>20856266.307514556</v>
      </c>
      <c r="L338" s="350">
        <v>31082013.275188453</v>
      </c>
      <c r="M338" s="350">
        <v>41047005.274773628</v>
      </c>
      <c r="N338" s="350">
        <v>50746571.576402836</v>
      </c>
      <c r="O338" s="348">
        <v>154108918.7519595</v>
      </c>
      <c r="P338" s="369"/>
      <c r="Q338" s="350">
        <f t="shared" si="165"/>
        <v>1336904.1471041776</v>
      </c>
      <c r="R338" s="350">
        <f t="shared" si="166"/>
        <v>3945483.018399626</v>
      </c>
      <c r="S338" s="350">
        <f t="shared" si="167"/>
        <v>6241393.2541820928</v>
      </c>
      <c r="T338" s="350">
        <f t="shared" si="168"/>
        <v>8216752.5525816195</v>
      </c>
      <c r="U338" s="350">
        <f t="shared" si="169"/>
        <v>9865598.0644846857</v>
      </c>
      <c r="V338" s="350">
        <f t="shared" si="170"/>
        <v>29606131.036752194</v>
      </c>
      <c r="W338" s="365"/>
      <c r="X338" s="377">
        <f t="shared" si="148"/>
        <v>0</v>
      </c>
      <c r="Y338" s="377">
        <f t="shared" si="149"/>
        <v>0</v>
      </c>
      <c r="Z338" s="377">
        <f t="shared" si="150"/>
        <v>0</v>
      </c>
      <c r="AA338" s="377">
        <f t="shared" si="151"/>
        <v>0</v>
      </c>
      <c r="AB338" s="377">
        <f t="shared" si="152"/>
        <v>0</v>
      </c>
      <c r="AC338" s="377">
        <f t="shared" si="153"/>
        <v>0</v>
      </c>
      <c r="AD338" s="376"/>
      <c r="AE338" s="332">
        <v>323</v>
      </c>
      <c r="AF338" s="350">
        <v>8353005.101093825</v>
      </c>
      <c r="AG338" s="350">
        <v>16771607.792698946</v>
      </c>
      <c r="AH338" s="350">
        <v>25253922.919567652</v>
      </c>
      <c r="AI338" s="350">
        <v>33800231.73108042</v>
      </c>
      <c r="AJ338" s="350">
        <v>42411766.725152433</v>
      </c>
      <c r="AK338" s="348">
        <v>126590534.26959327</v>
      </c>
      <c r="AL338" s="369"/>
      <c r="AM338" s="350">
        <v>9991007.807874037</v>
      </c>
      <c r="AN338" s="350">
        <v>21608560.300790712</v>
      </c>
      <c r="AO338" s="350">
        <v>32920905.683645159</v>
      </c>
      <c r="AP338" s="350">
        <v>43921316.297506057</v>
      </c>
      <c r="AQ338" s="350">
        <v>54606399.041882537</v>
      </c>
      <c r="AR338" s="348">
        <v>163048189.13169852</v>
      </c>
      <c r="AS338" s="369"/>
      <c r="AT338" s="350">
        <f t="shared" si="171"/>
        <v>1638002.706780212</v>
      </c>
      <c r="AU338" s="350">
        <f t="shared" si="154"/>
        <v>4836952.5080917664</v>
      </c>
      <c r="AV338" s="350">
        <f t="shared" si="155"/>
        <v>7666982.764077507</v>
      </c>
      <c r="AW338" s="350">
        <f t="shared" si="156"/>
        <v>10121084.566425636</v>
      </c>
      <c r="AX338" s="350">
        <f t="shared" si="157"/>
        <v>12194632.316730104</v>
      </c>
      <c r="AY338" s="350">
        <f t="shared" si="158"/>
        <v>36457654.86210525</v>
      </c>
      <c r="AZ338" s="365"/>
      <c r="BA338" s="377">
        <f t="shared" si="159"/>
        <v>0</v>
      </c>
      <c r="BB338" s="377">
        <f t="shared" si="160"/>
        <v>0</v>
      </c>
      <c r="BC338" s="377">
        <f t="shared" si="161"/>
        <v>0</v>
      </c>
      <c r="BD338" s="377">
        <f t="shared" si="162"/>
        <v>0</v>
      </c>
      <c r="BE338" s="377">
        <f t="shared" si="163"/>
        <v>0</v>
      </c>
      <c r="BF338" s="377">
        <f t="shared" si="164"/>
        <v>0</v>
      </c>
      <c r="BG338" s="328"/>
    </row>
    <row r="339" spans="2:59">
      <c r="B339" s="332">
        <v>324</v>
      </c>
      <c r="C339" s="350">
        <v>9896056.2326872852</v>
      </c>
      <c r="D339" s="350">
        <v>18598222.076874144</v>
      </c>
      <c r="E339" s="350">
        <v>27365883.818311658</v>
      </c>
      <c r="F339" s="350">
        <v>36199661.645065986</v>
      </c>
      <c r="G339" s="350">
        <v>45100972.918934621</v>
      </c>
      <c r="H339" s="348">
        <v>137160796.6918737</v>
      </c>
      <c r="I339" s="369"/>
      <c r="J339" s="350">
        <v>11308416.723944426</v>
      </c>
      <c r="K339" s="350">
        <v>22765400.187473185</v>
      </c>
      <c r="L339" s="350">
        <v>33935690.189753078</v>
      </c>
      <c r="M339" s="350">
        <v>44811355.347326696</v>
      </c>
      <c r="N339" s="350">
        <v>55387304.866045877</v>
      </c>
      <c r="O339" s="348">
        <v>168208167.31454325</v>
      </c>
      <c r="P339" s="369"/>
      <c r="Q339" s="350">
        <f t="shared" si="165"/>
        <v>1412360.4912571404</v>
      </c>
      <c r="R339" s="350">
        <f t="shared" si="166"/>
        <v>4167178.110599041</v>
      </c>
      <c r="S339" s="350">
        <f t="shared" si="167"/>
        <v>6569806.3714414202</v>
      </c>
      <c r="T339" s="350">
        <f t="shared" si="168"/>
        <v>8611693.7022607103</v>
      </c>
      <c r="U339" s="350">
        <f t="shared" si="169"/>
        <v>10286331.947111256</v>
      </c>
      <c r="V339" s="350">
        <f t="shared" si="170"/>
        <v>31047370.622669548</v>
      </c>
      <c r="W339" s="365"/>
      <c r="X339" s="377">
        <f t="shared" si="148"/>
        <v>0</v>
      </c>
      <c r="Y339" s="377">
        <f t="shared" si="149"/>
        <v>0</v>
      </c>
      <c r="Z339" s="377">
        <f t="shared" si="150"/>
        <v>0</v>
      </c>
      <c r="AA339" s="377">
        <f t="shared" si="151"/>
        <v>0</v>
      </c>
      <c r="AB339" s="377">
        <f t="shared" si="152"/>
        <v>0</v>
      </c>
      <c r="AC339" s="377">
        <f t="shared" si="153"/>
        <v>0</v>
      </c>
      <c r="AD339" s="376"/>
      <c r="AE339" s="332">
        <v>324</v>
      </c>
      <c r="AF339" s="350">
        <v>6479167.2425446892</v>
      </c>
      <c r="AG339" s="350">
        <v>13009216.503535051</v>
      </c>
      <c r="AH339" s="350">
        <v>19588685.526456181</v>
      </c>
      <c r="AI339" s="350">
        <v>26217792.467738125</v>
      </c>
      <c r="AJ339" s="350">
        <v>32897493.337825257</v>
      </c>
      <c r="AK339" s="348">
        <v>98192355.078099295</v>
      </c>
      <c r="AL339" s="369"/>
      <c r="AM339" s="350">
        <v>7519814.097085976</v>
      </c>
      <c r="AN339" s="350">
        <v>16079271.564985368</v>
      </c>
      <c r="AO339" s="350">
        <v>24395103.724101543</v>
      </c>
      <c r="AP339" s="350">
        <v>32462157.162411947</v>
      </c>
      <c r="AQ339" s="350">
        <v>40277567.121089563</v>
      </c>
      <c r="AR339" s="348">
        <v>120733913.6696744</v>
      </c>
      <c r="AS339" s="369"/>
      <c r="AT339" s="350">
        <f t="shared" si="171"/>
        <v>1040646.8545412868</v>
      </c>
      <c r="AU339" s="350">
        <f t="shared" si="154"/>
        <v>3070055.0614503175</v>
      </c>
      <c r="AV339" s="350">
        <f t="shared" si="155"/>
        <v>4806418.1976453625</v>
      </c>
      <c r="AW339" s="350">
        <f t="shared" si="156"/>
        <v>6244364.6946738213</v>
      </c>
      <c r="AX339" s="350">
        <f t="shared" si="157"/>
        <v>7380073.7832643054</v>
      </c>
      <c r="AY339" s="350">
        <f t="shared" si="158"/>
        <v>22541558.591575101</v>
      </c>
      <c r="AZ339" s="365"/>
      <c r="BA339" s="377">
        <f t="shared" si="159"/>
        <v>0</v>
      </c>
      <c r="BB339" s="377">
        <f t="shared" si="160"/>
        <v>0</v>
      </c>
      <c r="BC339" s="377">
        <f t="shared" si="161"/>
        <v>0</v>
      </c>
      <c r="BD339" s="377">
        <f t="shared" si="162"/>
        <v>0</v>
      </c>
      <c r="BE339" s="377">
        <f t="shared" si="163"/>
        <v>0</v>
      </c>
      <c r="BF339" s="377">
        <f t="shared" si="164"/>
        <v>0</v>
      </c>
      <c r="BG339" s="328"/>
    </row>
    <row r="340" spans="2:59">
      <c r="B340" s="332">
        <v>325</v>
      </c>
      <c r="C340" s="350">
        <v>9680073.530233549</v>
      </c>
      <c r="D340" s="350">
        <v>18262092.50178346</v>
      </c>
      <c r="E340" s="350">
        <v>26908725.900858775</v>
      </c>
      <c r="F340" s="350">
        <v>35620564.631702542</v>
      </c>
      <c r="G340" s="350">
        <v>44398997.47149884</v>
      </c>
      <c r="H340" s="348">
        <v>134870454.03607717</v>
      </c>
      <c r="I340" s="369"/>
      <c r="J340" s="350">
        <v>11417883.829688074</v>
      </c>
      <c r="K340" s="350">
        <v>23394790.149746321</v>
      </c>
      <c r="L340" s="350">
        <v>35105053.239165321</v>
      </c>
      <c r="M340" s="350">
        <v>46540535.070112497</v>
      </c>
      <c r="N340" s="350">
        <v>57696349.23713544</v>
      </c>
      <c r="O340" s="348">
        <v>174154611.52584764</v>
      </c>
      <c r="P340" s="369"/>
      <c r="Q340" s="350">
        <f t="shared" si="165"/>
        <v>1737810.2994545251</v>
      </c>
      <c r="R340" s="350">
        <f t="shared" si="166"/>
        <v>5132697.6479628608</v>
      </c>
      <c r="S340" s="350">
        <f t="shared" si="167"/>
        <v>8196327.3383065462</v>
      </c>
      <c r="T340" s="350">
        <f t="shared" si="168"/>
        <v>10919970.438409954</v>
      </c>
      <c r="U340" s="350">
        <f t="shared" si="169"/>
        <v>13297351.765636601</v>
      </c>
      <c r="V340" s="350">
        <f t="shared" si="170"/>
        <v>39284157.489770472</v>
      </c>
      <c r="W340" s="365"/>
      <c r="X340" s="377">
        <f t="shared" si="148"/>
        <v>0</v>
      </c>
      <c r="Y340" s="377">
        <f t="shared" si="149"/>
        <v>0</v>
      </c>
      <c r="Z340" s="377">
        <f t="shared" si="150"/>
        <v>0</v>
      </c>
      <c r="AA340" s="377">
        <f t="shared" si="151"/>
        <v>0</v>
      </c>
      <c r="AB340" s="377">
        <f t="shared" si="152"/>
        <v>0</v>
      </c>
      <c r="AC340" s="377">
        <f t="shared" si="153"/>
        <v>0</v>
      </c>
      <c r="AD340" s="376"/>
      <c r="AE340" s="332">
        <v>325</v>
      </c>
      <c r="AF340" s="350">
        <v>5771686.9355188962</v>
      </c>
      <c r="AG340" s="350">
        <v>11588699.92454469</v>
      </c>
      <c r="AH340" s="350">
        <v>17449736.37887314</v>
      </c>
      <c r="AI340" s="350">
        <v>23354990.633759081</v>
      </c>
      <c r="AJ340" s="350">
        <v>29305314.309910152</v>
      </c>
      <c r="AK340" s="348">
        <v>87470428.182605952</v>
      </c>
      <c r="AL340" s="369"/>
      <c r="AM340" s="350">
        <v>7131544.5864650328</v>
      </c>
      <c r="AN340" s="350">
        <v>15607209.171095666</v>
      </c>
      <c r="AO340" s="350">
        <v>23878814.409519885</v>
      </c>
      <c r="AP340" s="350">
        <v>31941647.182867557</v>
      </c>
      <c r="AQ340" s="350">
        <v>39793593.911907896</v>
      </c>
      <c r="AR340" s="348">
        <v>118352809.26185603</v>
      </c>
      <c r="AS340" s="369"/>
      <c r="AT340" s="350">
        <f t="shared" si="171"/>
        <v>1359857.6509461366</v>
      </c>
      <c r="AU340" s="350">
        <f t="shared" si="154"/>
        <v>4018509.2465509754</v>
      </c>
      <c r="AV340" s="350">
        <f t="shared" si="155"/>
        <v>6429078.0306467451</v>
      </c>
      <c r="AW340" s="350">
        <f t="shared" si="156"/>
        <v>8586656.5491084754</v>
      </c>
      <c r="AX340" s="350">
        <f t="shared" si="157"/>
        <v>10488279.601997744</v>
      </c>
      <c r="AY340" s="350">
        <f t="shared" si="158"/>
        <v>30882381.079250082</v>
      </c>
      <c r="AZ340" s="365"/>
      <c r="BA340" s="377">
        <f t="shared" si="159"/>
        <v>0</v>
      </c>
      <c r="BB340" s="377">
        <f t="shared" si="160"/>
        <v>0</v>
      </c>
      <c r="BC340" s="377">
        <f t="shared" si="161"/>
        <v>0</v>
      </c>
      <c r="BD340" s="377">
        <f t="shared" si="162"/>
        <v>0</v>
      </c>
      <c r="BE340" s="377">
        <f t="shared" si="163"/>
        <v>0</v>
      </c>
      <c r="BF340" s="377">
        <f t="shared" si="164"/>
        <v>0</v>
      </c>
      <c r="BG340" s="328"/>
    </row>
    <row r="341" spans="2:59">
      <c r="B341" s="332">
        <v>326</v>
      </c>
      <c r="C341" s="350">
        <v>7836931.5394841395</v>
      </c>
      <c r="D341" s="350">
        <v>14953435.423106624</v>
      </c>
      <c r="E341" s="350">
        <v>22123574.433320165</v>
      </c>
      <c r="F341" s="350">
        <v>29347788.923210733</v>
      </c>
      <c r="G341" s="350">
        <v>36627208.913939297</v>
      </c>
      <c r="H341" s="348">
        <v>110888939.23306096</v>
      </c>
      <c r="I341" s="369"/>
      <c r="J341" s="350">
        <v>9034793.5020100754</v>
      </c>
      <c r="K341" s="350">
        <v>18488376.284268737</v>
      </c>
      <c r="L341" s="350">
        <v>27705809.203845762</v>
      </c>
      <c r="M341" s="350">
        <v>36680639.243731901</v>
      </c>
      <c r="N341" s="350">
        <v>45408834.223410942</v>
      </c>
      <c r="O341" s="348">
        <v>137318452.4572674</v>
      </c>
      <c r="P341" s="369"/>
      <c r="Q341" s="350">
        <f t="shared" si="165"/>
        <v>1197861.9625259358</v>
      </c>
      <c r="R341" s="350">
        <f t="shared" si="166"/>
        <v>3534940.861162113</v>
      </c>
      <c r="S341" s="350">
        <f t="shared" si="167"/>
        <v>5582234.770525597</v>
      </c>
      <c r="T341" s="350">
        <f t="shared" si="168"/>
        <v>7332850.3205211684</v>
      </c>
      <c r="U341" s="350">
        <f t="shared" si="169"/>
        <v>8781625.3094716445</v>
      </c>
      <c r="V341" s="350">
        <f t="shared" si="170"/>
        <v>26429513.224206448</v>
      </c>
      <c r="W341" s="365"/>
      <c r="X341" s="377">
        <f t="shared" si="148"/>
        <v>0</v>
      </c>
      <c r="Y341" s="377">
        <f t="shared" si="149"/>
        <v>0</v>
      </c>
      <c r="Z341" s="377">
        <f t="shared" si="150"/>
        <v>0</v>
      </c>
      <c r="AA341" s="377">
        <f t="shared" si="151"/>
        <v>0</v>
      </c>
      <c r="AB341" s="377">
        <f t="shared" si="152"/>
        <v>0</v>
      </c>
      <c r="AC341" s="377">
        <f t="shared" si="153"/>
        <v>0</v>
      </c>
      <c r="AD341" s="376"/>
      <c r="AE341" s="332">
        <v>326</v>
      </c>
      <c r="AF341" s="350">
        <v>4359270.9382736851</v>
      </c>
      <c r="AG341" s="350">
        <v>8752775.9834916145</v>
      </c>
      <c r="AH341" s="350">
        <v>13179531.309786808</v>
      </c>
      <c r="AI341" s="350">
        <v>17639683.695742048</v>
      </c>
      <c r="AJ341" s="350">
        <v>22133876.358053379</v>
      </c>
      <c r="AK341" s="348">
        <v>66065138.285347536</v>
      </c>
      <c r="AL341" s="369"/>
      <c r="AM341" s="350">
        <v>5221385.5929552149</v>
      </c>
      <c r="AN341" s="350">
        <v>11298656.707767826</v>
      </c>
      <c r="AO341" s="350">
        <v>17216863.992021292</v>
      </c>
      <c r="AP341" s="350">
        <v>22972494.354294628</v>
      </c>
      <c r="AQ341" s="350">
        <v>28563784.367155939</v>
      </c>
      <c r="AR341" s="348">
        <v>85273185.014194906</v>
      </c>
      <c r="AS341" s="369"/>
      <c r="AT341" s="350">
        <f t="shared" si="171"/>
        <v>862114.65468152985</v>
      </c>
      <c r="AU341" s="350">
        <f t="shared" si="154"/>
        <v>2545880.7242762111</v>
      </c>
      <c r="AV341" s="350">
        <f t="shared" si="155"/>
        <v>4037332.6822344847</v>
      </c>
      <c r="AW341" s="350">
        <f t="shared" si="156"/>
        <v>5332810.6585525796</v>
      </c>
      <c r="AX341" s="350">
        <f t="shared" si="157"/>
        <v>6429908.0091025606</v>
      </c>
      <c r="AY341" s="350">
        <f t="shared" si="158"/>
        <v>19208046.72884737</v>
      </c>
      <c r="AZ341" s="365"/>
      <c r="BA341" s="377">
        <f t="shared" si="159"/>
        <v>0</v>
      </c>
      <c r="BB341" s="377">
        <f t="shared" si="160"/>
        <v>0</v>
      </c>
      <c r="BC341" s="377">
        <f t="shared" si="161"/>
        <v>0</v>
      </c>
      <c r="BD341" s="377">
        <f t="shared" si="162"/>
        <v>0</v>
      </c>
      <c r="BE341" s="377">
        <f t="shared" si="163"/>
        <v>0</v>
      </c>
      <c r="BF341" s="377">
        <f t="shared" si="164"/>
        <v>0</v>
      </c>
      <c r="BG341" s="328"/>
    </row>
    <row r="342" spans="2:59">
      <c r="B342" s="332">
        <v>327</v>
      </c>
      <c r="C342" s="350">
        <v>6941008.1619950114</v>
      </c>
      <c r="D342" s="350">
        <v>13156184.053856041</v>
      </c>
      <c r="E342" s="350">
        <v>19418174.238971602</v>
      </c>
      <c r="F342" s="350">
        <v>25727388.536146034</v>
      </c>
      <c r="G342" s="350">
        <v>32084824.826681633</v>
      </c>
      <c r="H342" s="348">
        <v>97327579.817650318</v>
      </c>
      <c r="I342" s="369"/>
      <c r="J342" s="350">
        <v>8213006.754946257</v>
      </c>
      <c r="K342" s="350">
        <v>16913267.82163243</v>
      </c>
      <c r="L342" s="350">
        <v>25422980.035292663</v>
      </c>
      <c r="M342" s="350">
        <v>33736158.148102835</v>
      </c>
      <c r="N342" s="350">
        <v>41849196.395024337</v>
      </c>
      <c r="O342" s="348">
        <v>126134609.15499851</v>
      </c>
      <c r="P342" s="369"/>
      <c r="Q342" s="350">
        <f t="shared" si="165"/>
        <v>1271998.5929512456</v>
      </c>
      <c r="R342" s="350">
        <f t="shared" si="166"/>
        <v>3757083.7677763887</v>
      </c>
      <c r="S342" s="350">
        <f t="shared" si="167"/>
        <v>6004805.7963210605</v>
      </c>
      <c r="T342" s="350">
        <f t="shared" si="168"/>
        <v>8008769.6119568013</v>
      </c>
      <c r="U342" s="350">
        <f t="shared" si="169"/>
        <v>9764371.5683427043</v>
      </c>
      <c r="V342" s="350">
        <f t="shared" si="170"/>
        <v>28807029.337348193</v>
      </c>
      <c r="W342" s="365"/>
      <c r="X342" s="377">
        <f t="shared" si="148"/>
        <v>0</v>
      </c>
      <c r="Y342" s="377">
        <f t="shared" si="149"/>
        <v>0</v>
      </c>
      <c r="Z342" s="377">
        <f t="shared" si="150"/>
        <v>0</v>
      </c>
      <c r="AA342" s="377">
        <f t="shared" si="151"/>
        <v>0</v>
      </c>
      <c r="AB342" s="377">
        <f t="shared" si="152"/>
        <v>0</v>
      </c>
      <c r="AC342" s="377">
        <f t="shared" si="153"/>
        <v>0</v>
      </c>
      <c r="AD342" s="376"/>
      <c r="AE342" s="332">
        <v>327</v>
      </c>
      <c r="AF342" s="350">
        <v>8318668.7032721769</v>
      </c>
      <c r="AG342" s="350">
        <v>16702665.347398233</v>
      </c>
      <c r="AH342" s="350">
        <v>25150112.526370361</v>
      </c>
      <c r="AI342" s="350">
        <v>33661290.333447337</v>
      </c>
      <c r="AJ342" s="350">
        <v>42237426.20015946</v>
      </c>
      <c r="AK342" s="348">
        <v>126070163.11064756</v>
      </c>
      <c r="AL342" s="369"/>
      <c r="AM342" s="350">
        <v>10215944.098302295</v>
      </c>
      <c r="AN342" s="350">
        <v>22308630.353147209</v>
      </c>
      <c r="AO342" s="350">
        <v>34105331.064437442</v>
      </c>
      <c r="AP342" s="350">
        <v>45599270.992032781</v>
      </c>
      <c r="AQ342" s="350">
        <v>56787340.385022633</v>
      </c>
      <c r="AR342" s="348">
        <v>169016516.89294237</v>
      </c>
      <c r="AS342" s="369"/>
      <c r="AT342" s="350">
        <f t="shared" si="171"/>
        <v>1897275.3950301185</v>
      </c>
      <c r="AU342" s="350">
        <f t="shared" si="154"/>
        <v>5605965.005748976</v>
      </c>
      <c r="AV342" s="350">
        <f t="shared" si="155"/>
        <v>8955218.5380670801</v>
      </c>
      <c r="AW342" s="350">
        <f t="shared" si="156"/>
        <v>11937980.658585444</v>
      </c>
      <c r="AX342" s="350">
        <f t="shared" si="157"/>
        <v>14549914.184863172</v>
      </c>
      <c r="AY342" s="350">
        <f t="shared" si="158"/>
        <v>42946353.78229481</v>
      </c>
      <c r="AZ342" s="365"/>
      <c r="BA342" s="377">
        <f t="shared" si="159"/>
        <v>0</v>
      </c>
      <c r="BB342" s="377">
        <f t="shared" si="160"/>
        <v>0</v>
      </c>
      <c r="BC342" s="377">
        <f t="shared" si="161"/>
        <v>0</v>
      </c>
      <c r="BD342" s="377">
        <f t="shared" si="162"/>
        <v>0</v>
      </c>
      <c r="BE342" s="377">
        <f t="shared" si="163"/>
        <v>0</v>
      </c>
      <c r="BF342" s="377">
        <f t="shared" si="164"/>
        <v>0</v>
      </c>
      <c r="BG342" s="328"/>
    </row>
    <row r="343" spans="2:59">
      <c r="B343" s="332">
        <v>328</v>
      </c>
      <c r="C343" s="350">
        <v>8250676.8224335425</v>
      </c>
      <c r="D343" s="350">
        <v>15618555.228713438</v>
      </c>
      <c r="E343" s="350">
        <v>23041923.955993168</v>
      </c>
      <c r="F343" s="350">
        <v>30521274.666433871</v>
      </c>
      <c r="G343" s="350">
        <v>38057792.853410169</v>
      </c>
      <c r="H343" s="348">
        <v>115490223.52698418</v>
      </c>
      <c r="I343" s="369"/>
      <c r="J343" s="350">
        <v>9347231.8107364029</v>
      </c>
      <c r="K343" s="350">
        <v>18852446.029498331</v>
      </c>
      <c r="L343" s="350">
        <v>28108917.845607024</v>
      </c>
      <c r="M343" s="350">
        <v>37110055.109938055</v>
      </c>
      <c r="N343" s="350">
        <v>45851565.880404748</v>
      </c>
      <c r="O343" s="348">
        <v>139270216.67618456</v>
      </c>
      <c r="P343" s="369"/>
      <c r="Q343" s="350">
        <f t="shared" si="165"/>
        <v>1096554.9883028604</v>
      </c>
      <c r="R343" s="350">
        <f t="shared" si="166"/>
        <v>3233890.8007848933</v>
      </c>
      <c r="S343" s="350">
        <f t="shared" si="167"/>
        <v>5066993.8896138556</v>
      </c>
      <c r="T343" s="350">
        <f t="shared" si="168"/>
        <v>6588780.4435041845</v>
      </c>
      <c r="U343" s="350">
        <f t="shared" si="169"/>
        <v>7793773.0269945785</v>
      </c>
      <c r="V343" s="350">
        <f t="shared" si="170"/>
        <v>23779993.14920038</v>
      </c>
      <c r="W343" s="365"/>
      <c r="X343" s="377">
        <f t="shared" si="148"/>
        <v>0</v>
      </c>
      <c r="Y343" s="377">
        <f t="shared" si="149"/>
        <v>0</v>
      </c>
      <c r="Z343" s="377">
        <f t="shared" si="150"/>
        <v>0</v>
      </c>
      <c r="AA343" s="377">
        <f t="shared" si="151"/>
        <v>0</v>
      </c>
      <c r="AB343" s="377">
        <f t="shared" si="152"/>
        <v>0</v>
      </c>
      <c r="AC343" s="377">
        <f t="shared" si="153"/>
        <v>0</v>
      </c>
      <c r="AD343" s="376"/>
      <c r="AE343" s="332">
        <v>328</v>
      </c>
      <c r="AF343" s="350">
        <v>6610546.1832991624</v>
      </c>
      <c r="AG343" s="350">
        <v>13273006.126537403</v>
      </c>
      <c r="AH343" s="350">
        <v>19985887.92282889</v>
      </c>
      <c r="AI343" s="350">
        <v>26749414.152190782</v>
      </c>
      <c r="AJ343" s="350">
        <v>33564560.210219093</v>
      </c>
      <c r="AK343" s="348">
        <v>100183414.59507534</v>
      </c>
      <c r="AL343" s="369"/>
      <c r="AM343" s="350">
        <v>8028980.4766277894</v>
      </c>
      <c r="AN343" s="350">
        <v>17463139.344959315</v>
      </c>
      <c r="AO343" s="350">
        <v>26659415.742827822</v>
      </c>
      <c r="AP343" s="350">
        <v>35612450.877725095</v>
      </c>
      <c r="AQ343" s="350">
        <v>44319683.141129851</v>
      </c>
      <c r="AR343" s="348">
        <v>132083669.58326986</v>
      </c>
      <c r="AS343" s="369"/>
      <c r="AT343" s="350">
        <f t="shared" si="171"/>
        <v>1418434.293328627</v>
      </c>
      <c r="AU343" s="350">
        <f t="shared" si="154"/>
        <v>4190133.2184219118</v>
      </c>
      <c r="AV343" s="350">
        <f t="shared" si="155"/>
        <v>6673527.8199989311</v>
      </c>
      <c r="AW343" s="350">
        <f t="shared" si="156"/>
        <v>8863036.7255343124</v>
      </c>
      <c r="AX343" s="350">
        <f t="shared" si="157"/>
        <v>10755122.930910759</v>
      </c>
      <c r="AY343" s="350">
        <f t="shared" si="158"/>
        <v>31900254.988194525</v>
      </c>
      <c r="AZ343" s="365"/>
      <c r="BA343" s="377">
        <f t="shared" si="159"/>
        <v>0</v>
      </c>
      <c r="BB343" s="377">
        <f t="shared" si="160"/>
        <v>0</v>
      </c>
      <c r="BC343" s="377">
        <f t="shared" si="161"/>
        <v>0</v>
      </c>
      <c r="BD343" s="377">
        <f t="shared" si="162"/>
        <v>0</v>
      </c>
      <c r="BE343" s="377">
        <f t="shared" si="163"/>
        <v>0</v>
      </c>
      <c r="BF343" s="377">
        <f t="shared" si="164"/>
        <v>0</v>
      </c>
      <c r="BG343" s="328"/>
    </row>
    <row r="344" spans="2:59">
      <c r="B344" s="332">
        <v>329</v>
      </c>
      <c r="C344" s="350">
        <v>7017597.2621407676</v>
      </c>
      <c r="D344" s="350">
        <v>13090509.233056201</v>
      </c>
      <c r="E344" s="350">
        <v>19209096.265599567</v>
      </c>
      <c r="F344" s="350">
        <v>25373820.285141919</v>
      </c>
      <c r="G344" s="350">
        <v>31585683.084687632</v>
      </c>
      <c r="H344" s="348">
        <v>96276706.130626082</v>
      </c>
      <c r="I344" s="369"/>
      <c r="J344" s="350">
        <v>8057625.8516835114</v>
      </c>
      <c r="K344" s="350">
        <v>16159976.979248902</v>
      </c>
      <c r="L344" s="350">
        <v>24063663.771636091</v>
      </c>
      <c r="M344" s="350">
        <v>31763200.224316284</v>
      </c>
      <c r="N344" s="350">
        <v>39255137.458705038</v>
      </c>
      <c r="O344" s="348">
        <v>119299604.28558983</v>
      </c>
      <c r="P344" s="369"/>
      <c r="Q344" s="350">
        <f t="shared" si="165"/>
        <v>1040028.5895427437</v>
      </c>
      <c r="R344" s="350">
        <f t="shared" si="166"/>
        <v>3069467.7461927012</v>
      </c>
      <c r="S344" s="350">
        <f t="shared" si="167"/>
        <v>4854567.5060365237</v>
      </c>
      <c r="T344" s="350">
        <f t="shared" si="168"/>
        <v>6389379.9391743653</v>
      </c>
      <c r="U344" s="350">
        <f t="shared" si="169"/>
        <v>7669454.3740174063</v>
      </c>
      <c r="V344" s="350">
        <f t="shared" si="170"/>
        <v>23022898.154963747</v>
      </c>
      <c r="W344" s="365"/>
      <c r="X344" s="377">
        <f t="shared" si="148"/>
        <v>0</v>
      </c>
      <c r="Y344" s="377">
        <f t="shared" si="149"/>
        <v>0</v>
      </c>
      <c r="Z344" s="377">
        <f t="shared" si="150"/>
        <v>0</v>
      </c>
      <c r="AA344" s="377">
        <f t="shared" si="151"/>
        <v>0</v>
      </c>
      <c r="AB344" s="377">
        <f t="shared" si="152"/>
        <v>0</v>
      </c>
      <c r="AC344" s="377">
        <f t="shared" si="153"/>
        <v>0</v>
      </c>
      <c r="AD344" s="376"/>
      <c r="AE344" s="332">
        <v>329</v>
      </c>
      <c r="AF344" s="350">
        <v>5466014.4452825803</v>
      </c>
      <c r="AG344" s="350">
        <v>10974954.445257273</v>
      </c>
      <c r="AH344" s="350">
        <v>16525586.397682616</v>
      </c>
      <c r="AI344" s="350">
        <v>22118094.345685352</v>
      </c>
      <c r="AJ344" s="350">
        <v>27753284.80755759</v>
      </c>
      <c r="AK344" s="348">
        <v>82837934.441465408</v>
      </c>
      <c r="AL344" s="369"/>
      <c r="AM344" s="350">
        <v>6356684.2159178834</v>
      </c>
      <c r="AN344" s="350">
        <v>13602754.399336096</v>
      </c>
      <c r="AO344" s="350">
        <v>20643677.025708247</v>
      </c>
      <c r="AP344" s="350">
        <v>27475100.920259319</v>
      </c>
      <c r="AQ344" s="350">
        <v>34094622.20138669</v>
      </c>
      <c r="AR344" s="348">
        <v>102172838.76260823</v>
      </c>
      <c r="AS344" s="369"/>
      <c r="AT344" s="350">
        <f t="shared" si="171"/>
        <v>890669.77063530311</v>
      </c>
      <c r="AU344" s="350">
        <f t="shared" si="154"/>
        <v>2627799.9540788233</v>
      </c>
      <c r="AV344" s="350">
        <f t="shared" si="155"/>
        <v>4118090.6280256305</v>
      </c>
      <c r="AW344" s="350">
        <f t="shared" si="156"/>
        <v>5357006.5745739676</v>
      </c>
      <c r="AX344" s="350">
        <f t="shared" si="157"/>
        <v>6341337.3938290998</v>
      </c>
      <c r="AY344" s="350">
        <f t="shared" si="158"/>
        <v>19334904.321142823</v>
      </c>
      <c r="AZ344" s="365"/>
      <c r="BA344" s="377">
        <f t="shared" si="159"/>
        <v>0</v>
      </c>
      <c r="BB344" s="377">
        <f t="shared" si="160"/>
        <v>0</v>
      </c>
      <c r="BC344" s="377">
        <f t="shared" si="161"/>
        <v>0</v>
      </c>
      <c r="BD344" s="377">
        <f t="shared" si="162"/>
        <v>0</v>
      </c>
      <c r="BE344" s="377">
        <f t="shared" si="163"/>
        <v>0</v>
      </c>
      <c r="BF344" s="377">
        <f t="shared" si="164"/>
        <v>0</v>
      </c>
      <c r="BG344" s="328"/>
    </row>
    <row r="345" spans="2:59">
      <c r="B345" s="332">
        <v>330</v>
      </c>
      <c r="C345" s="350">
        <v>9108414.9153763913</v>
      </c>
      <c r="D345" s="350">
        <v>17262205.474927902</v>
      </c>
      <c r="E345" s="350">
        <v>25477411.781173497</v>
      </c>
      <c r="F345" s="350">
        <v>33754572.107007802</v>
      </c>
      <c r="G345" s="350">
        <v>42094995.861080445</v>
      </c>
      <c r="H345" s="348">
        <v>127697600.13956603</v>
      </c>
      <c r="I345" s="369"/>
      <c r="J345" s="350">
        <v>10390172.625548791</v>
      </c>
      <c r="K345" s="350">
        <v>21043408.91273893</v>
      </c>
      <c r="L345" s="350">
        <v>31428459.658198342</v>
      </c>
      <c r="M345" s="350">
        <v>41537797.939689666</v>
      </c>
      <c r="N345" s="350">
        <v>51366526.196621314</v>
      </c>
      <c r="O345" s="348">
        <v>155766365.33279705</v>
      </c>
      <c r="P345" s="369"/>
      <c r="Q345" s="350">
        <f t="shared" si="165"/>
        <v>1281757.7101723999</v>
      </c>
      <c r="R345" s="350">
        <f t="shared" si="166"/>
        <v>3781203.4378110282</v>
      </c>
      <c r="S345" s="350">
        <f t="shared" si="167"/>
        <v>5951047.8770248443</v>
      </c>
      <c r="T345" s="350">
        <f t="shared" si="168"/>
        <v>7783225.8326818645</v>
      </c>
      <c r="U345" s="350">
        <f t="shared" si="169"/>
        <v>9271530.3355408683</v>
      </c>
      <c r="V345" s="350">
        <f t="shared" si="170"/>
        <v>28068765.193231016</v>
      </c>
      <c r="W345" s="365"/>
      <c r="X345" s="377">
        <f t="shared" si="148"/>
        <v>0</v>
      </c>
      <c r="Y345" s="377">
        <f t="shared" si="149"/>
        <v>0</v>
      </c>
      <c r="Z345" s="377">
        <f t="shared" si="150"/>
        <v>0</v>
      </c>
      <c r="AA345" s="377">
        <f t="shared" si="151"/>
        <v>0</v>
      </c>
      <c r="AB345" s="377">
        <f t="shared" si="152"/>
        <v>0</v>
      </c>
      <c r="AC345" s="377">
        <f t="shared" si="153"/>
        <v>0</v>
      </c>
      <c r="AD345" s="376"/>
      <c r="AE345" s="332">
        <v>330</v>
      </c>
      <c r="AF345" s="350">
        <v>5732898.0765206022</v>
      </c>
      <c r="AG345" s="350">
        <v>11510817.590944715</v>
      </c>
      <c r="AH345" s="350">
        <v>17332464.709165595</v>
      </c>
      <c r="AI345" s="350">
        <v>23198032.460400023</v>
      </c>
      <c r="AJ345" s="350">
        <v>29108366.742003709</v>
      </c>
      <c r="AK345" s="348">
        <v>86882579.579034656</v>
      </c>
      <c r="AL345" s="369"/>
      <c r="AM345" s="350">
        <v>6570615.5675053746</v>
      </c>
      <c r="AN345" s="350">
        <v>13980909.424196564</v>
      </c>
      <c r="AO345" s="350">
        <v>21173150.776733581</v>
      </c>
      <c r="AP345" s="350">
        <v>28142803.276718173</v>
      </c>
      <c r="AQ345" s="350">
        <v>34887247.999383897</v>
      </c>
      <c r="AR345" s="348">
        <v>104754727.04453759</v>
      </c>
      <c r="AS345" s="369"/>
      <c r="AT345" s="350">
        <f t="shared" si="171"/>
        <v>837717.49098477233</v>
      </c>
      <c r="AU345" s="350">
        <f t="shared" si="154"/>
        <v>2470091.8332518488</v>
      </c>
      <c r="AV345" s="350">
        <f t="shared" si="155"/>
        <v>3840686.0675679855</v>
      </c>
      <c r="AW345" s="350">
        <f t="shared" si="156"/>
        <v>4944770.8163181506</v>
      </c>
      <c r="AX345" s="350">
        <f t="shared" si="157"/>
        <v>5778881.2573801875</v>
      </c>
      <c r="AY345" s="350">
        <f t="shared" si="158"/>
        <v>17872147.465502933</v>
      </c>
      <c r="AZ345" s="365"/>
      <c r="BA345" s="377">
        <f t="shared" si="159"/>
        <v>0</v>
      </c>
      <c r="BB345" s="377">
        <f t="shared" si="160"/>
        <v>0</v>
      </c>
      <c r="BC345" s="377">
        <f t="shared" si="161"/>
        <v>0</v>
      </c>
      <c r="BD345" s="377">
        <f t="shared" si="162"/>
        <v>0</v>
      </c>
      <c r="BE345" s="377">
        <f t="shared" si="163"/>
        <v>0</v>
      </c>
      <c r="BF345" s="377">
        <f t="shared" si="164"/>
        <v>0</v>
      </c>
      <c r="BG345" s="328"/>
    </row>
    <row r="346" spans="2:59">
      <c r="B346" s="332">
        <v>331</v>
      </c>
      <c r="C346" s="350">
        <v>8553314.2301205229</v>
      </c>
      <c r="D346" s="350">
        <v>16205546.993177334</v>
      </c>
      <c r="E346" s="350">
        <v>23915416.195729524</v>
      </c>
      <c r="F346" s="350">
        <v>31683428.352479488</v>
      </c>
      <c r="G346" s="350">
        <v>39510812.915764846</v>
      </c>
      <c r="H346" s="348">
        <v>119868518.68727171</v>
      </c>
      <c r="I346" s="369"/>
      <c r="J346" s="350">
        <v>9845724.1943552457</v>
      </c>
      <c r="K346" s="350">
        <v>20019600.942735434</v>
      </c>
      <c r="L346" s="350">
        <v>29950962.935765326</v>
      </c>
      <c r="M346" s="350">
        <v>39632483.125358179</v>
      </c>
      <c r="N346" s="350">
        <v>49059407.541569352</v>
      </c>
      <c r="O346" s="348">
        <v>148508178.73978353</v>
      </c>
      <c r="P346" s="369"/>
      <c r="Q346" s="350">
        <f t="shared" si="165"/>
        <v>1292409.9642347228</v>
      </c>
      <c r="R346" s="350">
        <f t="shared" si="166"/>
        <v>3814053.9495580997</v>
      </c>
      <c r="S346" s="350">
        <f t="shared" si="167"/>
        <v>6035546.7400358021</v>
      </c>
      <c r="T346" s="350">
        <f t="shared" si="168"/>
        <v>7949054.7728786916</v>
      </c>
      <c r="U346" s="350">
        <f t="shared" si="169"/>
        <v>9548594.6258045062</v>
      </c>
      <c r="V346" s="350">
        <f t="shared" si="170"/>
        <v>28639660.052511811</v>
      </c>
      <c r="W346" s="365"/>
      <c r="X346" s="377">
        <f t="shared" si="148"/>
        <v>0</v>
      </c>
      <c r="Y346" s="377">
        <f t="shared" si="149"/>
        <v>0</v>
      </c>
      <c r="Z346" s="377">
        <f t="shared" si="150"/>
        <v>0</v>
      </c>
      <c r="AA346" s="377">
        <f t="shared" si="151"/>
        <v>0</v>
      </c>
      <c r="AB346" s="377">
        <f t="shared" si="152"/>
        <v>0</v>
      </c>
      <c r="AC346" s="377">
        <f t="shared" si="153"/>
        <v>0</v>
      </c>
      <c r="AD346" s="376"/>
      <c r="AE346" s="332">
        <v>331</v>
      </c>
      <c r="AF346" s="350">
        <v>8694698.7121815775</v>
      </c>
      <c r="AG346" s="350">
        <v>17457678.393767342</v>
      </c>
      <c r="AH346" s="350">
        <v>26286976.774088688</v>
      </c>
      <c r="AI346" s="350">
        <v>35182886.607501283</v>
      </c>
      <c r="AJ346" s="350">
        <v>44146690.809304029</v>
      </c>
      <c r="AK346" s="348">
        <v>131768931.29684292</v>
      </c>
      <c r="AL346" s="369"/>
      <c r="AM346" s="350">
        <v>9535856.2157600261</v>
      </c>
      <c r="AN346" s="350">
        <v>19930567.792606443</v>
      </c>
      <c r="AO346" s="350">
        <v>29981714.660259083</v>
      </c>
      <c r="AP346" s="350">
        <v>39682538.282619573</v>
      </c>
      <c r="AQ346" s="350">
        <v>49028631.880782351</v>
      </c>
      <c r="AR346" s="348">
        <v>148159308.83202749</v>
      </c>
      <c r="AS346" s="369"/>
      <c r="AT346" s="350">
        <f t="shared" si="171"/>
        <v>841157.50357844867</v>
      </c>
      <c r="AU346" s="350">
        <f t="shared" si="154"/>
        <v>2472889.3988391012</v>
      </c>
      <c r="AV346" s="350">
        <f t="shared" si="155"/>
        <v>3694737.8861703947</v>
      </c>
      <c r="AW346" s="350">
        <f t="shared" si="156"/>
        <v>4499651.6751182899</v>
      </c>
      <c r="AX346" s="350">
        <f t="shared" si="157"/>
        <v>4881941.0714783221</v>
      </c>
      <c r="AY346" s="350">
        <f t="shared" si="158"/>
        <v>16390377.535184577</v>
      </c>
      <c r="AZ346" s="365"/>
      <c r="BA346" s="377">
        <f t="shared" si="159"/>
        <v>0</v>
      </c>
      <c r="BB346" s="377">
        <f t="shared" si="160"/>
        <v>0</v>
      </c>
      <c r="BC346" s="377">
        <f t="shared" si="161"/>
        <v>0</v>
      </c>
      <c r="BD346" s="377">
        <f t="shared" si="162"/>
        <v>0</v>
      </c>
      <c r="BE346" s="377">
        <f t="shared" si="163"/>
        <v>0</v>
      </c>
      <c r="BF346" s="377">
        <f t="shared" si="164"/>
        <v>0</v>
      </c>
      <c r="BG346" s="328"/>
    </row>
    <row r="347" spans="2:59">
      <c r="B347" s="332">
        <v>332</v>
      </c>
      <c r="C347" s="350">
        <v>7476826.1484432369</v>
      </c>
      <c r="D347" s="350">
        <v>13838168.224983661</v>
      </c>
      <c r="E347" s="350">
        <v>20247318.491362371</v>
      </c>
      <c r="F347" s="350">
        <v>26704793.696176656</v>
      </c>
      <c r="G347" s="350">
        <v>33211657.520013694</v>
      </c>
      <c r="H347" s="348">
        <v>101478764.08097962</v>
      </c>
      <c r="I347" s="369"/>
      <c r="J347" s="350">
        <v>8972098.6154037993</v>
      </c>
      <c r="K347" s="350">
        <v>18257047.153967399</v>
      </c>
      <c r="L347" s="350">
        <v>27349824.984389633</v>
      </c>
      <c r="M347" s="350">
        <v>36244453.821903825</v>
      </c>
      <c r="N347" s="350">
        <v>44937590.63078554</v>
      </c>
      <c r="O347" s="348">
        <v>135761015.20645019</v>
      </c>
      <c r="P347" s="369"/>
      <c r="Q347" s="350">
        <f t="shared" si="165"/>
        <v>1495272.4669605624</v>
      </c>
      <c r="R347" s="350">
        <f t="shared" si="166"/>
        <v>4418878.9289837386</v>
      </c>
      <c r="S347" s="350">
        <f t="shared" si="167"/>
        <v>7102506.4930272624</v>
      </c>
      <c r="T347" s="350">
        <f t="shared" si="168"/>
        <v>9539660.1257271692</v>
      </c>
      <c r="U347" s="350">
        <f t="shared" si="169"/>
        <v>11725933.110771846</v>
      </c>
      <c r="V347" s="350">
        <f t="shared" si="170"/>
        <v>34282251.125470579</v>
      </c>
      <c r="W347" s="365"/>
      <c r="X347" s="377">
        <f t="shared" si="148"/>
        <v>0</v>
      </c>
      <c r="Y347" s="377">
        <f t="shared" si="149"/>
        <v>0</v>
      </c>
      <c r="Z347" s="377">
        <f t="shared" si="150"/>
        <v>0</v>
      </c>
      <c r="AA347" s="377">
        <f t="shared" si="151"/>
        <v>0</v>
      </c>
      <c r="AB347" s="377">
        <f t="shared" si="152"/>
        <v>0</v>
      </c>
      <c r="AC347" s="377">
        <f t="shared" si="153"/>
        <v>0</v>
      </c>
      <c r="AD347" s="376"/>
      <c r="AE347" s="332">
        <v>332</v>
      </c>
      <c r="AF347" s="350">
        <v>5742360.3880740069</v>
      </c>
      <c r="AG347" s="350">
        <v>11529816.523217035</v>
      </c>
      <c r="AH347" s="350">
        <v>17361072.435812302</v>
      </c>
      <c r="AI347" s="350">
        <v>23236321.473676804</v>
      </c>
      <c r="AJ347" s="350">
        <v>29156410.930343933</v>
      </c>
      <c r="AK347" s="348">
        <v>87025981.751124084</v>
      </c>
      <c r="AL347" s="369"/>
      <c r="AM347" s="350">
        <v>7069126.9687981298</v>
      </c>
      <c r="AN347" s="350">
        <v>15450260.689211925</v>
      </c>
      <c r="AO347" s="350">
        <v>23627587.766483508</v>
      </c>
      <c r="AP347" s="350">
        <v>31596426.434691414</v>
      </c>
      <c r="AQ347" s="350">
        <v>39354647.338210635</v>
      </c>
      <c r="AR347" s="348">
        <v>117098049.19739562</v>
      </c>
      <c r="AS347" s="369"/>
      <c r="AT347" s="350">
        <f t="shared" si="171"/>
        <v>1326766.5807241229</v>
      </c>
      <c r="AU347" s="350">
        <f t="shared" si="154"/>
        <v>3920444.16599489</v>
      </c>
      <c r="AV347" s="350">
        <f t="shared" si="155"/>
        <v>6266515.3306712061</v>
      </c>
      <c r="AW347" s="350">
        <f t="shared" si="156"/>
        <v>8360104.9610146098</v>
      </c>
      <c r="AX347" s="350">
        <f t="shared" si="157"/>
        <v>10198236.407866701</v>
      </c>
      <c r="AY347" s="350">
        <f t="shared" si="158"/>
        <v>30072067.446271539</v>
      </c>
      <c r="AZ347" s="365"/>
      <c r="BA347" s="377">
        <f t="shared" si="159"/>
        <v>0</v>
      </c>
      <c r="BB347" s="377">
        <f t="shared" si="160"/>
        <v>0</v>
      </c>
      <c r="BC347" s="377">
        <f t="shared" si="161"/>
        <v>0</v>
      </c>
      <c r="BD347" s="377">
        <f t="shared" si="162"/>
        <v>0</v>
      </c>
      <c r="BE347" s="377">
        <f t="shared" si="163"/>
        <v>0</v>
      </c>
      <c r="BF347" s="377">
        <f t="shared" si="164"/>
        <v>0</v>
      </c>
      <c r="BG347" s="328"/>
    </row>
    <row r="348" spans="2:59">
      <c r="B348" s="332">
        <v>333</v>
      </c>
      <c r="C348" s="350">
        <v>8464901.3038501013</v>
      </c>
      <c r="D348" s="350">
        <v>16112022.894919958</v>
      </c>
      <c r="E348" s="350">
        <v>23816766.192748223</v>
      </c>
      <c r="F348" s="350">
        <v>31579615.77840713</v>
      </c>
      <c r="G348" s="350">
        <v>39401790.886964962</v>
      </c>
      <c r="H348" s="348">
        <v>119375097.05689037</v>
      </c>
      <c r="I348" s="369"/>
      <c r="J348" s="350">
        <v>9901697.3295363374</v>
      </c>
      <c r="K348" s="350">
        <v>20354271.372876078</v>
      </c>
      <c r="L348" s="350">
        <v>30558019.986406513</v>
      </c>
      <c r="M348" s="350">
        <v>40505967.977788851</v>
      </c>
      <c r="N348" s="350">
        <v>50193928.326055154</v>
      </c>
      <c r="O348" s="348">
        <v>151513884.99266294</v>
      </c>
      <c r="P348" s="369"/>
      <c r="Q348" s="350">
        <f t="shared" si="165"/>
        <v>1436796.0256862361</v>
      </c>
      <c r="R348" s="350">
        <f t="shared" si="166"/>
        <v>4242248.4779561199</v>
      </c>
      <c r="S348" s="350">
        <f t="shared" si="167"/>
        <v>6741253.7936582901</v>
      </c>
      <c r="T348" s="350">
        <f t="shared" si="168"/>
        <v>8926352.1993817203</v>
      </c>
      <c r="U348" s="350">
        <f t="shared" si="169"/>
        <v>10792137.439090192</v>
      </c>
      <c r="V348" s="350">
        <f t="shared" si="170"/>
        <v>32138787.935772568</v>
      </c>
      <c r="W348" s="365"/>
      <c r="X348" s="377">
        <f t="shared" si="148"/>
        <v>0</v>
      </c>
      <c r="Y348" s="377">
        <f t="shared" si="149"/>
        <v>0</v>
      </c>
      <c r="Z348" s="377">
        <f t="shared" si="150"/>
        <v>0</v>
      </c>
      <c r="AA348" s="377">
        <f t="shared" si="151"/>
        <v>0</v>
      </c>
      <c r="AB348" s="377">
        <f t="shared" si="152"/>
        <v>0</v>
      </c>
      <c r="AC348" s="377">
        <f t="shared" si="153"/>
        <v>0</v>
      </c>
      <c r="AD348" s="376"/>
      <c r="AE348" s="332">
        <v>333</v>
      </c>
      <c r="AF348" s="350">
        <v>5759131.8923703125</v>
      </c>
      <c r="AG348" s="350">
        <v>11563491.241327092</v>
      </c>
      <c r="AH348" s="350">
        <v>17411778.292161971</v>
      </c>
      <c r="AI348" s="350">
        <v>23304186.957395919</v>
      </c>
      <c r="AJ348" s="350">
        <v>29241567.005221903</v>
      </c>
      <c r="AK348" s="348">
        <v>87280155.388477206</v>
      </c>
      <c r="AL348" s="369"/>
      <c r="AM348" s="350">
        <v>7376724.417882124</v>
      </c>
      <c r="AN348" s="350">
        <v>16346397.828347638</v>
      </c>
      <c r="AO348" s="350">
        <v>25120263.61510504</v>
      </c>
      <c r="AP348" s="350">
        <v>33693545.178008288</v>
      </c>
      <c r="AQ348" s="350">
        <v>42064397.556297004</v>
      </c>
      <c r="AR348" s="348">
        <v>124601328.59564009</v>
      </c>
      <c r="AS348" s="369"/>
      <c r="AT348" s="350">
        <f t="shared" si="171"/>
        <v>1617592.5255118115</v>
      </c>
      <c r="AU348" s="350">
        <f t="shared" si="154"/>
        <v>4782906.5870205462</v>
      </c>
      <c r="AV348" s="350">
        <f t="shared" si="155"/>
        <v>7708485.322943069</v>
      </c>
      <c r="AW348" s="350">
        <f t="shared" si="156"/>
        <v>10389358.220612369</v>
      </c>
      <c r="AX348" s="350">
        <f t="shared" si="157"/>
        <v>12822830.551075101</v>
      </c>
      <c r="AY348" s="350">
        <f t="shared" si="158"/>
        <v>37321173.207162887</v>
      </c>
      <c r="AZ348" s="365"/>
      <c r="BA348" s="377">
        <f t="shared" si="159"/>
        <v>0</v>
      </c>
      <c r="BB348" s="377">
        <f t="shared" si="160"/>
        <v>0</v>
      </c>
      <c r="BC348" s="377">
        <f t="shared" si="161"/>
        <v>0</v>
      </c>
      <c r="BD348" s="377">
        <f t="shared" si="162"/>
        <v>0</v>
      </c>
      <c r="BE348" s="377">
        <f t="shared" si="163"/>
        <v>0</v>
      </c>
      <c r="BF348" s="377">
        <f t="shared" si="164"/>
        <v>0</v>
      </c>
      <c r="BG348" s="328"/>
    </row>
    <row r="349" spans="2:59">
      <c r="B349" s="332">
        <v>334</v>
      </c>
      <c r="C349" s="350">
        <v>8051027.2299314244</v>
      </c>
      <c r="D349" s="350">
        <v>15315893.292372908</v>
      </c>
      <c r="E349" s="350">
        <v>22635498.073047534</v>
      </c>
      <c r="F349" s="350">
        <v>30010304.348315455</v>
      </c>
      <c r="G349" s="350">
        <v>37441471.459577061</v>
      </c>
      <c r="H349" s="348">
        <v>113454194.40324438</v>
      </c>
      <c r="I349" s="369"/>
      <c r="J349" s="350">
        <v>9012723.6316749696</v>
      </c>
      <c r="K349" s="350">
        <v>18150069.167044926</v>
      </c>
      <c r="L349" s="350">
        <v>27040668.161999322</v>
      </c>
      <c r="M349" s="350">
        <v>35677933.25089331</v>
      </c>
      <c r="N349" s="350">
        <v>44057399.197316557</v>
      </c>
      <c r="O349" s="348">
        <v>133938793.40892908</v>
      </c>
      <c r="P349" s="369"/>
      <c r="Q349" s="350">
        <f t="shared" si="165"/>
        <v>961696.4017435452</v>
      </c>
      <c r="R349" s="350">
        <f t="shared" si="166"/>
        <v>2834175.874672018</v>
      </c>
      <c r="S349" s="350">
        <f t="shared" si="167"/>
        <v>4405170.0889517888</v>
      </c>
      <c r="T349" s="350">
        <f t="shared" si="168"/>
        <v>5667628.9025778547</v>
      </c>
      <c r="U349" s="350">
        <f t="shared" si="169"/>
        <v>6615927.7377394959</v>
      </c>
      <c r="V349" s="350">
        <f t="shared" si="170"/>
        <v>20484599.005684704</v>
      </c>
      <c r="W349" s="365"/>
      <c r="X349" s="377">
        <f t="shared" si="148"/>
        <v>0</v>
      </c>
      <c r="Y349" s="377">
        <f t="shared" si="149"/>
        <v>0</v>
      </c>
      <c r="Z349" s="377">
        <f t="shared" si="150"/>
        <v>0</v>
      </c>
      <c r="AA349" s="377">
        <f t="shared" si="151"/>
        <v>0</v>
      </c>
      <c r="AB349" s="377">
        <f t="shared" si="152"/>
        <v>0</v>
      </c>
      <c r="AC349" s="377">
        <f t="shared" si="153"/>
        <v>0</v>
      </c>
      <c r="AD349" s="376"/>
      <c r="AE349" s="332">
        <v>334</v>
      </c>
      <c r="AF349" s="350">
        <v>10043670.952910695</v>
      </c>
      <c r="AG349" s="350">
        <v>20166216.587020017</v>
      </c>
      <c r="AH349" s="350">
        <v>30365370.187681668</v>
      </c>
      <c r="AI349" s="350">
        <v>40641469.92974399</v>
      </c>
      <c r="AJ349" s="350">
        <v>50995997.771299966</v>
      </c>
      <c r="AK349" s="348">
        <v>152212725.42865634</v>
      </c>
      <c r="AL349" s="369"/>
      <c r="AM349" s="350">
        <v>11356368.361603307</v>
      </c>
      <c r="AN349" s="350">
        <v>24034182.443838179</v>
      </c>
      <c r="AO349" s="350">
        <v>36325342.272978798</v>
      </c>
      <c r="AP349" s="350">
        <v>48221944.276593536</v>
      </c>
      <c r="AQ349" s="350">
        <v>59719243.358052559</v>
      </c>
      <c r="AR349" s="348">
        <v>179657080.71306637</v>
      </c>
      <c r="AS349" s="369"/>
      <c r="AT349" s="350">
        <f t="shared" si="171"/>
        <v>1312697.4086926114</v>
      </c>
      <c r="AU349" s="350">
        <f t="shared" si="154"/>
        <v>3867965.8568181619</v>
      </c>
      <c r="AV349" s="350">
        <f t="shared" si="155"/>
        <v>5959972.08529713</v>
      </c>
      <c r="AW349" s="350">
        <f t="shared" si="156"/>
        <v>7580474.3468495458</v>
      </c>
      <c r="AX349" s="350">
        <f t="shared" si="157"/>
        <v>8723245.5867525935</v>
      </c>
      <c r="AY349" s="350">
        <f t="shared" si="158"/>
        <v>27444355.28441003</v>
      </c>
      <c r="AZ349" s="365"/>
      <c r="BA349" s="377">
        <f t="shared" si="159"/>
        <v>0</v>
      </c>
      <c r="BB349" s="377">
        <f t="shared" si="160"/>
        <v>0</v>
      </c>
      <c r="BC349" s="377">
        <f t="shared" si="161"/>
        <v>0</v>
      </c>
      <c r="BD349" s="377">
        <f t="shared" si="162"/>
        <v>0</v>
      </c>
      <c r="BE349" s="377">
        <f t="shared" si="163"/>
        <v>0</v>
      </c>
      <c r="BF349" s="377">
        <f t="shared" si="164"/>
        <v>0</v>
      </c>
      <c r="BG349" s="328"/>
    </row>
    <row r="350" spans="2:59">
      <c r="B350" s="332">
        <v>335</v>
      </c>
      <c r="C350" s="350">
        <v>6928867.0573976766</v>
      </c>
      <c r="D350" s="350">
        <v>13016352.699842382</v>
      </c>
      <c r="E350" s="350">
        <v>19149653.350823708</v>
      </c>
      <c r="F350" s="350">
        <v>25329204.476640943</v>
      </c>
      <c r="G350" s="350">
        <v>31555998.279778432</v>
      </c>
      <c r="H350" s="348">
        <v>95980075.864483148</v>
      </c>
      <c r="I350" s="369"/>
      <c r="J350" s="350">
        <v>7797848.591359335</v>
      </c>
      <c r="K350" s="350">
        <v>15578515.230568197</v>
      </c>
      <c r="L350" s="350">
        <v>23161259.819749292</v>
      </c>
      <c r="M350" s="350">
        <v>30540355.179436203</v>
      </c>
      <c r="N350" s="350">
        <v>37711897.062958084</v>
      </c>
      <c r="O350" s="348">
        <v>114789875.88407111</v>
      </c>
      <c r="P350" s="369"/>
      <c r="Q350" s="350">
        <f t="shared" si="165"/>
        <v>868981.53396165837</v>
      </c>
      <c r="R350" s="350">
        <f t="shared" si="166"/>
        <v>2562162.5307258144</v>
      </c>
      <c r="S350" s="350">
        <f t="shared" si="167"/>
        <v>4011606.4689255841</v>
      </c>
      <c r="T350" s="350">
        <f t="shared" si="168"/>
        <v>5211150.7027952597</v>
      </c>
      <c r="U350" s="350">
        <f t="shared" si="169"/>
        <v>6155898.7831796519</v>
      </c>
      <c r="V350" s="350">
        <f t="shared" si="170"/>
        <v>18809800.019587964</v>
      </c>
      <c r="W350" s="365"/>
      <c r="X350" s="377">
        <f t="shared" si="148"/>
        <v>0</v>
      </c>
      <c r="Y350" s="377">
        <f t="shared" si="149"/>
        <v>0</v>
      </c>
      <c r="Z350" s="377">
        <f t="shared" si="150"/>
        <v>0</v>
      </c>
      <c r="AA350" s="377">
        <f t="shared" si="151"/>
        <v>0</v>
      </c>
      <c r="AB350" s="377">
        <f t="shared" si="152"/>
        <v>0</v>
      </c>
      <c r="AC350" s="377">
        <f t="shared" si="153"/>
        <v>0</v>
      </c>
      <c r="AD350" s="376"/>
      <c r="AE350" s="332">
        <v>335</v>
      </c>
      <c r="AF350" s="350">
        <v>5884014.4470039327</v>
      </c>
      <c r="AG350" s="350">
        <v>11814237.074846469</v>
      </c>
      <c r="AH350" s="350">
        <v>17789339.944590885</v>
      </c>
      <c r="AI350" s="350">
        <v>23809521.173609063</v>
      </c>
      <c r="AJ350" s="350">
        <v>29875648.956694506</v>
      </c>
      <c r="AK350" s="348">
        <v>89172761.596744865</v>
      </c>
      <c r="AL350" s="369"/>
      <c r="AM350" s="350">
        <v>6754419.365849765</v>
      </c>
      <c r="AN350" s="350">
        <v>14380892.429385759</v>
      </c>
      <c r="AO350" s="350">
        <v>21783882.873407654</v>
      </c>
      <c r="AP350" s="350">
        <v>28958731.773947909</v>
      </c>
      <c r="AQ350" s="350">
        <v>35902761.913666651</v>
      </c>
      <c r="AR350" s="348">
        <v>107780688.35625774</v>
      </c>
      <c r="AS350" s="369"/>
      <c r="AT350" s="350">
        <f t="shared" si="171"/>
        <v>870404.91884583235</v>
      </c>
      <c r="AU350" s="350">
        <f t="shared" si="154"/>
        <v>2566655.3545392901</v>
      </c>
      <c r="AV350" s="350">
        <f t="shared" si="155"/>
        <v>3994542.9288167693</v>
      </c>
      <c r="AW350" s="350">
        <f t="shared" si="156"/>
        <v>5149210.6003388464</v>
      </c>
      <c r="AX350" s="350">
        <f t="shared" si="157"/>
        <v>6027112.9569721445</v>
      </c>
      <c r="AY350" s="350">
        <f t="shared" si="158"/>
        <v>18607926.759512872</v>
      </c>
      <c r="AZ350" s="365"/>
      <c r="BA350" s="377">
        <f t="shared" si="159"/>
        <v>0</v>
      </c>
      <c r="BB350" s="377">
        <f t="shared" si="160"/>
        <v>0</v>
      </c>
      <c r="BC350" s="377">
        <f t="shared" si="161"/>
        <v>0</v>
      </c>
      <c r="BD350" s="377">
        <f t="shared" si="162"/>
        <v>0</v>
      </c>
      <c r="BE350" s="377">
        <f t="shared" si="163"/>
        <v>0</v>
      </c>
      <c r="BF350" s="377">
        <f t="shared" si="164"/>
        <v>0</v>
      </c>
      <c r="BG350" s="328"/>
    </row>
    <row r="351" spans="2:59">
      <c r="B351" s="332">
        <v>336</v>
      </c>
      <c r="C351" s="350">
        <v>11150210.806824267</v>
      </c>
      <c r="D351" s="350">
        <v>20788628.987011291</v>
      </c>
      <c r="E351" s="350">
        <v>30499535.224018499</v>
      </c>
      <c r="F351" s="350">
        <v>40283665.902697019</v>
      </c>
      <c r="G351" s="350">
        <v>50142612.401622936</v>
      </c>
      <c r="H351" s="348">
        <v>152864653.32217401</v>
      </c>
      <c r="I351" s="369"/>
      <c r="J351" s="350">
        <v>12991606.984690703</v>
      </c>
      <c r="K351" s="350">
        <v>26225937.948576108</v>
      </c>
      <c r="L351" s="350">
        <v>39157324.168685548</v>
      </c>
      <c r="M351" s="350">
        <v>51776741.870878488</v>
      </c>
      <c r="N351" s="350">
        <v>64078635.409902491</v>
      </c>
      <c r="O351" s="348">
        <v>194230246.38273335</v>
      </c>
      <c r="P351" s="369"/>
      <c r="Q351" s="350">
        <f t="shared" si="165"/>
        <v>1841396.1778664365</v>
      </c>
      <c r="R351" s="350">
        <f t="shared" si="166"/>
        <v>5437308.9615648165</v>
      </c>
      <c r="S351" s="350">
        <f t="shared" si="167"/>
        <v>8657788.9446670488</v>
      </c>
      <c r="T351" s="350">
        <f t="shared" si="168"/>
        <v>11493075.968181469</v>
      </c>
      <c r="U351" s="350">
        <f t="shared" si="169"/>
        <v>13936023.008279555</v>
      </c>
      <c r="V351" s="350">
        <f t="shared" si="170"/>
        <v>41365593.060559332</v>
      </c>
      <c r="W351" s="365"/>
      <c r="X351" s="377">
        <f t="shared" si="148"/>
        <v>0</v>
      </c>
      <c r="Y351" s="377">
        <f t="shared" si="149"/>
        <v>0</v>
      </c>
      <c r="Z351" s="377">
        <f t="shared" si="150"/>
        <v>0</v>
      </c>
      <c r="AA351" s="377">
        <f t="shared" si="151"/>
        <v>0</v>
      </c>
      <c r="AB351" s="377">
        <f t="shared" si="152"/>
        <v>0</v>
      </c>
      <c r="AC351" s="377">
        <f t="shared" si="153"/>
        <v>0</v>
      </c>
      <c r="AD351" s="376"/>
      <c r="AE351" s="332">
        <v>336</v>
      </c>
      <c r="AF351" s="350">
        <v>7551602.9287681803</v>
      </c>
      <c r="AG351" s="350">
        <v>15162509.898492875</v>
      </c>
      <c r="AH351" s="350">
        <v>22831016.619075187</v>
      </c>
      <c r="AI351" s="350">
        <v>30557377.356329598</v>
      </c>
      <c r="AJ351" s="350">
        <v>38342706.360128254</v>
      </c>
      <c r="AK351" s="348">
        <v>114445213.16279408</v>
      </c>
      <c r="AL351" s="369"/>
      <c r="AM351" s="350">
        <v>8916278.4171889722</v>
      </c>
      <c r="AN351" s="350">
        <v>19190857.646229133</v>
      </c>
      <c r="AO351" s="350">
        <v>29186032.420770016</v>
      </c>
      <c r="AP351" s="350">
        <v>38895753.403857209</v>
      </c>
      <c r="AQ351" s="350">
        <v>48316835.377743252</v>
      </c>
      <c r="AR351" s="348">
        <v>144505757.26578858</v>
      </c>
      <c r="AS351" s="369"/>
      <c r="AT351" s="350">
        <f t="shared" si="171"/>
        <v>1364675.4884207919</v>
      </c>
      <c r="AU351" s="350">
        <f t="shared" si="154"/>
        <v>4028347.7477362584</v>
      </c>
      <c r="AV351" s="350">
        <f t="shared" si="155"/>
        <v>6355015.801694829</v>
      </c>
      <c r="AW351" s="350">
        <f t="shared" si="156"/>
        <v>8338376.0475276113</v>
      </c>
      <c r="AX351" s="350">
        <f t="shared" si="157"/>
        <v>9974129.0176149979</v>
      </c>
      <c r="AY351" s="350">
        <f t="shared" si="158"/>
        <v>30060544.102994502</v>
      </c>
      <c r="AZ351" s="365"/>
      <c r="BA351" s="377">
        <f t="shared" si="159"/>
        <v>0</v>
      </c>
      <c r="BB351" s="377">
        <f t="shared" si="160"/>
        <v>0</v>
      </c>
      <c r="BC351" s="377">
        <f t="shared" si="161"/>
        <v>0</v>
      </c>
      <c r="BD351" s="377">
        <f t="shared" si="162"/>
        <v>0</v>
      </c>
      <c r="BE351" s="377">
        <f t="shared" si="163"/>
        <v>0</v>
      </c>
      <c r="BF351" s="377">
        <f t="shared" si="164"/>
        <v>0</v>
      </c>
      <c r="BG351" s="328"/>
    </row>
    <row r="352" spans="2:59">
      <c r="B352" s="332">
        <v>337</v>
      </c>
      <c r="C352" s="350">
        <v>10728596.062626503</v>
      </c>
      <c r="D352" s="350">
        <v>20266350.000490598</v>
      </c>
      <c r="E352" s="350">
        <v>29875922.615959331</v>
      </c>
      <c r="F352" s="350">
        <v>39557962.916685566</v>
      </c>
      <c r="G352" s="350">
        <v>49314010.989412382</v>
      </c>
      <c r="H352" s="348">
        <v>149742842.58517438</v>
      </c>
      <c r="I352" s="369"/>
      <c r="J352" s="350">
        <v>12476194.686800487</v>
      </c>
      <c r="K352" s="350">
        <v>25425695.217763707</v>
      </c>
      <c r="L352" s="350">
        <v>38066853.907700598</v>
      </c>
      <c r="M352" s="350">
        <v>50390904.983762175</v>
      </c>
      <c r="N352" s="350">
        <v>62392472.368646175</v>
      </c>
      <c r="O352" s="348">
        <v>188752121.16467315</v>
      </c>
      <c r="P352" s="369"/>
      <c r="Q352" s="350">
        <f t="shared" si="165"/>
        <v>1747598.6241739839</v>
      </c>
      <c r="R352" s="350">
        <f t="shared" si="166"/>
        <v>5159345.2172731087</v>
      </c>
      <c r="S352" s="350">
        <f t="shared" si="167"/>
        <v>8190931.2917412668</v>
      </c>
      <c r="T352" s="350">
        <f t="shared" si="168"/>
        <v>10832942.067076609</v>
      </c>
      <c r="U352" s="350">
        <f t="shared" si="169"/>
        <v>13078461.379233792</v>
      </c>
      <c r="V352" s="350">
        <f t="shared" si="170"/>
        <v>39009278.579498768</v>
      </c>
      <c r="W352" s="365"/>
      <c r="X352" s="377">
        <f t="shared" si="148"/>
        <v>0</v>
      </c>
      <c r="Y352" s="377">
        <f t="shared" si="149"/>
        <v>0</v>
      </c>
      <c r="Z352" s="377">
        <f t="shared" si="150"/>
        <v>0</v>
      </c>
      <c r="AA352" s="377">
        <f t="shared" si="151"/>
        <v>0</v>
      </c>
      <c r="AB352" s="377">
        <f t="shared" si="152"/>
        <v>0</v>
      </c>
      <c r="AC352" s="377">
        <f t="shared" si="153"/>
        <v>0</v>
      </c>
      <c r="AD352" s="376"/>
      <c r="AE352" s="332">
        <v>337</v>
      </c>
      <c r="AF352" s="350">
        <v>4018977.3062631236</v>
      </c>
      <c r="AG352" s="350">
        <v>8069516.3348548878</v>
      </c>
      <c r="AH352" s="350">
        <v>12150710.059373699</v>
      </c>
      <c r="AI352" s="350">
        <v>16262693.80056507</v>
      </c>
      <c r="AJ352" s="350">
        <v>20406060.56431026</v>
      </c>
      <c r="AK352" s="348">
        <v>60907958.065367043</v>
      </c>
      <c r="AL352" s="369"/>
      <c r="AM352" s="350">
        <v>4759680.2608918678</v>
      </c>
      <c r="AN352" s="350">
        <v>10256176.343991086</v>
      </c>
      <c r="AO352" s="350">
        <v>15604404.736195663</v>
      </c>
      <c r="AP352" s="350">
        <v>20801141.890445285</v>
      </c>
      <c r="AQ352" s="350">
        <v>25844707.232022837</v>
      </c>
      <c r="AR352" s="348">
        <v>77266110.463546738</v>
      </c>
      <c r="AS352" s="369"/>
      <c r="AT352" s="350">
        <f t="shared" si="171"/>
        <v>740702.95462874416</v>
      </c>
      <c r="AU352" s="350">
        <f t="shared" si="154"/>
        <v>2186660.0091361981</v>
      </c>
      <c r="AV352" s="350">
        <f t="shared" si="155"/>
        <v>3453694.6768219639</v>
      </c>
      <c r="AW352" s="350">
        <f t="shared" si="156"/>
        <v>4538448.089880215</v>
      </c>
      <c r="AX352" s="350">
        <f t="shared" si="157"/>
        <v>5438646.6677125767</v>
      </c>
      <c r="AY352" s="350">
        <f t="shared" si="158"/>
        <v>16358152.398179695</v>
      </c>
      <c r="AZ352" s="365"/>
      <c r="BA352" s="377">
        <f t="shared" si="159"/>
        <v>0</v>
      </c>
      <c r="BB352" s="377">
        <f t="shared" si="160"/>
        <v>0</v>
      </c>
      <c r="BC352" s="377">
        <f t="shared" si="161"/>
        <v>0</v>
      </c>
      <c r="BD352" s="377">
        <f t="shared" si="162"/>
        <v>0</v>
      </c>
      <c r="BE352" s="377">
        <f t="shared" si="163"/>
        <v>0</v>
      </c>
      <c r="BF352" s="377">
        <f t="shared" si="164"/>
        <v>0</v>
      </c>
      <c r="BG352" s="328"/>
    </row>
    <row r="353" spans="2:59">
      <c r="B353" s="332">
        <v>338</v>
      </c>
      <c r="C353" s="350">
        <v>7380200.1805172572</v>
      </c>
      <c r="D353" s="350">
        <v>13852210.071875192</v>
      </c>
      <c r="E353" s="350">
        <v>20372925.012782253</v>
      </c>
      <c r="F353" s="350">
        <v>26942811.543863244</v>
      </c>
      <c r="G353" s="350">
        <v>33562926.093628094</v>
      </c>
      <c r="H353" s="348">
        <v>102111072.90266605</v>
      </c>
      <c r="I353" s="369"/>
      <c r="J353" s="350">
        <v>8302164.2236729292</v>
      </c>
      <c r="K353" s="350">
        <v>16570534.6237383</v>
      </c>
      <c r="L353" s="350">
        <v>24628392.156729408</v>
      </c>
      <c r="M353" s="350">
        <v>32469633.155050088</v>
      </c>
      <c r="N353" s="350">
        <v>40090087.251022615</v>
      </c>
      <c r="O353" s="348">
        <v>122060811.41021335</v>
      </c>
      <c r="P353" s="369"/>
      <c r="Q353" s="350">
        <f t="shared" si="165"/>
        <v>921964.04315567203</v>
      </c>
      <c r="R353" s="350">
        <f t="shared" si="166"/>
        <v>2718324.5518631078</v>
      </c>
      <c r="S353" s="350">
        <f t="shared" si="167"/>
        <v>4255467.1439471543</v>
      </c>
      <c r="T353" s="350">
        <f t="shared" si="168"/>
        <v>5526821.6111868434</v>
      </c>
      <c r="U353" s="350">
        <f t="shared" si="169"/>
        <v>6527161.1573945209</v>
      </c>
      <c r="V353" s="350">
        <f t="shared" si="170"/>
        <v>19949738.507547304</v>
      </c>
      <c r="W353" s="365"/>
      <c r="X353" s="377">
        <f t="shared" si="148"/>
        <v>0</v>
      </c>
      <c r="Y353" s="377">
        <f t="shared" si="149"/>
        <v>0</v>
      </c>
      <c r="Z353" s="377">
        <f t="shared" si="150"/>
        <v>0</v>
      </c>
      <c r="AA353" s="377">
        <f t="shared" si="151"/>
        <v>0</v>
      </c>
      <c r="AB353" s="377">
        <f t="shared" si="152"/>
        <v>0</v>
      </c>
      <c r="AC353" s="377">
        <f t="shared" si="153"/>
        <v>0</v>
      </c>
      <c r="AD353" s="376"/>
      <c r="AE353" s="332">
        <v>338</v>
      </c>
      <c r="AF353" s="350">
        <v>5484604.1944160368</v>
      </c>
      <c r="AG353" s="350">
        <v>11012279.932032105</v>
      </c>
      <c r="AH353" s="350">
        <v>16581789.415162984</v>
      </c>
      <c r="AI353" s="350">
        <v>22193317.3128605</v>
      </c>
      <c r="AJ353" s="350">
        <v>27847672.886360988</v>
      </c>
      <c r="AK353" s="348">
        <v>83119663.740832612</v>
      </c>
      <c r="AL353" s="369"/>
      <c r="AM353" s="350">
        <v>6861348.6188326431</v>
      </c>
      <c r="AN353" s="350">
        <v>15081588.096666042</v>
      </c>
      <c r="AO353" s="350">
        <v>23110449.682303265</v>
      </c>
      <c r="AP353" s="350">
        <v>30943430.779567022</v>
      </c>
      <c r="AQ353" s="350">
        <v>38578608.543189093</v>
      </c>
      <c r="AR353" s="348">
        <v>114575425.72055806</v>
      </c>
      <c r="AS353" s="369"/>
      <c r="AT353" s="350">
        <f t="shared" si="171"/>
        <v>1376744.4244166063</v>
      </c>
      <c r="AU353" s="350">
        <f t="shared" si="154"/>
        <v>4069308.1646339372</v>
      </c>
      <c r="AV353" s="350">
        <f t="shared" si="155"/>
        <v>6528660.2671402805</v>
      </c>
      <c r="AW353" s="350">
        <f t="shared" si="156"/>
        <v>8750113.4667065218</v>
      </c>
      <c r="AX353" s="350">
        <f t="shared" si="157"/>
        <v>10730935.656828105</v>
      </c>
      <c r="AY353" s="350">
        <f t="shared" si="158"/>
        <v>31455761.97972545</v>
      </c>
      <c r="AZ353" s="365"/>
      <c r="BA353" s="377">
        <f t="shared" si="159"/>
        <v>0</v>
      </c>
      <c r="BB353" s="377">
        <f t="shared" si="160"/>
        <v>0</v>
      </c>
      <c r="BC353" s="377">
        <f t="shared" si="161"/>
        <v>0</v>
      </c>
      <c r="BD353" s="377">
        <f t="shared" si="162"/>
        <v>0</v>
      </c>
      <c r="BE353" s="377">
        <f t="shared" si="163"/>
        <v>0</v>
      </c>
      <c r="BF353" s="377">
        <f t="shared" si="164"/>
        <v>0</v>
      </c>
      <c r="BG353" s="328"/>
    </row>
    <row r="354" spans="2:59">
      <c r="B354" s="332">
        <v>339</v>
      </c>
      <c r="C354" s="350">
        <v>7692957.5988777233</v>
      </c>
      <c r="D354" s="350">
        <v>14301324.591757543</v>
      </c>
      <c r="E354" s="350">
        <v>20959377.596629102</v>
      </c>
      <c r="F354" s="350">
        <v>27667634.050173104</v>
      </c>
      <c r="G354" s="350">
        <v>34427190.5065303</v>
      </c>
      <c r="H354" s="348">
        <v>105048484.34396778</v>
      </c>
      <c r="I354" s="369"/>
      <c r="J354" s="350">
        <v>8997026.6840236783</v>
      </c>
      <c r="K354" s="350">
        <v>18152541.875856541</v>
      </c>
      <c r="L354" s="350">
        <v>27104770.630360685</v>
      </c>
      <c r="M354" s="350">
        <v>35847401.859154493</v>
      </c>
      <c r="N354" s="350">
        <v>44376544.163616449</v>
      </c>
      <c r="O354" s="348">
        <v>134478285.21301186</v>
      </c>
      <c r="P354" s="369"/>
      <c r="Q354" s="350">
        <f t="shared" si="165"/>
        <v>1304069.085145955</v>
      </c>
      <c r="R354" s="350">
        <f t="shared" si="166"/>
        <v>3851217.2840989977</v>
      </c>
      <c r="S354" s="350">
        <f t="shared" si="167"/>
        <v>6145393.0337315835</v>
      </c>
      <c r="T354" s="350">
        <f t="shared" si="168"/>
        <v>8179767.8089813888</v>
      </c>
      <c r="U354" s="350">
        <f t="shared" si="169"/>
        <v>9949353.6570861489</v>
      </c>
      <c r="V354" s="350">
        <f t="shared" si="170"/>
        <v>29429800.86904408</v>
      </c>
      <c r="W354" s="365"/>
      <c r="X354" s="377">
        <f t="shared" si="148"/>
        <v>0</v>
      </c>
      <c r="Y354" s="377">
        <f t="shared" si="149"/>
        <v>0</v>
      </c>
      <c r="Z354" s="377">
        <f t="shared" si="150"/>
        <v>0</v>
      </c>
      <c r="AA354" s="377">
        <f t="shared" si="151"/>
        <v>0</v>
      </c>
      <c r="AB354" s="377">
        <f t="shared" si="152"/>
        <v>0</v>
      </c>
      <c r="AC354" s="377">
        <f t="shared" si="153"/>
        <v>0</v>
      </c>
      <c r="AD354" s="376"/>
      <c r="AE354" s="332">
        <v>339</v>
      </c>
      <c r="AF354" s="350">
        <v>5131635.9014726486</v>
      </c>
      <c r="AG354" s="350">
        <v>10303571.42523019</v>
      </c>
      <c r="AH354" s="350">
        <v>15514648.433544714</v>
      </c>
      <c r="AI354" s="350">
        <v>20765039.71086932</v>
      </c>
      <c r="AJ354" s="350">
        <v>26055502.437461115</v>
      </c>
      <c r="AK354" s="348">
        <v>77770397.908577979</v>
      </c>
      <c r="AL354" s="369"/>
      <c r="AM354" s="350">
        <v>6147396.9509523306</v>
      </c>
      <c r="AN354" s="350">
        <v>13303191.325058222</v>
      </c>
      <c r="AO354" s="350">
        <v>20271766.254331127</v>
      </c>
      <c r="AP354" s="350">
        <v>27048985.952125508</v>
      </c>
      <c r="AQ354" s="350">
        <v>33632775.461755365</v>
      </c>
      <c r="AR354" s="348">
        <v>100404115.94422255</v>
      </c>
      <c r="AS354" s="369"/>
      <c r="AT354" s="350">
        <f t="shared" si="171"/>
        <v>1015761.049479682</v>
      </c>
      <c r="AU354" s="350">
        <f t="shared" si="154"/>
        <v>2999619.8998280317</v>
      </c>
      <c r="AV354" s="350">
        <f t="shared" si="155"/>
        <v>4757117.8207864128</v>
      </c>
      <c r="AW354" s="350">
        <f t="shared" si="156"/>
        <v>6283946.2412561886</v>
      </c>
      <c r="AX354" s="350">
        <f t="shared" si="157"/>
        <v>7577273.0242942497</v>
      </c>
      <c r="AY354" s="350">
        <f t="shared" si="158"/>
        <v>22633718.035644576</v>
      </c>
      <c r="AZ354" s="365"/>
      <c r="BA354" s="377">
        <f t="shared" si="159"/>
        <v>0</v>
      </c>
      <c r="BB354" s="377">
        <f t="shared" si="160"/>
        <v>0</v>
      </c>
      <c r="BC354" s="377">
        <f t="shared" si="161"/>
        <v>0</v>
      </c>
      <c r="BD354" s="377">
        <f t="shared" si="162"/>
        <v>0</v>
      </c>
      <c r="BE354" s="377">
        <f t="shared" si="163"/>
        <v>0</v>
      </c>
      <c r="BF354" s="377">
        <f t="shared" si="164"/>
        <v>0</v>
      </c>
      <c r="BG354" s="328"/>
    </row>
    <row r="355" spans="2:59">
      <c r="B355" s="332">
        <v>340</v>
      </c>
      <c r="C355" s="350">
        <v>8316348.5706351083</v>
      </c>
      <c r="D355" s="350">
        <v>15703817.88171266</v>
      </c>
      <c r="E355" s="350">
        <v>23146912.493231323</v>
      </c>
      <c r="F355" s="350">
        <v>30646136.794737764</v>
      </c>
      <c r="G355" s="350">
        <v>38202684.40064019</v>
      </c>
      <c r="H355" s="348">
        <v>116015900.14095706</v>
      </c>
      <c r="I355" s="369"/>
      <c r="J355" s="350">
        <v>9407575.075571727</v>
      </c>
      <c r="K355" s="350">
        <v>18921856.628562115</v>
      </c>
      <c r="L355" s="350">
        <v>28191017.600510146</v>
      </c>
      <c r="M355" s="350">
        <v>37208280.301103055</v>
      </c>
      <c r="N355" s="350">
        <v>45969149.178567007</v>
      </c>
      <c r="O355" s="348">
        <v>139697878.78431404</v>
      </c>
      <c r="P355" s="369"/>
      <c r="Q355" s="350">
        <f t="shared" si="165"/>
        <v>1091226.5049366187</v>
      </c>
      <c r="R355" s="350">
        <f t="shared" si="166"/>
        <v>3218038.7468494549</v>
      </c>
      <c r="S355" s="350">
        <f t="shared" si="167"/>
        <v>5044105.1072788239</v>
      </c>
      <c r="T355" s="350">
        <f t="shared" si="168"/>
        <v>6562143.5063652918</v>
      </c>
      <c r="U355" s="350">
        <f t="shared" si="169"/>
        <v>7766464.7779268175</v>
      </c>
      <c r="V355" s="350">
        <f t="shared" si="170"/>
        <v>23681978.643356979</v>
      </c>
      <c r="W355" s="365"/>
      <c r="X355" s="377">
        <f t="shared" si="148"/>
        <v>0</v>
      </c>
      <c r="Y355" s="377">
        <f t="shared" si="149"/>
        <v>0</v>
      </c>
      <c r="Z355" s="377">
        <f t="shared" si="150"/>
        <v>0</v>
      </c>
      <c r="AA355" s="377">
        <f t="shared" si="151"/>
        <v>0</v>
      </c>
      <c r="AB355" s="377">
        <f t="shared" si="152"/>
        <v>0</v>
      </c>
      <c r="AC355" s="377">
        <f t="shared" si="153"/>
        <v>0</v>
      </c>
      <c r="AD355" s="376"/>
      <c r="AE355" s="332">
        <v>340</v>
      </c>
      <c r="AF355" s="350">
        <v>7037341.2249869825</v>
      </c>
      <c r="AG355" s="350">
        <v>14129947.905026123</v>
      </c>
      <c r="AH355" s="350">
        <v>21276231.811620057</v>
      </c>
      <c r="AI355" s="350">
        <v>28476429.895163976</v>
      </c>
      <c r="AJ355" s="350">
        <v>35731580.525476076</v>
      </c>
      <c r="AK355" s="348">
        <v>106651531.36227322</v>
      </c>
      <c r="AL355" s="369"/>
      <c r="AM355" s="350">
        <v>8356284.473919834</v>
      </c>
      <c r="AN355" s="350">
        <v>18023952.914195269</v>
      </c>
      <c r="AO355" s="350">
        <v>27432657.958790921</v>
      </c>
      <c r="AP355" s="350">
        <v>36576748.878235221</v>
      </c>
      <c r="AQ355" s="350">
        <v>45453305.171347715</v>
      </c>
      <c r="AR355" s="348">
        <v>135842949.39648896</v>
      </c>
      <c r="AS355" s="369"/>
      <c r="AT355" s="350">
        <f t="shared" si="171"/>
        <v>1318943.2489328515</v>
      </c>
      <c r="AU355" s="350">
        <f t="shared" si="154"/>
        <v>3894005.0091691464</v>
      </c>
      <c r="AV355" s="350">
        <f t="shared" si="155"/>
        <v>6156426.147170864</v>
      </c>
      <c r="AW355" s="350">
        <f t="shared" si="156"/>
        <v>8100318.9830712453</v>
      </c>
      <c r="AX355" s="350">
        <f t="shared" si="157"/>
        <v>9721724.6458716393</v>
      </c>
      <c r="AY355" s="350">
        <f t="shared" si="158"/>
        <v>29191418.034215748</v>
      </c>
      <c r="AZ355" s="365"/>
      <c r="BA355" s="377">
        <f t="shared" si="159"/>
        <v>0</v>
      </c>
      <c r="BB355" s="377">
        <f t="shared" si="160"/>
        <v>0</v>
      </c>
      <c r="BC355" s="377">
        <f t="shared" si="161"/>
        <v>0</v>
      </c>
      <c r="BD355" s="377">
        <f t="shared" si="162"/>
        <v>0</v>
      </c>
      <c r="BE355" s="377">
        <f t="shared" si="163"/>
        <v>0</v>
      </c>
      <c r="BF355" s="377">
        <f t="shared" si="164"/>
        <v>0</v>
      </c>
      <c r="BG355" s="328"/>
    </row>
    <row r="356" spans="2:59">
      <c r="B356" s="332">
        <v>341</v>
      </c>
      <c r="C356" s="350">
        <v>6477910.0477166679</v>
      </c>
      <c r="D356" s="350">
        <v>12012154.697802044</v>
      </c>
      <c r="E356" s="350">
        <v>17587999.245631043</v>
      </c>
      <c r="F356" s="350">
        <v>23205886.258376971</v>
      </c>
      <c r="G356" s="350">
        <v>28866738.074463837</v>
      </c>
      <c r="H356" s="348">
        <v>88150688.323990554</v>
      </c>
      <c r="I356" s="369"/>
      <c r="J356" s="350">
        <v>7304101.7363858093</v>
      </c>
      <c r="K356" s="350">
        <v>14448780.509756979</v>
      </c>
      <c r="L356" s="350">
        <v>21412044.153334796</v>
      </c>
      <c r="M356" s="350">
        <v>28188826.771544963</v>
      </c>
      <c r="N356" s="350">
        <v>34775744.207843892</v>
      </c>
      <c r="O356" s="348">
        <v>106129497.37886643</v>
      </c>
      <c r="P356" s="369"/>
      <c r="Q356" s="350">
        <f t="shared" si="165"/>
        <v>826191.68866914138</v>
      </c>
      <c r="R356" s="350">
        <f t="shared" si="166"/>
        <v>2436625.8119549341</v>
      </c>
      <c r="S356" s="350">
        <f t="shared" si="167"/>
        <v>3824044.9077037536</v>
      </c>
      <c r="T356" s="350">
        <f t="shared" si="168"/>
        <v>4982940.5131679922</v>
      </c>
      <c r="U356" s="350">
        <f t="shared" si="169"/>
        <v>5909006.1333800554</v>
      </c>
      <c r="V356" s="350">
        <f t="shared" si="170"/>
        <v>17978809.05487588</v>
      </c>
      <c r="W356" s="365"/>
      <c r="X356" s="377">
        <f t="shared" si="148"/>
        <v>0</v>
      </c>
      <c r="Y356" s="377">
        <f t="shared" si="149"/>
        <v>0</v>
      </c>
      <c r="Z356" s="377">
        <f t="shared" si="150"/>
        <v>0</v>
      </c>
      <c r="AA356" s="377">
        <f t="shared" si="151"/>
        <v>0</v>
      </c>
      <c r="AB356" s="377">
        <f t="shared" si="152"/>
        <v>0</v>
      </c>
      <c r="AC356" s="377">
        <f t="shared" si="153"/>
        <v>0</v>
      </c>
      <c r="AD356" s="376"/>
      <c r="AE356" s="332">
        <v>341</v>
      </c>
      <c r="AF356" s="350">
        <v>7070016.0536354985</v>
      </c>
      <c r="AG356" s="350">
        <v>14195554.163391128</v>
      </c>
      <c r="AH356" s="350">
        <v>21375018.726522293</v>
      </c>
      <c r="AI356" s="350">
        <v>28608647.793600135</v>
      </c>
      <c r="AJ356" s="350">
        <v>35897484.555660814</v>
      </c>
      <c r="AK356" s="348">
        <v>107146721.29280987</v>
      </c>
      <c r="AL356" s="369"/>
      <c r="AM356" s="350">
        <v>8114972.6641153749</v>
      </c>
      <c r="AN356" s="350">
        <v>17276913.573346775</v>
      </c>
      <c r="AO356" s="350">
        <v>26170299.303046428</v>
      </c>
      <c r="AP356" s="350">
        <v>34789532.112703323</v>
      </c>
      <c r="AQ356" s="350">
        <v>43131394.254714653</v>
      </c>
      <c r="AR356" s="348">
        <v>129483111.90792654</v>
      </c>
      <c r="AS356" s="369"/>
      <c r="AT356" s="350">
        <f t="shared" si="171"/>
        <v>1044956.6104798764</v>
      </c>
      <c r="AU356" s="350">
        <f t="shared" si="154"/>
        <v>3081359.4099556468</v>
      </c>
      <c r="AV356" s="350">
        <f t="shared" si="155"/>
        <v>4795280.5765241347</v>
      </c>
      <c r="AW356" s="350">
        <f t="shared" si="156"/>
        <v>6180884.3191031888</v>
      </c>
      <c r="AX356" s="350">
        <f t="shared" si="157"/>
        <v>7233909.6990538388</v>
      </c>
      <c r="AY356" s="350">
        <f t="shared" si="158"/>
        <v>22336390.615116671</v>
      </c>
      <c r="AZ356" s="365"/>
      <c r="BA356" s="377">
        <f t="shared" si="159"/>
        <v>0</v>
      </c>
      <c r="BB356" s="377">
        <f t="shared" si="160"/>
        <v>0</v>
      </c>
      <c r="BC356" s="377">
        <f t="shared" si="161"/>
        <v>0</v>
      </c>
      <c r="BD356" s="377">
        <f t="shared" si="162"/>
        <v>0</v>
      </c>
      <c r="BE356" s="377">
        <f t="shared" si="163"/>
        <v>0</v>
      </c>
      <c r="BF356" s="377">
        <f t="shared" si="164"/>
        <v>0</v>
      </c>
      <c r="BG356" s="328"/>
    </row>
    <row r="357" spans="2:59">
      <c r="B357" s="332">
        <v>342</v>
      </c>
      <c r="C357" s="350">
        <v>9055396.3067316562</v>
      </c>
      <c r="D357" s="350">
        <v>17164916.957796834</v>
      </c>
      <c r="E357" s="350">
        <v>25335520.93165677</v>
      </c>
      <c r="F357" s="350">
        <v>33567742.647620484</v>
      </c>
      <c r="G357" s="350">
        <v>41862883.999957442</v>
      </c>
      <c r="H357" s="348">
        <v>126986460.84376319</v>
      </c>
      <c r="I357" s="369"/>
      <c r="J357" s="350">
        <v>10536539.898345144</v>
      </c>
      <c r="K357" s="350">
        <v>21537563.88690754</v>
      </c>
      <c r="L357" s="350">
        <v>32277806.946969256</v>
      </c>
      <c r="M357" s="350">
        <v>42749745.864926457</v>
      </c>
      <c r="N357" s="350">
        <v>52948740.957912505</v>
      </c>
      <c r="O357" s="348">
        <v>160050397.55506089</v>
      </c>
      <c r="P357" s="369"/>
      <c r="Q357" s="350">
        <f t="shared" si="165"/>
        <v>1481143.5916134883</v>
      </c>
      <c r="R357" s="350">
        <f t="shared" si="166"/>
        <v>4372646.9291107059</v>
      </c>
      <c r="S357" s="350">
        <f t="shared" si="167"/>
        <v>6942286.0153124854</v>
      </c>
      <c r="T357" s="350">
        <f t="shared" si="168"/>
        <v>9182003.2173059732</v>
      </c>
      <c r="U357" s="350">
        <f t="shared" si="169"/>
        <v>11085856.957955062</v>
      </c>
      <c r="V357" s="350">
        <f t="shared" si="170"/>
        <v>33063936.711297706</v>
      </c>
      <c r="W357" s="365"/>
      <c r="X357" s="377">
        <f t="shared" si="148"/>
        <v>0</v>
      </c>
      <c r="Y357" s="377">
        <f t="shared" si="149"/>
        <v>0</v>
      </c>
      <c r="Z357" s="377">
        <f t="shared" si="150"/>
        <v>0</v>
      </c>
      <c r="AA357" s="377">
        <f t="shared" si="151"/>
        <v>0</v>
      </c>
      <c r="AB357" s="377">
        <f t="shared" si="152"/>
        <v>0</v>
      </c>
      <c r="AC357" s="377">
        <f t="shared" si="153"/>
        <v>0</v>
      </c>
      <c r="AD357" s="376"/>
      <c r="AE357" s="332">
        <v>342</v>
      </c>
      <c r="AF357" s="350">
        <v>5375385.9458802007</v>
      </c>
      <c r="AG357" s="350">
        <v>10792985.725207221</v>
      </c>
      <c r="AH357" s="350">
        <v>16251586.189311605</v>
      </c>
      <c r="AI357" s="350">
        <v>21751368.329818387</v>
      </c>
      <c r="AJ357" s="350">
        <v>27293125.292654257</v>
      </c>
      <c r="AK357" s="348">
        <v>81464451.482871667</v>
      </c>
      <c r="AL357" s="369"/>
      <c r="AM357" s="350">
        <v>6395042.1849704217</v>
      </c>
      <c r="AN357" s="350">
        <v>13803548.238467706</v>
      </c>
      <c r="AO357" s="350">
        <v>21014613.63623355</v>
      </c>
      <c r="AP357" s="350">
        <v>28023918.688556097</v>
      </c>
      <c r="AQ357" s="350">
        <v>34829244.960258827</v>
      </c>
      <c r="AR357" s="348">
        <v>104066367.7084866</v>
      </c>
      <c r="AS357" s="369"/>
      <c r="AT357" s="350">
        <f t="shared" si="171"/>
        <v>1019656.239090221</v>
      </c>
      <c r="AU357" s="350">
        <f t="shared" si="154"/>
        <v>3010562.5132604856</v>
      </c>
      <c r="AV357" s="350">
        <f t="shared" si="155"/>
        <v>4763027.4469219446</v>
      </c>
      <c r="AW357" s="350">
        <f t="shared" si="156"/>
        <v>6272550.3587377109</v>
      </c>
      <c r="AX357" s="350">
        <f t="shared" si="157"/>
        <v>7536119.6676045693</v>
      </c>
      <c r="AY357" s="350">
        <f t="shared" si="158"/>
        <v>22601916.225614935</v>
      </c>
      <c r="AZ357" s="365"/>
      <c r="BA357" s="377">
        <f t="shared" si="159"/>
        <v>0</v>
      </c>
      <c r="BB357" s="377">
        <f t="shared" si="160"/>
        <v>0</v>
      </c>
      <c r="BC357" s="377">
        <f t="shared" si="161"/>
        <v>0</v>
      </c>
      <c r="BD357" s="377">
        <f t="shared" si="162"/>
        <v>0</v>
      </c>
      <c r="BE357" s="377">
        <f t="shared" si="163"/>
        <v>0</v>
      </c>
      <c r="BF357" s="377">
        <f t="shared" si="164"/>
        <v>0</v>
      </c>
      <c r="BG357" s="328"/>
    </row>
    <row r="358" spans="2:59">
      <c r="B358" s="332">
        <v>343</v>
      </c>
      <c r="C358" s="350">
        <v>10283551.364029206</v>
      </c>
      <c r="D358" s="350">
        <v>19583402.805591241</v>
      </c>
      <c r="E358" s="350">
        <v>28953332.522640418</v>
      </c>
      <c r="F358" s="350">
        <v>38393927.000133798</v>
      </c>
      <c r="G358" s="350">
        <v>47906667.750077426</v>
      </c>
      <c r="H358" s="348">
        <v>145120881.4424721</v>
      </c>
      <c r="I358" s="369"/>
      <c r="J358" s="350">
        <v>11371796.460007718</v>
      </c>
      <c r="K358" s="350">
        <v>22787854.619756162</v>
      </c>
      <c r="L358" s="350">
        <v>33882447.092632845</v>
      </c>
      <c r="M358" s="350">
        <v>44647222.429762781</v>
      </c>
      <c r="N358" s="350">
        <v>55076365.989746355</v>
      </c>
      <c r="O358" s="348">
        <v>167765686.59190586</v>
      </c>
      <c r="P358" s="369"/>
      <c r="Q358" s="350">
        <f t="shared" si="165"/>
        <v>1088245.0959785115</v>
      </c>
      <c r="R358" s="350">
        <f t="shared" si="166"/>
        <v>3204451.8141649216</v>
      </c>
      <c r="S358" s="350">
        <f t="shared" si="167"/>
        <v>4929114.5699924268</v>
      </c>
      <c r="T358" s="350">
        <f t="shared" si="168"/>
        <v>6253295.4296289831</v>
      </c>
      <c r="U358" s="350">
        <f t="shared" si="169"/>
        <v>7169698.2396689281</v>
      </c>
      <c r="V358" s="350">
        <f t="shared" si="170"/>
        <v>22644805.149433762</v>
      </c>
      <c r="W358" s="365"/>
      <c r="X358" s="377">
        <f t="shared" si="148"/>
        <v>0</v>
      </c>
      <c r="Y358" s="377">
        <f t="shared" si="149"/>
        <v>0</v>
      </c>
      <c r="Z358" s="377">
        <f t="shared" si="150"/>
        <v>0</v>
      </c>
      <c r="AA358" s="377">
        <f t="shared" si="151"/>
        <v>0</v>
      </c>
      <c r="AB358" s="377">
        <f t="shared" si="152"/>
        <v>0</v>
      </c>
      <c r="AC358" s="377">
        <f t="shared" si="153"/>
        <v>0</v>
      </c>
      <c r="AD358" s="376"/>
      <c r="AE358" s="332">
        <v>343</v>
      </c>
      <c r="AF358" s="350">
        <v>5775881.5270445226</v>
      </c>
      <c r="AG358" s="350">
        <v>11597122.048447041</v>
      </c>
      <c r="AH358" s="350">
        <v>17462418.029343262</v>
      </c>
      <c r="AI358" s="350">
        <v>23371963.946221776</v>
      </c>
      <c r="AJ358" s="350">
        <v>29326612.038708236</v>
      </c>
      <c r="AK358" s="348">
        <v>87533997.589764833</v>
      </c>
      <c r="AL358" s="369"/>
      <c r="AM358" s="350">
        <v>6686395.4380285796</v>
      </c>
      <c r="AN358" s="350">
        <v>14282999.227767486</v>
      </c>
      <c r="AO358" s="350">
        <v>21661907.784479093</v>
      </c>
      <c r="AP358" s="350">
        <v>28818531.934619326</v>
      </c>
      <c r="AQ358" s="350">
        <v>35750300.482142821</v>
      </c>
      <c r="AR358" s="348">
        <v>107200134.8670373</v>
      </c>
      <c r="AS358" s="369"/>
      <c r="AT358" s="350">
        <f t="shared" si="171"/>
        <v>910513.910984057</v>
      </c>
      <c r="AU358" s="350">
        <f t="shared" si="154"/>
        <v>2685877.1793204453</v>
      </c>
      <c r="AV358" s="350">
        <f t="shared" si="155"/>
        <v>4199489.7551358305</v>
      </c>
      <c r="AW358" s="350">
        <f t="shared" si="156"/>
        <v>5446567.9883975498</v>
      </c>
      <c r="AX358" s="350">
        <f t="shared" si="157"/>
        <v>6423688.4434345849</v>
      </c>
      <c r="AY358" s="350">
        <f t="shared" si="158"/>
        <v>19666137.277272463</v>
      </c>
      <c r="AZ358" s="365"/>
      <c r="BA358" s="377">
        <f t="shared" si="159"/>
        <v>0</v>
      </c>
      <c r="BB358" s="377">
        <f t="shared" si="160"/>
        <v>0</v>
      </c>
      <c r="BC358" s="377">
        <f t="shared" si="161"/>
        <v>0</v>
      </c>
      <c r="BD358" s="377">
        <f t="shared" si="162"/>
        <v>0</v>
      </c>
      <c r="BE358" s="377">
        <f t="shared" si="163"/>
        <v>0</v>
      </c>
      <c r="BF358" s="377">
        <f t="shared" si="164"/>
        <v>0</v>
      </c>
      <c r="BG358" s="328"/>
    </row>
    <row r="359" spans="2:59">
      <c r="B359" s="332">
        <v>344</v>
      </c>
      <c r="C359" s="350">
        <v>7284676.467032698</v>
      </c>
      <c r="D359" s="350">
        <v>13605860.30539351</v>
      </c>
      <c r="E359" s="350">
        <v>19974592.179803301</v>
      </c>
      <c r="F359" s="350">
        <v>26391347.726216447</v>
      </c>
      <c r="G359" s="350">
        <v>32857167.44168568</v>
      </c>
      <c r="H359" s="348">
        <v>100113644.12013163</v>
      </c>
      <c r="I359" s="369"/>
      <c r="J359" s="350">
        <v>8430301.3678127322</v>
      </c>
      <c r="K359" s="350">
        <v>16987886.003174547</v>
      </c>
      <c r="L359" s="350">
        <v>25347773.892071456</v>
      </c>
      <c r="M359" s="350">
        <v>33503946.358721796</v>
      </c>
      <c r="N359" s="350">
        <v>41452578.655030206</v>
      </c>
      <c r="O359" s="348">
        <v>125722486.27681074</v>
      </c>
      <c r="P359" s="369"/>
      <c r="Q359" s="350">
        <f t="shared" si="165"/>
        <v>1145624.9007800343</v>
      </c>
      <c r="R359" s="350">
        <f t="shared" si="166"/>
        <v>3382025.6977810375</v>
      </c>
      <c r="S359" s="350">
        <f t="shared" si="167"/>
        <v>5373181.7122681551</v>
      </c>
      <c r="T359" s="350">
        <f t="shared" si="168"/>
        <v>7112598.6325053498</v>
      </c>
      <c r="U359" s="350">
        <f t="shared" si="169"/>
        <v>8595411.2133445255</v>
      </c>
      <c r="V359" s="350">
        <f t="shared" si="170"/>
        <v>25608842.156679109</v>
      </c>
      <c r="W359" s="365"/>
      <c r="X359" s="377">
        <f t="shared" si="148"/>
        <v>0</v>
      </c>
      <c r="Y359" s="377">
        <f t="shared" si="149"/>
        <v>0</v>
      </c>
      <c r="Z359" s="377">
        <f t="shared" si="150"/>
        <v>0</v>
      </c>
      <c r="AA359" s="377">
        <f t="shared" si="151"/>
        <v>0</v>
      </c>
      <c r="AB359" s="377">
        <f t="shared" si="152"/>
        <v>0</v>
      </c>
      <c r="AC359" s="377">
        <f t="shared" si="153"/>
        <v>0</v>
      </c>
      <c r="AD359" s="376"/>
      <c r="AE359" s="332">
        <v>344</v>
      </c>
      <c r="AF359" s="350">
        <v>5964132.4293330768</v>
      </c>
      <c r="AG359" s="350">
        <v>11975102.219845701</v>
      </c>
      <c r="AH359" s="350">
        <v>18031563.351104371</v>
      </c>
      <c r="AI359" s="350">
        <v>24133716.638088912</v>
      </c>
      <c r="AJ359" s="350">
        <v>30282442.097116336</v>
      </c>
      <c r="AK359" s="348">
        <v>90386956.7354884</v>
      </c>
      <c r="AL359" s="369"/>
      <c r="AM359" s="350">
        <v>6652284.808655615</v>
      </c>
      <c r="AN359" s="350">
        <v>14001049.766548179</v>
      </c>
      <c r="AO359" s="350">
        <v>21117475.637712874</v>
      </c>
      <c r="AP359" s="350">
        <v>27996894.961145852</v>
      </c>
      <c r="AQ359" s="350">
        <v>34636397.483944833</v>
      </c>
      <c r="AR359" s="348">
        <v>104404102.65800735</v>
      </c>
      <c r="AS359" s="369"/>
      <c r="AT359" s="350">
        <f t="shared" si="171"/>
        <v>688152.37932253815</v>
      </c>
      <c r="AU359" s="350">
        <f t="shared" si="154"/>
        <v>2025947.5467024781</v>
      </c>
      <c r="AV359" s="350">
        <f t="shared" si="155"/>
        <v>3085912.2866085023</v>
      </c>
      <c r="AW359" s="350">
        <f t="shared" si="156"/>
        <v>3863178.32305694</v>
      </c>
      <c r="AX359" s="350">
        <f t="shared" si="157"/>
        <v>4353955.3868284971</v>
      </c>
      <c r="AY359" s="350">
        <f t="shared" si="158"/>
        <v>14017145.922518954</v>
      </c>
      <c r="AZ359" s="365"/>
      <c r="BA359" s="377">
        <f t="shared" si="159"/>
        <v>0</v>
      </c>
      <c r="BB359" s="377">
        <f t="shared" si="160"/>
        <v>0</v>
      </c>
      <c r="BC359" s="377">
        <f t="shared" si="161"/>
        <v>0</v>
      </c>
      <c r="BD359" s="377">
        <f t="shared" si="162"/>
        <v>0</v>
      </c>
      <c r="BE359" s="377">
        <f t="shared" si="163"/>
        <v>0</v>
      </c>
      <c r="BF359" s="377">
        <f t="shared" si="164"/>
        <v>0</v>
      </c>
      <c r="BG359" s="328"/>
    </row>
    <row r="360" spans="2:59">
      <c r="B360" s="332">
        <v>345</v>
      </c>
      <c r="C360" s="350">
        <v>8024654.2427134998</v>
      </c>
      <c r="D360" s="350">
        <v>15180998.148775674</v>
      </c>
      <c r="E360" s="350">
        <v>22391236.108343542</v>
      </c>
      <c r="F360" s="350">
        <v>29655848.502951883</v>
      </c>
      <c r="G360" s="350">
        <v>36975988.023603536</v>
      </c>
      <c r="H360" s="348">
        <v>112228725.02638814</v>
      </c>
      <c r="I360" s="369"/>
      <c r="J360" s="350">
        <v>9221797.6816875096</v>
      </c>
      <c r="K360" s="350">
        <v>18713747.746982507</v>
      </c>
      <c r="L360" s="350">
        <v>27970194.869105324</v>
      </c>
      <c r="M360" s="350">
        <v>36984635.398647167</v>
      </c>
      <c r="N360" s="350">
        <v>45752966.363627844</v>
      </c>
      <c r="O360" s="348">
        <v>138643342.06005037</v>
      </c>
      <c r="P360" s="369"/>
      <c r="Q360" s="350">
        <f t="shared" si="165"/>
        <v>1197143.4389740098</v>
      </c>
      <c r="R360" s="350">
        <f t="shared" si="166"/>
        <v>3532749.598206833</v>
      </c>
      <c r="S360" s="350">
        <f t="shared" si="167"/>
        <v>5578958.7607617825</v>
      </c>
      <c r="T360" s="350">
        <f t="shared" si="168"/>
        <v>7328786.895695284</v>
      </c>
      <c r="U360" s="350">
        <f t="shared" si="169"/>
        <v>8776978.3400243074</v>
      </c>
      <c r="V360" s="350">
        <f t="shared" si="170"/>
        <v>26414617.03366223</v>
      </c>
      <c r="W360" s="365"/>
      <c r="X360" s="377">
        <f t="shared" si="148"/>
        <v>0</v>
      </c>
      <c r="Y360" s="377">
        <f t="shared" si="149"/>
        <v>0</v>
      </c>
      <c r="Z360" s="377">
        <f t="shared" si="150"/>
        <v>0</v>
      </c>
      <c r="AA360" s="377">
        <f t="shared" si="151"/>
        <v>0</v>
      </c>
      <c r="AB360" s="377">
        <f t="shared" si="152"/>
        <v>0</v>
      </c>
      <c r="AC360" s="377">
        <f t="shared" si="153"/>
        <v>0</v>
      </c>
      <c r="AD360" s="376"/>
      <c r="AE360" s="332">
        <v>345</v>
      </c>
      <c r="AF360" s="350">
        <v>10573161.060849307</v>
      </c>
      <c r="AG360" s="350">
        <v>21229354.980087362</v>
      </c>
      <c r="AH360" s="350">
        <v>31966195.544630654</v>
      </c>
      <c r="AI360" s="350">
        <v>42784038.757493928</v>
      </c>
      <c r="AJ360" s="350">
        <v>53684444.70379705</v>
      </c>
      <c r="AK360" s="348">
        <v>160237195.04685831</v>
      </c>
      <c r="AL360" s="369"/>
      <c r="AM360" s="350">
        <v>12120521.382616036</v>
      </c>
      <c r="AN360" s="350">
        <v>25791938.40190718</v>
      </c>
      <c r="AO360" s="350">
        <v>39061272.778831534</v>
      </c>
      <c r="AP360" s="350">
        <v>51920157.476266801</v>
      </c>
      <c r="AQ360" s="350">
        <v>64363764.813147038</v>
      </c>
      <c r="AR360" s="348">
        <v>193257654.8527686</v>
      </c>
      <c r="AS360" s="369"/>
      <c r="AT360" s="350">
        <f t="shared" si="171"/>
        <v>1547360.3217667285</v>
      </c>
      <c r="AU360" s="350">
        <f t="shared" si="154"/>
        <v>4562583.4218198173</v>
      </c>
      <c r="AV360" s="350">
        <f t="shared" si="155"/>
        <v>7095077.2342008799</v>
      </c>
      <c r="AW360" s="350">
        <f t="shared" si="156"/>
        <v>9136118.7187728733</v>
      </c>
      <c r="AX360" s="350">
        <f t="shared" si="157"/>
        <v>10679320.109349988</v>
      </c>
      <c r="AY360" s="350">
        <f t="shared" si="158"/>
        <v>33020459.805910289</v>
      </c>
      <c r="AZ360" s="365"/>
      <c r="BA360" s="377">
        <f t="shared" si="159"/>
        <v>0</v>
      </c>
      <c r="BB360" s="377">
        <f t="shared" si="160"/>
        <v>0</v>
      </c>
      <c r="BC360" s="377">
        <f t="shared" si="161"/>
        <v>0</v>
      </c>
      <c r="BD360" s="377">
        <f t="shared" si="162"/>
        <v>0</v>
      </c>
      <c r="BE360" s="377">
        <f t="shared" si="163"/>
        <v>0</v>
      </c>
      <c r="BF360" s="377">
        <f t="shared" si="164"/>
        <v>0</v>
      </c>
      <c r="BG360" s="328"/>
    </row>
    <row r="361" spans="2:59">
      <c r="B361" s="332">
        <v>346</v>
      </c>
      <c r="C361" s="350">
        <v>6340997.3362135496</v>
      </c>
      <c r="D361" s="350">
        <v>12003502.2508066</v>
      </c>
      <c r="E361" s="350">
        <v>17708653.656123206</v>
      </c>
      <c r="F361" s="350">
        <v>23456829.420973241</v>
      </c>
      <c r="G361" s="350">
        <v>29248940.646807175</v>
      </c>
      <c r="H361" s="348">
        <v>88758923.31092377</v>
      </c>
      <c r="I361" s="369"/>
      <c r="J361" s="350">
        <v>7159859.6135797054</v>
      </c>
      <c r="K361" s="350">
        <v>14418033.415435888</v>
      </c>
      <c r="L361" s="350">
        <v>21489931.892353207</v>
      </c>
      <c r="M361" s="350">
        <v>28370262.925417677</v>
      </c>
      <c r="N361" s="350">
        <v>35055462.40405196</v>
      </c>
      <c r="O361" s="348">
        <v>106493550.25083843</v>
      </c>
      <c r="P361" s="369"/>
      <c r="Q361" s="350">
        <f t="shared" si="165"/>
        <v>818862.27736615576</v>
      </c>
      <c r="R361" s="350">
        <f t="shared" si="166"/>
        <v>2414531.164629288</v>
      </c>
      <c r="S361" s="350">
        <f t="shared" si="167"/>
        <v>3781278.2362300009</v>
      </c>
      <c r="T361" s="350">
        <f t="shared" si="168"/>
        <v>4913433.5044444352</v>
      </c>
      <c r="U361" s="350">
        <f t="shared" si="169"/>
        <v>5806521.7572447844</v>
      </c>
      <c r="V361" s="350">
        <f t="shared" si="170"/>
        <v>17734626.939914659</v>
      </c>
      <c r="W361" s="365"/>
      <c r="X361" s="377">
        <f t="shared" si="148"/>
        <v>0</v>
      </c>
      <c r="Y361" s="377">
        <f t="shared" si="149"/>
        <v>0</v>
      </c>
      <c r="Z361" s="377">
        <f t="shared" si="150"/>
        <v>0</v>
      </c>
      <c r="AA361" s="377">
        <f t="shared" si="151"/>
        <v>0</v>
      </c>
      <c r="AB361" s="377">
        <f t="shared" si="152"/>
        <v>0</v>
      </c>
      <c r="AC361" s="377">
        <f t="shared" si="153"/>
        <v>0</v>
      </c>
      <c r="AD361" s="376"/>
      <c r="AE361" s="332">
        <v>346</v>
      </c>
      <c r="AF361" s="350">
        <v>7463822.1506459676</v>
      </c>
      <c r="AG361" s="350">
        <v>14986258.984649796</v>
      </c>
      <c r="AH361" s="350">
        <v>22565626.022794127</v>
      </c>
      <c r="AI361" s="350">
        <v>30202174.575275768</v>
      </c>
      <c r="AJ361" s="350">
        <v>37897005.939786822</v>
      </c>
      <c r="AK361" s="348">
        <v>113114887.67315248</v>
      </c>
      <c r="AL361" s="369"/>
      <c r="AM361" s="350">
        <v>9024115.0067981649</v>
      </c>
      <c r="AN361" s="350">
        <v>19594969.853030778</v>
      </c>
      <c r="AO361" s="350">
        <v>29896001.985600848</v>
      </c>
      <c r="AP361" s="350">
        <v>39921172.5712668</v>
      </c>
      <c r="AQ361" s="350">
        <v>49667547.597846463</v>
      </c>
      <c r="AR361" s="348">
        <v>148103807.01454306</v>
      </c>
      <c r="AS361" s="369"/>
      <c r="AT361" s="350">
        <f t="shared" si="171"/>
        <v>1560292.8561521973</v>
      </c>
      <c r="AU361" s="350">
        <f t="shared" si="154"/>
        <v>4608710.8683809824</v>
      </c>
      <c r="AV361" s="350">
        <f t="shared" si="155"/>
        <v>7330375.9628067203</v>
      </c>
      <c r="AW361" s="350">
        <f t="shared" si="156"/>
        <v>9718997.9959910326</v>
      </c>
      <c r="AX361" s="350">
        <f t="shared" si="157"/>
        <v>11770541.658059642</v>
      </c>
      <c r="AY361" s="350">
        <f t="shared" si="158"/>
        <v>34988919.34139058</v>
      </c>
      <c r="AZ361" s="365"/>
      <c r="BA361" s="377">
        <f t="shared" si="159"/>
        <v>0</v>
      </c>
      <c r="BB361" s="377">
        <f t="shared" si="160"/>
        <v>0</v>
      </c>
      <c r="BC361" s="377">
        <f t="shared" si="161"/>
        <v>0</v>
      </c>
      <c r="BD361" s="377">
        <f t="shared" si="162"/>
        <v>0</v>
      </c>
      <c r="BE361" s="377">
        <f t="shared" si="163"/>
        <v>0</v>
      </c>
      <c r="BF361" s="377">
        <f t="shared" si="164"/>
        <v>0</v>
      </c>
      <c r="BG361" s="328"/>
    </row>
    <row r="362" spans="2:59">
      <c r="B362" s="332">
        <v>347</v>
      </c>
      <c r="C362" s="350">
        <v>10141120.856741916</v>
      </c>
      <c r="D362" s="350">
        <v>18900085.195100859</v>
      </c>
      <c r="E362" s="350">
        <v>27724921.057759371</v>
      </c>
      <c r="F362" s="350">
        <v>36616299.807564199</v>
      </c>
      <c r="G362" s="350">
        <v>45575668.562146634</v>
      </c>
      <c r="H362" s="348">
        <v>138958095.47931299</v>
      </c>
      <c r="I362" s="369"/>
      <c r="J362" s="350">
        <v>11408369.187580775</v>
      </c>
      <c r="K362" s="350">
        <v>22636792.957074799</v>
      </c>
      <c r="L362" s="350">
        <v>33576429.368832551</v>
      </c>
      <c r="M362" s="350">
        <v>44219236.25504072</v>
      </c>
      <c r="N362" s="350">
        <v>54559797.571397088</v>
      </c>
      <c r="O362" s="348">
        <v>166400625.33992592</v>
      </c>
      <c r="P362" s="369"/>
      <c r="Q362" s="350">
        <f t="shared" si="165"/>
        <v>1267248.3308388591</v>
      </c>
      <c r="R362" s="350">
        <f t="shared" si="166"/>
        <v>3736707.7619739398</v>
      </c>
      <c r="S362" s="350">
        <f t="shared" si="167"/>
        <v>5851508.3110731803</v>
      </c>
      <c r="T362" s="350">
        <f t="shared" si="168"/>
        <v>7602936.4474765211</v>
      </c>
      <c r="U362" s="350">
        <f t="shared" si="169"/>
        <v>8984129.0092504546</v>
      </c>
      <c r="V362" s="350">
        <f t="shared" si="170"/>
        <v>27442529.860612929</v>
      </c>
      <c r="W362" s="365"/>
      <c r="X362" s="377">
        <f t="shared" si="148"/>
        <v>0</v>
      </c>
      <c r="Y362" s="377">
        <f t="shared" si="149"/>
        <v>0</v>
      </c>
      <c r="Z362" s="377">
        <f t="shared" si="150"/>
        <v>0</v>
      </c>
      <c r="AA362" s="377">
        <f t="shared" si="151"/>
        <v>0</v>
      </c>
      <c r="AB362" s="377">
        <f t="shared" si="152"/>
        <v>0</v>
      </c>
      <c r="AC362" s="377">
        <f t="shared" si="153"/>
        <v>0</v>
      </c>
      <c r="AD362" s="376"/>
      <c r="AE362" s="332">
        <v>347</v>
      </c>
      <c r="AF362" s="350">
        <v>8687078.5602848455</v>
      </c>
      <c r="AG362" s="350">
        <v>17442378.247606046</v>
      </c>
      <c r="AH362" s="350">
        <v>26263938.51105563</v>
      </c>
      <c r="AI362" s="350">
        <v>35152051.848415375</v>
      </c>
      <c r="AJ362" s="350">
        <v>44108000.050619811</v>
      </c>
      <c r="AK362" s="348">
        <v>131653447.21798171</v>
      </c>
      <c r="AL362" s="369"/>
      <c r="AM362" s="350">
        <v>10167684.813797539</v>
      </c>
      <c r="AN362" s="350">
        <v>21811703.911892787</v>
      </c>
      <c r="AO362" s="350">
        <v>33131633.176731449</v>
      </c>
      <c r="AP362" s="350">
        <v>44120538.927153848</v>
      </c>
      <c r="AQ362" s="350">
        <v>54774666.604703598</v>
      </c>
      <c r="AR362" s="348">
        <v>164006227.43427923</v>
      </c>
      <c r="AS362" s="369"/>
      <c r="AT362" s="350">
        <f t="shared" si="171"/>
        <v>1480606.2535126936</v>
      </c>
      <c r="AU362" s="350">
        <f t="shared" si="154"/>
        <v>4369325.6642867401</v>
      </c>
      <c r="AV362" s="350">
        <f t="shared" si="155"/>
        <v>6867694.6656758189</v>
      </c>
      <c r="AW362" s="350">
        <f t="shared" si="156"/>
        <v>8968487.0787384734</v>
      </c>
      <c r="AX362" s="350">
        <f t="shared" si="157"/>
        <v>10666666.554083787</v>
      </c>
      <c r="AY362" s="350">
        <f t="shared" si="158"/>
        <v>32352780.216297522</v>
      </c>
      <c r="AZ362" s="365"/>
      <c r="BA362" s="377">
        <f t="shared" si="159"/>
        <v>0</v>
      </c>
      <c r="BB362" s="377">
        <f t="shared" si="160"/>
        <v>0</v>
      </c>
      <c r="BC362" s="377">
        <f t="shared" si="161"/>
        <v>0</v>
      </c>
      <c r="BD362" s="377">
        <f t="shared" si="162"/>
        <v>0</v>
      </c>
      <c r="BE362" s="377">
        <f t="shared" si="163"/>
        <v>0</v>
      </c>
      <c r="BF362" s="377">
        <f t="shared" si="164"/>
        <v>0</v>
      </c>
      <c r="BG362" s="328"/>
    </row>
    <row r="363" spans="2:59">
      <c r="B363" s="332">
        <v>348</v>
      </c>
      <c r="C363" s="350">
        <v>7114624.2298796521</v>
      </c>
      <c r="D363" s="350">
        <v>13429992.369645581</v>
      </c>
      <c r="E363" s="350">
        <v>19792911.739679284</v>
      </c>
      <c r="F363" s="350">
        <v>26203814.882942352</v>
      </c>
      <c r="G363" s="350">
        <v>32663722.779917516</v>
      </c>
      <c r="H363" s="348">
        <v>99205066.002064377</v>
      </c>
      <c r="I363" s="369"/>
      <c r="J363" s="350">
        <v>8027662.2779603163</v>
      </c>
      <c r="K363" s="350">
        <v>16122224.974919889</v>
      </c>
      <c r="L363" s="350">
        <v>24009442.299326546</v>
      </c>
      <c r="M363" s="350">
        <v>31683419.748567749</v>
      </c>
      <c r="N363" s="350">
        <v>39140183.049540669</v>
      </c>
      <c r="O363" s="348">
        <v>118982932.35031517</v>
      </c>
      <c r="P363" s="369"/>
      <c r="Q363" s="350">
        <f t="shared" si="165"/>
        <v>913038.04808066413</v>
      </c>
      <c r="R363" s="350">
        <f t="shared" si="166"/>
        <v>2692232.6052743085</v>
      </c>
      <c r="S363" s="350">
        <f t="shared" si="167"/>
        <v>4216530.5596472621</v>
      </c>
      <c r="T363" s="350">
        <f t="shared" si="168"/>
        <v>5479604.8656253964</v>
      </c>
      <c r="U363" s="350">
        <f t="shared" si="169"/>
        <v>6476460.2696231529</v>
      </c>
      <c r="V363" s="350">
        <f t="shared" si="170"/>
        <v>19777866.348250791</v>
      </c>
      <c r="W363" s="365"/>
      <c r="X363" s="377">
        <f t="shared" si="148"/>
        <v>0</v>
      </c>
      <c r="Y363" s="377">
        <f t="shared" si="149"/>
        <v>0</v>
      </c>
      <c r="Z363" s="377">
        <f t="shared" si="150"/>
        <v>0</v>
      </c>
      <c r="AA363" s="377">
        <f t="shared" si="151"/>
        <v>0</v>
      </c>
      <c r="AB363" s="377">
        <f t="shared" si="152"/>
        <v>0</v>
      </c>
      <c r="AC363" s="377">
        <f t="shared" si="153"/>
        <v>0</v>
      </c>
      <c r="AD363" s="376"/>
      <c r="AE363" s="332">
        <v>348</v>
      </c>
      <c r="AF363" s="350">
        <v>5125053.7644871334</v>
      </c>
      <c r="AG363" s="350">
        <v>10290355.460601553</v>
      </c>
      <c r="AH363" s="350">
        <v>15494748.436110679</v>
      </c>
      <c r="AI363" s="350">
        <v>20738405.253844149</v>
      </c>
      <c r="AJ363" s="350">
        <v>26022082.122855287</v>
      </c>
      <c r="AK363" s="348">
        <v>77670645.037898809</v>
      </c>
      <c r="AL363" s="369"/>
      <c r="AM363" s="350">
        <v>6080578.725743602</v>
      </c>
      <c r="AN363" s="350">
        <v>13111349.26672242</v>
      </c>
      <c r="AO363" s="350">
        <v>19953375.433168262</v>
      </c>
      <c r="AP363" s="350">
        <v>26602543.411736794</v>
      </c>
      <c r="AQ363" s="350">
        <v>33056721.221673641</v>
      </c>
      <c r="AR363" s="348">
        <v>98804568.059044719</v>
      </c>
      <c r="AS363" s="369"/>
      <c r="AT363" s="350">
        <f t="shared" si="171"/>
        <v>955524.96125646867</v>
      </c>
      <c r="AU363" s="350">
        <f t="shared" si="154"/>
        <v>2820993.8061208669</v>
      </c>
      <c r="AV363" s="350">
        <f t="shared" si="155"/>
        <v>4458626.9970575832</v>
      </c>
      <c r="AW363" s="350">
        <f t="shared" si="156"/>
        <v>5864138.1578926444</v>
      </c>
      <c r="AX363" s="350">
        <f t="shared" si="157"/>
        <v>7034639.0988183543</v>
      </c>
      <c r="AY363" s="350">
        <f t="shared" si="158"/>
        <v>21133923.02114591</v>
      </c>
      <c r="AZ363" s="365"/>
      <c r="BA363" s="377">
        <f t="shared" si="159"/>
        <v>0</v>
      </c>
      <c r="BB363" s="377">
        <f t="shared" si="160"/>
        <v>0</v>
      </c>
      <c r="BC363" s="377">
        <f t="shared" si="161"/>
        <v>0</v>
      </c>
      <c r="BD363" s="377">
        <f t="shared" si="162"/>
        <v>0</v>
      </c>
      <c r="BE363" s="377">
        <f t="shared" si="163"/>
        <v>0</v>
      </c>
      <c r="BF363" s="377">
        <f t="shared" si="164"/>
        <v>0</v>
      </c>
      <c r="BG363" s="328"/>
    </row>
    <row r="364" spans="2:59">
      <c r="B364" s="332">
        <v>349</v>
      </c>
      <c r="C364" s="350">
        <v>8595792.8181004934</v>
      </c>
      <c r="D364" s="350">
        <v>16186719.519119617</v>
      </c>
      <c r="E364" s="350">
        <v>23834789.005979277</v>
      </c>
      <c r="F364" s="350">
        <v>31540532.721671015</v>
      </c>
      <c r="G364" s="350">
        <v>39305182.88060189</v>
      </c>
      <c r="H364" s="348">
        <v>119463016.9454723</v>
      </c>
      <c r="I364" s="369"/>
      <c r="J364" s="350">
        <v>10046444.545209602</v>
      </c>
      <c r="K364" s="350">
        <v>20470208.738576725</v>
      </c>
      <c r="L364" s="350">
        <v>30654125.822843447</v>
      </c>
      <c r="M364" s="350">
        <v>40591067.334999591</v>
      </c>
      <c r="N364" s="350">
        <v>50276665.775860392</v>
      </c>
      <c r="O364" s="348">
        <v>152038512.21748975</v>
      </c>
      <c r="P364" s="369"/>
      <c r="Q364" s="350">
        <f t="shared" si="165"/>
        <v>1450651.7271091081</v>
      </c>
      <c r="R364" s="350">
        <f t="shared" si="166"/>
        <v>4283489.2194571085</v>
      </c>
      <c r="S364" s="350">
        <f t="shared" si="167"/>
        <v>6819336.8168641701</v>
      </c>
      <c r="T364" s="350">
        <f t="shared" si="168"/>
        <v>9050534.6133285761</v>
      </c>
      <c r="U364" s="350">
        <f t="shared" si="169"/>
        <v>10971482.895258501</v>
      </c>
      <c r="V364" s="350">
        <f t="shared" si="170"/>
        <v>32575495.272017449</v>
      </c>
      <c r="W364" s="365"/>
      <c r="X364" s="377">
        <f t="shared" si="148"/>
        <v>0</v>
      </c>
      <c r="Y364" s="377">
        <f t="shared" si="149"/>
        <v>0</v>
      </c>
      <c r="Z364" s="377">
        <f t="shared" si="150"/>
        <v>0</v>
      </c>
      <c r="AA364" s="377">
        <f t="shared" si="151"/>
        <v>0</v>
      </c>
      <c r="AB364" s="377">
        <f t="shared" si="152"/>
        <v>0</v>
      </c>
      <c r="AC364" s="377">
        <f t="shared" si="153"/>
        <v>0</v>
      </c>
      <c r="AD364" s="376"/>
      <c r="AE364" s="332">
        <v>349</v>
      </c>
      <c r="AF364" s="350">
        <v>5024952.273956826</v>
      </c>
      <c r="AG364" s="350">
        <v>10089366.365261599</v>
      </c>
      <c r="AH364" s="350">
        <v>15192108.213174008</v>
      </c>
      <c r="AI364" s="350">
        <v>20333347.010062177</v>
      </c>
      <c r="AJ364" s="350">
        <v>25513824.194860548</v>
      </c>
      <c r="AK364" s="348">
        <v>76153598.057315156</v>
      </c>
      <c r="AL364" s="369"/>
      <c r="AM364" s="350">
        <v>6034853.4419659944</v>
      </c>
      <c r="AN364" s="350">
        <v>13071874.286499584</v>
      </c>
      <c r="AO364" s="350">
        <v>19926024.823353112</v>
      </c>
      <c r="AP364" s="350">
        <v>26593250.931104194</v>
      </c>
      <c r="AQ364" s="350">
        <v>33071536.242116872</v>
      </c>
      <c r="AR364" s="348">
        <v>98697539.72503975</v>
      </c>
      <c r="AS364" s="369"/>
      <c r="AT364" s="350">
        <f t="shared" si="171"/>
        <v>1009901.1680091685</v>
      </c>
      <c r="AU364" s="350">
        <f t="shared" si="154"/>
        <v>2982507.9212379847</v>
      </c>
      <c r="AV364" s="350">
        <f t="shared" si="155"/>
        <v>4733916.6101791039</v>
      </c>
      <c r="AW364" s="350">
        <f t="shared" si="156"/>
        <v>6259903.9210420176</v>
      </c>
      <c r="AX364" s="350">
        <f t="shared" si="157"/>
        <v>7557712.0472563244</v>
      </c>
      <c r="AY364" s="350">
        <f t="shared" si="158"/>
        <v>22543941.667724594</v>
      </c>
      <c r="AZ364" s="365"/>
      <c r="BA364" s="377">
        <f t="shared" si="159"/>
        <v>0</v>
      </c>
      <c r="BB364" s="377">
        <f t="shared" si="160"/>
        <v>0</v>
      </c>
      <c r="BC364" s="377">
        <f t="shared" si="161"/>
        <v>0</v>
      </c>
      <c r="BD364" s="377">
        <f t="shared" si="162"/>
        <v>0</v>
      </c>
      <c r="BE364" s="377">
        <f t="shared" si="163"/>
        <v>0</v>
      </c>
      <c r="BF364" s="377">
        <f t="shared" si="164"/>
        <v>0</v>
      </c>
      <c r="BG364" s="328"/>
    </row>
    <row r="365" spans="2:59">
      <c r="B365" s="332">
        <v>350</v>
      </c>
      <c r="C365" s="350">
        <v>11985280.871710923</v>
      </c>
      <c r="D365" s="350">
        <v>22665437.906960934</v>
      </c>
      <c r="E365" s="350">
        <v>33426023.989805341</v>
      </c>
      <c r="F365" s="350">
        <v>44267758.460084319</v>
      </c>
      <c r="G365" s="350">
        <v>55192362.649983563</v>
      </c>
      <c r="H365" s="348">
        <v>167536863.87854508</v>
      </c>
      <c r="I365" s="369"/>
      <c r="J365" s="350">
        <v>13390338.365497928</v>
      </c>
      <c r="K365" s="350">
        <v>26806060.540149111</v>
      </c>
      <c r="L365" s="350">
        <v>39856247.024723053</v>
      </c>
      <c r="M365" s="350">
        <v>52531353.5435462</v>
      </c>
      <c r="N365" s="350">
        <v>64824926.064033404</v>
      </c>
      <c r="O365" s="348">
        <v>197408925.53794968</v>
      </c>
      <c r="P365" s="369"/>
      <c r="Q365" s="350">
        <f t="shared" si="165"/>
        <v>1405057.4937870055</v>
      </c>
      <c r="R365" s="350">
        <f t="shared" si="166"/>
        <v>4140622.6331881769</v>
      </c>
      <c r="S365" s="350">
        <f t="shared" si="167"/>
        <v>6430223.0349177122</v>
      </c>
      <c r="T365" s="350">
        <f t="shared" si="168"/>
        <v>8263595.0834618807</v>
      </c>
      <c r="U365" s="350">
        <f t="shared" si="169"/>
        <v>9632563.4140498415</v>
      </c>
      <c r="V365" s="350">
        <f t="shared" si="170"/>
        <v>29872061.659404606</v>
      </c>
      <c r="W365" s="365"/>
      <c r="X365" s="377">
        <f t="shared" si="148"/>
        <v>0</v>
      </c>
      <c r="Y365" s="377">
        <f t="shared" si="149"/>
        <v>0</v>
      </c>
      <c r="Z365" s="377">
        <f t="shared" si="150"/>
        <v>0</v>
      </c>
      <c r="AA365" s="377">
        <f t="shared" si="151"/>
        <v>0</v>
      </c>
      <c r="AB365" s="377">
        <f t="shared" si="152"/>
        <v>0</v>
      </c>
      <c r="AC365" s="377">
        <f t="shared" si="153"/>
        <v>0</v>
      </c>
      <c r="AD365" s="376"/>
      <c r="AE365" s="332">
        <v>350</v>
      </c>
      <c r="AF365" s="350">
        <v>7329830.8417156748</v>
      </c>
      <c r="AG365" s="350">
        <v>14717224.109917715</v>
      </c>
      <c r="AH365" s="350">
        <v>22160525.565334279</v>
      </c>
      <c r="AI365" s="350">
        <v>29659982.006615471</v>
      </c>
      <c r="AJ365" s="350">
        <v>37216674.960843071</v>
      </c>
      <c r="AK365" s="348">
        <v>111084237.48442622</v>
      </c>
      <c r="AL365" s="369"/>
      <c r="AM365" s="350">
        <v>9135516.1525992844</v>
      </c>
      <c r="AN365" s="350">
        <v>20054031.916615933</v>
      </c>
      <c r="AO365" s="350">
        <v>30715757.358189024</v>
      </c>
      <c r="AP365" s="350">
        <v>41114684.725329131</v>
      </c>
      <c r="AQ365" s="350">
        <v>51248209.570682898</v>
      </c>
      <c r="AR365" s="348">
        <v>152268199.72341627</v>
      </c>
      <c r="AS365" s="369"/>
      <c r="AT365" s="350">
        <f t="shared" si="171"/>
        <v>1805685.3108836096</v>
      </c>
      <c r="AU365" s="350">
        <f t="shared" si="154"/>
        <v>5336807.806698218</v>
      </c>
      <c r="AV365" s="350">
        <f t="shared" si="155"/>
        <v>8555231.7928547449</v>
      </c>
      <c r="AW365" s="350">
        <f t="shared" si="156"/>
        <v>11454702.71871366</v>
      </c>
      <c r="AX365" s="350">
        <f t="shared" si="157"/>
        <v>14031534.609839827</v>
      </c>
      <c r="AY365" s="350">
        <f t="shared" si="158"/>
        <v>41183962.238990054</v>
      </c>
      <c r="AZ365" s="365"/>
      <c r="BA365" s="377">
        <f t="shared" si="159"/>
        <v>0</v>
      </c>
      <c r="BB365" s="377">
        <f t="shared" si="160"/>
        <v>0</v>
      </c>
      <c r="BC365" s="377">
        <f t="shared" si="161"/>
        <v>0</v>
      </c>
      <c r="BD365" s="377">
        <f t="shared" si="162"/>
        <v>0</v>
      </c>
      <c r="BE365" s="377">
        <f t="shared" si="163"/>
        <v>0</v>
      </c>
      <c r="BF365" s="377">
        <f t="shared" si="164"/>
        <v>0</v>
      </c>
      <c r="BG365" s="328"/>
    </row>
    <row r="366" spans="2:59">
      <c r="B366" s="332">
        <v>351</v>
      </c>
      <c r="C366" s="350">
        <v>7247240.0338412775</v>
      </c>
      <c r="D366" s="350">
        <v>13513179.228572778</v>
      </c>
      <c r="E366" s="350">
        <v>19826243.371299203</v>
      </c>
      <c r="F366" s="350">
        <v>26186910.790184699</v>
      </c>
      <c r="G366" s="350">
        <v>32596215.86877105</v>
      </c>
      <c r="H366" s="348">
        <v>99369789.292669013</v>
      </c>
      <c r="I366" s="369"/>
      <c r="J366" s="350">
        <v>8465394.7141735889</v>
      </c>
      <c r="K366" s="350">
        <v>17110438.005541775</v>
      </c>
      <c r="L366" s="350">
        <v>25558258.209118426</v>
      </c>
      <c r="M366" s="350">
        <v>33803016.598210707</v>
      </c>
      <c r="N366" s="350">
        <v>41841157.961656481</v>
      </c>
      <c r="O366" s="348">
        <v>126778265.48870099</v>
      </c>
      <c r="P366" s="369"/>
      <c r="Q366" s="350">
        <f t="shared" si="165"/>
        <v>1218154.6803323114</v>
      </c>
      <c r="R366" s="350">
        <f t="shared" si="166"/>
        <v>3597258.776968997</v>
      </c>
      <c r="S366" s="350">
        <f t="shared" si="167"/>
        <v>5732014.8378192224</v>
      </c>
      <c r="T366" s="350">
        <f t="shared" si="168"/>
        <v>7616105.8080260083</v>
      </c>
      <c r="U366" s="350">
        <f t="shared" si="169"/>
        <v>9244942.0928854309</v>
      </c>
      <c r="V366" s="350">
        <f t="shared" si="170"/>
        <v>27408476.196031973</v>
      </c>
      <c r="W366" s="365"/>
      <c r="X366" s="377">
        <f t="shared" si="148"/>
        <v>0</v>
      </c>
      <c r="Y366" s="377">
        <f t="shared" si="149"/>
        <v>0</v>
      </c>
      <c r="Z366" s="377">
        <f t="shared" si="150"/>
        <v>0</v>
      </c>
      <c r="AA366" s="377">
        <f t="shared" si="151"/>
        <v>0</v>
      </c>
      <c r="AB366" s="377">
        <f t="shared" si="152"/>
        <v>0</v>
      </c>
      <c r="AC366" s="377">
        <f t="shared" si="153"/>
        <v>0</v>
      </c>
      <c r="AD366" s="376"/>
      <c r="AE366" s="332">
        <v>351</v>
      </c>
      <c r="AF366" s="350">
        <v>9181191.2092732731</v>
      </c>
      <c r="AG366" s="350">
        <v>18434483.897482909</v>
      </c>
      <c r="AH366" s="350">
        <v>27757805.999476425</v>
      </c>
      <c r="AI366" s="350">
        <v>37151466.650027297</v>
      </c>
      <c r="AJ366" s="350">
        <v>46616820.547101982</v>
      </c>
      <c r="AK366" s="348">
        <v>139141768.30336189</v>
      </c>
      <c r="AL366" s="369"/>
      <c r="AM366" s="350">
        <v>10540118.918276528</v>
      </c>
      <c r="AN366" s="350">
        <v>22441711.448628884</v>
      </c>
      <c r="AO366" s="350">
        <v>33994613.638386704</v>
      </c>
      <c r="AP366" s="350">
        <v>45191555.659754723</v>
      </c>
      <c r="AQ366" s="350">
        <v>56028360.876259536</v>
      </c>
      <c r="AR366" s="348">
        <v>168196360.54130638</v>
      </c>
      <c r="AS366" s="369"/>
      <c r="AT366" s="350">
        <f t="shared" si="171"/>
        <v>1358927.7090032548</v>
      </c>
      <c r="AU366" s="350">
        <f t="shared" si="154"/>
        <v>4007227.5511459745</v>
      </c>
      <c r="AV366" s="350">
        <f t="shared" si="155"/>
        <v>6236807.6389102787</v>
      </c>
      <c r="AW366" s="350">
        <f t="shared" si="156"/>
        <v>8040089.0097274259</v>
      </c>
      <c r="AX366" s="350">
        <f t="shared" si="157"/>
        <v>9411540.3291575536</v>
      </c>
      <c r="AY366" s="350">
        <f t="shared" si="158"/>
        <v>29054592.237944484</v>
      </c>
      <c r="AZ366" s="365"/>
      <c r="BA366" s="377">
        <f t="shared" si="159"/>
        <v>0</v>
      </c>
      <c r="BB366" s="377">
        <f t="shared" si="160"/>
        <v>0</v>
      </c>
      <c r="BC366" s="377">
        <f t="shared" si="161"/>
        <v>0</v>
      </c>
      <c r="BD366" s="377">
        <f t="shared" si="162"/>
        <v>0</v>
      </c>
      <c r="BE366" s="377">
        <f t="shared" si="163"/>
        <v>0</v>
      </c>
      <c r="BF366" s="377">
        <f t="shared" si="164"/>
        <v>0</v>
      </c>
      <c r="BG366" s="328"/>
    </row>
    <row r="367" spans="2:59">
      <c r="B367" s="332">
        <v>352</v>
      </c>
      <c r="C367" s="350">
        <v>9694179.8973861933</v>
      </c>
      <c r="D367" s="350">
        <v>18195012.030998435</v>
      </c>
      <c r="E367" s="350">
        <v>26759816.964307427</v>
      </c>
      <c r="F367" s="350">
        <v>35389207.607855447</v>
      </c>
      <c r="G367" s="350">
        <v>44084571.607946917</v>
      </c>
      <c r="H367" s="348">
        <v>134122788.10849442</v>
      </c>
      <c r="I367" s="369"/>
      <c r="J367" s="350">
        <v>10753564.747494444</v>
      </c>
      <c r="K367" s="350">
        <v>21315897.224423029</v>
      </c>
      <c r="L367" s="350">
        <v>31590860.587738492</v>
      </c>
      <c r="M367" s="350">
        <v>41570742.62484695</v>
      </c>
      <c r="N367" s="350">
        <v>51250183.960816592</v>
      </c>
      <c r="O367" s="348">
        <v>156481249.14531952</v>
      </c>
      <c r="P367" s="369"/>
      <c r="Q367" s="350">
        <f t="shared" si="165"/>
        <v>1059384.850108251</v>
      </c>
      <c r="R367" s="350">
        <f t="shared" si="166"/>
        <v>3120885.1934245937</v>
      </c>
      <c r="S367" s="350">
        <f t="shared" si="167"/>
        <v>4831043.6234310642</v>
      </c>
      <c r="T367" s="350">
        <f t="shared" si="168"/>
        <v>6181535.0169915035</v>
      </c>
      <c r="U367" s="350">
        <f t="shared" si="169"/>
        <v>7165612.3528696746</v>
      </c>
      <c r="V367" s="350">
        <f t="shared" si="170"/>
        <v>22358461.036825106</v>
      </c>
      <c r="W367" s="365"/>
      <c r="X367" s="377">
        <f t="shared" si="148"/>
        <v>0</v>
      </c>
      <c r="Y367" s="377">
        <f t="shared" si="149"/>
        <v>0</v>
      </c>
      <c r="Z367" s="377">
        <f t="shared" si="150"/>
        <v>0</v>
      </c>
      <c r="AA367" s="377">
        <f t="shared" si="151"/>
        <v>0</v>
      </c>
      <c r="AB367" s="377">
        <f t="shared" si="152"/>
        <v>0</v>
      </c>
      <c r="AC367" s="377">
        <f t="shared" si="153"/>
        <v>0</v>
      </c>
      <c r="AD367" s="376"/>
      <c r="AE367" s="332">
        <v>352</v>
      </c>
      <c r="AF367" s="350">
        <v>6802367.1826247945</v>
      </c>
      <c r="AG367" s="350">
        <v>13658154.528598331</v>
      </c>
      <c r="AH367" s="350">
        <v>20565826.839745097</v>
      </c>
      <c r="AI367" s="350">
        <v>27525613.154780243</v>
      </c>
      <c r="AJ367" s="350">
        <v>34538517.172764093</v>
      </c>
      <c r="AK367" s="348">
        <v>103090478.87851256</v>
      </c>
      <c r="AL367" s="369"/>
      <c r="AM367" s="350">
        <v>7999017.5147925569</v>
      </c>
      <c r="AN367" s="350">
        <v>17190062.093658235</v>
      </c>
      <c r="AO367" s="350">
        <v>26128446.232611835</v>
      </c>
      <c r="AP367" s="350">
        <v>34808730.010917842</v>
      </c>
      <c r="AQ367" s="350">
        <v>43228011.188897416</v>
      </c>
      <c r="AR367" s="348">
        <v>129354267.04087789</v>
      </c>
      <c r="AS367" s="369"/>
      <c r="AT367" s="350">
        <f t="shared" si="171"/>
        <v>1196650.3321677623</v>
      </c>
      <c r="AU367" s="350">
        <f t="shared" si="154"/>
        <v>3531907.565059904</v>
      </c>
      <c r="AV367" s="350">
        <f t="shared" si="155"/>
        <v>5562619.3928667381</v>
      </c>
      <c r="AW367" s="350">
        <f t="shared" si="156"/>
        <v>7283116.8561375998</v>
      </c>
      <c r="AX367" s="350">
        <f t="shared" si="157"/>
        <v>8689494.0161333233</v>
      </c>
      <c r="AY367" s="350">
        <f t="shared" si="158"/>
        <v>26263788.162365332</v>
      </c>
      <c r="AZ367" s="365"/>
      <c r="BA367" s="377">
        <f t="shared" si="159"/>
        <v>0</v>
      </c>
      <c r="BB367" s="377">
        <f t="shared" si="160"/>
        <v>0</v>
      </c>
      <c r="BC367" s="377">
        <f t="shared" si="161"/>
        <v>0</v>
      </c>
      <c r="BD367" s="377">
        <f t="shared" si="162"/>
        <v>0</v>
      </c>
      <c r="BE367" s="377">
        <f t="shared" si="163"/>
        <v>0</v>
      </c>
      <c r="BF367" s="377">
        <f t="shared" si="164"/>
        <v>0</v>
      </c>
      <c r="BG367" s="328"/>
    </row>
    <row r="368" spans="2:59">
      <c r="B368" s="332">
        <v>353</v>
      </c>
      <c r="C368" s="350">
        <v>8638969.3704472408</v>
      </c>
      <c r="D368" s="350">
        <v>16276009.811371215</v>
      </c>
      <c r="E368" s="350">
        <v>23970542.770156875</v>
      </c>
      <c r="F368" s="350">
        <v>31723100.557211623</v>
      </c>
      <c r="G368" s="350">
        <v>39534921.845184587</v>
      </c>
      <c r="H368" s="348">
        <v>120143544.35437155</v>
      </c>
      <c r="I368" s="369"/>
      <c r="J368" s="350">
        <v>9910469.6317655332</v>
      </c>
      <c r="K368" s="350">
        <v>20028107.958810031</v>
      </c>
      <c r="L368" s="350">
        <v>29906580.149035931</v>
      </c>
      <c r="M368" s="350">
        <v>39538485.716632612</v>
      </c>
      <c r="N368" s="350">
        <v>48918948.191422336</v>
      </c>
      <c r="O368" s="348">
        <v>148302591.64766645</v>
      </c>
      <c r="P368" s="369"/>
      <c r="Q368" s="350">
        <f t="shared" si="165"/>
        <v>1271500.2613182925</v>
      </c>
      <c r="R368" s="350">
        <f t="shared" si="166"/>
        <v>3752098.1474388167</v>
      </c>
      <c r="S368" s="350">
        <f t="shared" si="167"/>
        <v>5936037.3788790554</v>
      </c>
      <c r="T368" s="350">
        <f t="shared" si="168"/>
        <v>7815385.1594209895</v>
      </c>
      <c r="U368" s="350">
        <f t="shared" si="169"/>
        <v>9384026.3462377489</v>
      </c>
      <c r="V368" s="350">
        <f t="shared" si="170"/>
        <v>28159047.293294907</v>
      </c>
      <c r="W368" s="365"/>
      <c r="X368" s="377">
        <f t="shared" si="148"/>
        <v>0</v>
      </c>
      <c r="Y368" s="377">
        <f t="shared" si="149"/>
        <v>0</v>
      </c>
      <c r="Z368" s="377">
        <f t="shared" si="150"/>
        <v>0</v>
      </c>
      <c r="AA368" s="377">
        <f t="shared" si="151"/>
        <v>0</v>
      </c>
      <c r="AB368" s="377">
        <f t="shared" si="152"/>
        <v>0</v>
      </c>
      <c r="AC368" s="377">
        <f t="shared" si="153"/>
        <v>0</v>
      </c>
      <c r="AD368" s="376"/>
      <c r="AE368" s="332">
        <v>353</v>
      </c>
      <c r="AF368" s="350">
        <v>4885291.7496996075</v>
      </c>
      <c r="AG368" s="350">
        <v>9808948.5385493822</v>
      </c>
      <c r="AH368" s="350">
        <v>14769867.825216342</v>
      </c>
      <c r="AI368" s="350">
        <v>19768214.099636916</v>
      </c>
      <c r="AJ368" s="350">
        <v>24804708.193634346</v>
      </c>
      <c r="AK368" s="348">
        <v>74037030.406736597</v>
      </c>
      <c r="AL368" s="369"/>
      <c r="AM368" s="350">
        <v>5739970.7691510124</v>
      </c>
      <c r="AN368" s="350">
        <v>12331462.300214943</v>
      </c>
      <c r="AO368" s="350">
        <v>18741357.82260704</v>
      </c>
      <c r="AP368" s="350">
        <v>24965751.856478829</v>
      </c>
      <c r="AQ368" s="350">
        <v>31002555.299167387</v>
      </c>
      <c r="AR368" s="348">
        <v>92781098.047619224</v>
      </c>
      <c r="AS368" s="369"/>
      <c r="AT368" s="350">
        <f t="shared" si="171"/>
        <v>854679.01945140492</v>
      </c>
      <c r="AU368" s="350">
        <f t="shared" si="154"/>
        <v>2522513.7616655603</v>
      </c>
      <c r="AV368" s="350">
        <f t="shared" si="155"/>
        <v>3971489.9973906986</v>
      </c>
      <c r="AW368" s="350">
        <f t="shared" si="156"/>
        <v>5197537.7568419129</v>
      </c>
      <c r="AX368" s="350">
        <f t="shared" si="157"/>
        <v>6197847.1055330411</v>
      </c>
      <c r="AY368" s="350">
        <f t="shared" si="158"/>
        <v>18744067.640882626</v>
      </c>
      <c r="AZ368" s="365"/>
      <c r="BA368" s="377">
        <f t="shared" si="159"/>
        <v>0</v>
      </c>
      <c r="BB368" s="377">
        <f t="shared" si="160"/>
        <v>0</v>
      </c>
      <c r="BC368" s="377">
        <f t="shared" si="161"/>
        <v>0</v>
      </c>
      <c r="BD368" s="377">
        <f t="shared" si="162"/>
        <v>0</v>
      </c>
      <c r="BE368" s="377">
        <f t="shared" si="163"/>
        <v>0</v>
      </c>
      <c r="BF368" s="377">
        <f t="shared" si="164"/>
        <v>0</v>
      </c>
      <c r="BG368" s="328"/>
    </row>
    <row r="369" spans="2:59">
      <c r="B369" s="332">
        <v>354</v>
      </c>
      <c r="C369" s="350">
        <v>8004980.4178849272</v>
      </c>
      <c r="D369" s="350">
        <v>15044987.087277401</v>
      </c>
      <c r="E369" s="350">
        <v>22137979.847214784</v>
      </c>
      <c r="F369" s="350">
        <v>29284460.19750303</v>
      </c>
      <c r="G369" s="350">
        <v>36485574.6767461</v>
      </c>
      <c r="H369" s="348">
        <v>110957982.22662625</v>
      </c>
      <c r="I369" s="369"/>
      <c r="J369" s="350">
        <v>9274439.1624646708</v>
      </c>
      <c r="K369" s="350">
        <v>18792489.747393887</v>
      </c>
      <c r="L369" s="350">
        <v>28080367.028813221</v>
      </c>
      <c r="M369" s="350">
        <v>37131725.461729065</v>
      </c>
      <c r="N369" s="350">
        <v>45942685.616419993</v>
      </c>
      <c r="O369" s="348">
        <v>139221707.01682085</v>
      </c>
      <c r="P369" s="369"/>
      <c r="Q369" s="350">
        <f t="shared" si="165"/>
        <v>1269458.7445797436</v>
      </c>
      <c r="R369" s="350">
        <f t="shared" si="166"/>
        <v>3747502.6601164863</v>
      </c>
      <c r="S369" s="350">
        <f t="shared" si="167"/>
        <v>5942387.1815984361</v>
      </c>
      <c r="T369" s="350">
        <f t="shared" si="168"/>
        <v>7847265.2642260343</v>
      </c>
      <c r="U369" s="350">
        <f t="shared" si="169"/>
        <v>9457110.9396738932</v>
      </c>
      <c r="V369" s="350">
        <f t="shared" si="170"/>
        <v>28263724.790194601</v>
      </c>
      <c r="W369" s="365"/>
      <c r="X369" s="377">
        <f t="shared" si="148"/>
        <v>0</v>
      </c>
      <c r="Y369" s="377">
        <f t="shared" si="149"/>
        <v>0</v>
      </c>
      <c r="Z369" s="377">
        <f t="shared" si="150"/>
        <v>0</v>
      </c>
      <c r="AA369" s="377">
        <f t="shared" si="151"/>
        <v>0</v>
      </c>
      <c r="AB369" s="377">
        <f t="shared" si="152"/>
        <v>0</v>
      </c>
      <c r="AC369" s="377">
        <f t="shared" si="153"/>
        <v>0</v>
      </c>
      <c r="AD369" s="376"/>
      <c r="AE369" s="332">
        <v>354</v>
      </c>
      <c r="AF369" s="350">
        <v>5496945.8025198476</v>
      </c>
      <c r="AG369" s="350">
        <v>11037060.069017921</v>
      </c>
      <c r="AH369" s="350">
        <v>16619102.216482401</v>
      </c>
      <c r="AI369" s="350">
        <v>22243257.329512522</v>
      </c>
      <c r="AJ369" s="350">
        <v>27910336.490366638</v>
      </c>
      <c r="AK369" s="348">
        <v>83306701.90789932</v>
      </c>
      <c r="AL369" s="369"/>
      <c r="AM369" s="350">
        <v>6856362.71422059</v>
      </c>
      <c r="AN369" s="350">
        <v>15054949.065224776</v>
      </c>
      <c r="AO369" s="350">
        <v>23061115.130004492</v>
      </c>
      <c r="AP369" s="350">
        <v>30870353.957605328</v>
      </c>
      <c r="AQ369" s="350">
        <v>38480717.689675234</v>
      </c>
      <c r="AR369" s="348">
        <v>114323498.55673042</v>
      </c>
      <c r="AS369" s="369"/>
      <c r="AT369" s="350">
        <f t="shared" si="171"/>
        <v>1359416.9117007423</v>
      </c>
      <c r="AU369" s="350">
        <f t="shared" si="154"/>
        <v>4017888.9962068554</v>
      </c>
      <c r="AV369" s="350">
        <f t="shared" si="155"/>
        <v>6442012.9135220908</v>
      </c>
      <c r="AW369" s="350">
        <f t="shared" si="156"/>
        <v>8627096.6280928068</v>
      </c>
      <c r="AX369" s="350">
        <f t="shared" si="157"/>
        <v>10570381.199308597</v>
      </c>
      <c r="AY369" s="350">
        <f t="shared" si="158"/>
        <v>31016796.648831099</v>
      </c>
      <c r="AZ369" s="365"/>
      <c r="BA369" s="377">
        <f t="shared" si="159"/>
        <v>0</v>
      </c>
      <c r="BB369" s="377">
        <f t="shared" si="160"/>
        <v>0</v>
      </c>
      <c r="BC369" s="377">
        <f t="shared" si="161"/>
        <v>0</v>
      </c>
      <c r="BD369" s="377">
        <f t="shared" si="162"/>
        <v>0</v>
      </c>
      <c r="BE369" s="377">
        <f t="shared" si="163"/>
        <v>0</v>
      </c>
      <c r="BF369" s="377">
        <f t="shared" si="164"/>
        <v>0</v>
      </c>
      <c r="BG369" s="328"/>
    </row>
    <row r="370" spans="2:59">
      <c r="B370" s="332">
        <v>355</v>
      </c>
      <c r="C370" s="350">
        <v>7423753.4791007321</v>
      </c>
      <c r="D370" s="350">
        <v>13800097.999015059</v>
      </c>
      <c r="E370" s="350">
        <v>20224383.776410736</v>
      </c>
      <c r="F370" s="350">
        <v>26697110.315250184</v>
      </c>
      <c r="G370" s="350">
        <v>33219335.771324549</v>
      </c>
      <c r="H370" s="348">
        <v>101364681.34110126</v>
      </c>
      <c r="I370" s="369"/>
      <c r="J370" s="350">
        <v>8496170.9088158254</v>
      </c>
      <c r="K370" s="350">
        <v>16964871.420623153</v>
      </c>
      <c r="L370" s="350">
        <v>25226366.789498419</v>
      </c>
      <c r="M370" s="350">
        <v>33274835.21004495</v>
      </c>
      <c r="N370" s="350">
        <v>41106557.111504547</v>
      </c>
      <c r="O370" s="348">
        <v>125068801.44048691</v>
      </c>
      <c r="P370" s="369"/>
      <c r="Q370" s="350">
        <f t="shared" si="165"/>
        <v>1072417.4297150932</v>
      </c>
      <c r="R370" s="350">
        <f t="shared" si="166"/>
        <v>3164773.4216080941</v>
      </c>
      <c r="S370" s="350">
        <f t="shared" si="167"/>
        <v>5001983.0130876824</v>
      </c>
      <c r="T370" s="350">
        <f t="shared" si="168"/>
        <v>6577724.8947947659</v>
      </c>
      <c r="U370" s="350">
        <f t="shared" si="169"/>
        <v>7887221.3401799984</v>
      </c>
      <c r="V370" s="350">
        <f t="shared" si="170"/>
        <v>23704120.099385649</v>
      </c>
      <c r="W370" s="365"/>
      <c r="X370" s="377">
        <f t="shared" si="148"/>
        <v>0</v>
      </c>
      <c r="Y370" s="377">
        <f t="shared" si="149"/>
        <v>0</v>
      </c>
      <c r="Z370" s="377">
        <f t="shared" si="150"/>
        <v>0</v>
      </c>
      <c r="AA370" s="377">
        <f t="shared" si="151"/>
        <v>0</v>
      </c>
      <c r="AB370" s="377">
        <f t="shared" si="152"/>
        <v>0</v>
      </c>
      <c r="AC370" s="377">
        <f t="shared" si="153"/>
        <v>0</v>
      </c>
      <c r="AD370" s="376"/>
      <c r="AE370" s="332">
        <v>355</v>
      </c>
      <c r="AF370" s="350">
        <v>7064448.9376378991</v>
      </c>
      <c r="AG370" s="350">
        <v>14184376.211873302</v>
      </c>
      <c r="AH370" s="350">
        <v>21358187.476381041</v>
      </c>
      <c r="AI370" s="350">
        <v>28586120.594285008</v>
      </c>
      <c r="AJ370" s="350">
        <v>35869217.93518538</v>
      </c>
      <c r="AK370" s="348">
        <v>107062351.15536264</v>
      </c>
      <c r="AL370" s="369"/>
      <c r="AM370" s="350">
        <v>8460521.0803545211</v>
      </c>
      <c r="AN370" s="350">
        <v>18307055.101448506</v>
      </c>
      <c r="AO370" s="350">
        <v>27895786.075234652</v>
      </c>
      <c r="AP370" s="350">
        <v>37221021.127787128</v>
      </c>
      <c r="AQ370" s="350">
        <v>46279901.47629305</v>
      </c>
      <c r="AR370" s="348">
        <v>138164284.86111787</v>
      </c>
      <c r="AS370" s="369"/>
      <c r="AT370" s="350">
        <f t="shared" si="171"/>
        <v>1396072.142716622</v>
      </c>
      <c r="AU370" s="350">
        <f t="shared" si="154"/>
        <v>4122678.8895752039</v>
      </c>
      <c r="AV370" s="350">
        <f t="shared" si="155"/>
        <v>6537598.5988536105</v>
      </c>
      <c r="AW370" s="350">
        <f t="shared" si="156"/>
        <v>8634900.5335021205</v>
      </c>
      <c r="AX370" s="350">
        <f t="shared" si="157"/>
        <v>10410683.541107669</v>
      </c>
      <c r="AY370" s="350">
        <f t="shared" si="158"/>
        <v>31101933.705755234</v>
      </c>
      <c r="AZ370" s="365"/>
      <c r="BA370" s="377">
        <f t="shared" si="159"/>
        <v>0</v>
      </c>
      <c r="BB370" s="377">
        <f t="shared" si="160"/>
        <v>0</v>
      </c>
      <c r="BC370" s="377">
        <f t="shared" si="161"/>
        <v>0</v>
      </c>
      <c r="BD370" s="377">
        <f t="shared" si="162"/>
        <v>0</v>
      </c>
      <c r="BE370" s="377">
        <f t="shared" si="163"/>
        <v>0</v>
      </c>
      <c r="BF370" s="377">
        <f t="shared" si="164"/>
        <v>0</v>
      </c>
      <c r="BG370" s="328"/>
    </row>
    <row r="371" spans="2:59">
      <c r="B371" s="332">
        <v>356</v>
      </c>
      <c r="C371" s="350">
        <v>9621148.3179448582</v>
      </c>
      <c r="D371" s="350">
        <v>18160184.087885223</v>
      </c>
      <c r="E371" s="350">
        <v>26763513.663493752</v>
      </c>
      <c r="F371" s="350">
        <v>35431722.262652814</v>
      </c>
      <c r="G371" s="350">
        <v>44166190.520402215</v>
      </c>
      <c r="H371" s="348">
        <v>134142758.85237888</v>
      </c>
      <c r="I371" s="369"/>
      <c r="J371" s="350">
        <v>11269244.057107825</v>
      </c>
      <c r="K371" s="350">
        <v>23026910.612203434</v>
      </c>
      <c r="L371" s="350">
        <v>34510383.86078617</v>
      </c>
      <c r="M371" s="350">
        <v>45711835.23909393</v>
      </c>
      <c r="N371" s="350">
        <v>56626577.964872584</v>
      </c>
      <c r="O371" s="348">
        <v>171144951.73406392</v>
      </c>
      <c r="P371" s="369"/>
      <c r="Q371" s="350">
        <f t="shared" si="165"/>
        <v>1648095.7391629666</v>
      </c>
      <c r="R371" s="350">
        <f t="shared" si="166"/>
        <v>4866726.5243182108</v>
      </c>
      <c r="S371" s="350">
        <f t="shared" si="167"/>
        <v>7746870.1972924173</v>
      </c>
      <c r="T371" s="350">
        <f t="shared" si="168"/>
        <v>10280112.976441115</v>
      </c>
      <c r="U371" s="350">
        <f t="shared" si="169"/>
        <v>12460387.444470368</v>
      </c>
      <c r="V371" s="350">
        <f t="shared" si="170"/>
        <v>37002192.881685048</v>
      </c>
      <c r="W371" s="365"/>
      <c r="X371" s="377">
        <f t="shared" si="148"/>
        <v>0</v>
      </c>
      <c r="Y371" s="377">
        <f t="shared" si="149"/>
        <v>0</v>
      </c>
      <c r="Z371" s="377">
        <f t="shared" si="150"/>
        <v>0</v>
      </c>
      <c r="AA371" s="377">
        <f t="shared" si="151"/>
        <v>0</v>
      </c>
      <c r="AB371" s="377">
        <f t="shared" si="152"/>
        <v>0</v>
      </c>
      <c r="AC371" s="377">
        <f t="shared" si="153"/>
        <v>0</v>
      </c>
      <c r="AD371" s="376"/>
      <c r="AE371" s="332">
        <v>356</v>
      </c>
      <c r="AF371" s="350">
        <v>7405042.5889767129</v>
      </c>
      <c r="AG371" s="350">
        <v>14868238.255270092</v>
      </c>
      <c r="AH371" s="350">
        <v>22387915.785379458</v>
      </c>
      <c r="AI371" s="350">
        <v>29964324.510367759</v>
      </c>
      <c r="AJ371" s="350">
        <v>37598557.05491823</v>
      </c>
      <c r="AK371" s="348">
        <v>112224078.19491225</v>
      </c>
      <c r="AL371" s="369"/>
      <c r="AM371" s="350">
        <v>8694205.5554873664</v>
      </c>
      <c r="AN371" s="350">
        <v>18673004.438489873</v>
      </c>
      <c r="AO371" s="350">
        <v>28376353.127911966</v>
      </c>
      <c r="AP371" s="350">
        <v>37798333.558079436</v>
      </c>
      <c r="AQ371" s="350">
        <v>46935772.676487133</v>
      </c>
      <c r="AR371" s="348">
        <v>140477669.35645577</v>
      </c>
      <c r="AS371" s="369"/>
      <c r="AT371" s="350">
        <f t="shared" si="171"/>
        <v>1289162.9665106535</v>
      </c>
      <c r="AU371" s="350">
        <f t="shared" si="154"/>
        <v>3804766.1832197811</v>
      </c>
      <c r="AV371" s="350">
        <f t="shared" si="155"/>
        <v>5988437.3425325081</v>
      </c>
      <c r="AW371" s="350">
        <f t="shared" si="156"/>
        <v>7834009.0477116778</v>
      </c>
      <c r="AX371" s="350">
        <f t="shared" si="157"/>
        <v>9337215.6215689033</v>
      </c>
      <c r="AY371" s="350">
        <f t="shared" si="158"/>
        <v>28253591.161543518</v>
      </c>
      <c r="AZ371" s="365"/>
      <c r="BA371" s="377">
        <f t="shared" si="159"/>
        <v>0</v>
      </c>
      <c r="BB371" s="377">
        <f t="shared" si="160"/>
        <v>0</v>
      </c>
      <c r="BC371" s="377">
        <f t="shared" si="161"/>
        <v>0</v>
      </c>
      <c r="BD371" s="377">
        <f t="shared" si="162"/>
        <v>0</v>
      </c>
      <c r="BE371" s="377">
        <f t="shared" si="163"/>
        <v>0</v>
      </c>
      <c r="BF371" s="377">
        <f t="shared" si="164"/>
        <v>0</v>
      </c>
      <c r="BG371" s="328"/>
    </row>
    <row r="372" spans="2:59">
      <c r="B372" s="332">
        <v>357</v>
      </c>
      <c r="C372" s="350">
        <v>5487531.2499701902</v>
      </c>
      <c r="D372" s="350">
        <v>10267090.211469432</v>
      </c>
      <c r="E372" s="350">
        <v>15082606.987227039</v>
      </c>
      <c r="F372" s="350">
        <v>19934435.850020602</v>
      </c>
      <c r="G372" s="350">
        <v>24823361.204225369</v>
      </c>
      <c r="H372" s="348">
        <v>75595025.502912641</v>
      </c>
      <c r="I372" s="369"/>
      <c r="J372" s="350">
        <v>6387316.2178607341</v>
      </c>
      <c r="K372" s="350">
        <v>12923803.566599282</v>
      </c>
      <c r="L372" s="350">
        <v>19309697.950434774</v>
      </c>
      <c r="M372" s="350">
        <v>25540501.57328457</v>
      </c>
      <c r="N372" s="350">
        <v>31613425.020980798</v>
      </c>
      <c r="O372" s="348">
        <v>95774744.329160154</v>
      </c>
      <c r="P372" s="369"/>
      <c r="Q372" s="350">
        <f t="shared" si="165"/>
        <v>899784.96789054386</v>
      </c>
      <c r="R372" s="350">
        <f t="shared" si="166"/>
        <v>2656713.3551298492</v>
      </c>
      <c r="S372" s="350">
        <f t="shared" si="167"/>
        <v>4227090.9632077347</v>
      </c>
      <c r="T372" s="350">
        <f t="shared" si="168"/>
        <v>5606065.7232639678</v>
      </c>
      <c r="U372" s="350">
        <f t="shared" si="169"/>
        <v>6790063.8167554289</v>
      </c>
      <c r="V372" s="350">
        <f t="shared" si="170"/>
        <v>20179718.826247513</v>
      </c>
      <c r="W372" s="365"/>
      <c r="X372" s="377">
        <f t="shared" si="148"/>
        <v>0</v>
      </c>
      <c r="Y372" s="377">
        <f t="shared" si="149"/>
        <v>0</v>
      </c>
      <c r="Z372" s="377">
        <f t="shared" si="150"/>
        <v>0</v>
      </c>
      <c r="AA372" s="377">
        <f t="shared" si="151"/>
        <v>0</v>
      </c>
      <c r="AB372" s="377">
        <f t="shared" si="152"/>
        <v>0</v>
      </c>
      <c r="AC372" s="377">
        <f t="shared" si="153"/>
        <v>0</v>
      </c>
      <c r="AD372" s="376"/>
      <c r="AE372" s="332">
        <v>357</v>
      </c>
      <c r="AF372" s="350">
        <v>10279515.858650997</v>
      </c>
      <c r="AG372" s="350">
        <v>20639758.529244423</v>
      </c>
      <c r="AH372" s="350">
        <v>31078408.070270568</v>
      </c>
      <c r="AI372" s="350">
        <v>41595810.59758018</v>
      </c>
      <c r="AJ372" s="350">
        <v>52193482.868521243</v>
      </c>
      <c r="AK372" s="348">
        <v>155786975.92426741</v>
      </c>
      <c r="AL372" s="369"/>
      <c r="AM372" s="350">
        <v>11497411.617871769</v>
      </c>
      <c r="AN372" s="350">
        <v>24225980.920430444</v>
      </c>
      <c r="AO372" s="350">
        <v>36555054.028533131</v>
      </c>
      <c r="AP372" s="350">
        <v>48476577.310300715</v>
      </c>
      <c r="AQ372" s="350">
        <v>59985567.014990062</v>
      </c>
      <c r="AR372" s="348">
        <v>180740590.89212611</v>
      </c>
      <c r="AS372" s="369"/>
      <c r="AT372" s="350">
        <f t="shared" si="171"/>
        <v>1217895.7592207715</v>
      </c>
      <c r="AU372" s="350">
        <f t="shared" si="154"/>
        <v>3586222.3911860213</v>
      </c>
      <c r="AV372" s="350">
        <f t="shared" si="155"/>
        <v>5476645.9582625628</v>
      </c>
      <c r="AW372" s="350">
        <f t="shared" si="156"/>
        <v>6880766.7127205357</v>
      </c>
      <c r="AX372" s="350">
        <f t="shared" si="157"/>
        <v>7792084.1464688182</v>
      </c>
      <c r="AY372" s="350">
        <f t="shared" si="158"/>
        <v>24953614.967858702</v>
      </c>
      <c r="AZ372" s="365"/>
      <c r="BA372" s="377">
        <f t="shared" si="159"/>
        <v>0</v>
      </c>
      <c r="BB372" s="377">
        <f t="shared" si="160"/>
        <v>0</v>
      </c>
      <c r="BC372" s="377">
        <f t="shared" si="161"/>
        <v>0</v>
      </c>
      <c r="BD372" s="377">
        <f t="shared" si="162"/>
        <v>0</v>
      </c>
      <c r="BE372" s="377">
        <f t="shared" si="163"/>
        <v>0</v>
      </c>
      <c r="BF372" s="377">
        <f t="shared" si="164"/>
        <v>0</v>
      </c>
      <c r="BG372" s="328"/>
    </row>
    <row r="373" spans="2:59">
      <c r="B373" s="332">
        <v>358</v>
      </c>
      <c r="C373" s="350">
        <v>13536785.15014226</v>
      </c>
      <c r="D373" s="350">
        <v>25418552.005696401</v>
      </c>
      <c r="E373" s="350">
        <v>37389738.520657122</v>
      </c>
      <c r="F373" s="350">
        <v>49451197.990745664</v>
      </c>
      <c r="G373" s="350">
        <v>61604868.48348543</v>
      </c>
      <c r="H373" s="348">
        <v>187401142.15072688</v>
      </c>
      <c r="I373" s="369"/>
      <c r="J373" s="350">
        <v>15291277.347303834</v>
      </c>
      <c r="K373" s="350">
        <v>30592567.573718704</v>
      </c>
      <c r="L373" s="350">
        <v>45509386.097147107</v>
      </c>
      <c r="M373" s="350">
        <v>60030491.061183229</v>
      </c>
      <c r="N373" s="350">
        <v>74148271.499862313</v>
      </c>
      <c r="O373" s="348">
        <v>225571993.57921517</v>
      </c>
      <c r="P373" s="369"/>
      <c r="Q373" s="350">
        <f t="shared" si="165"/>
        <v>1754492.1971615739</v>
      </c>
      <c r="R373" s="350">
        <f t="shared" si="166"/>
        <v>5174015.5680223033</v>
      </c>
      <c r="S373" s="350">
        <f t="shared" si="167"/>
        <v>8119647.576489985</v>
      </c>
      <c r="T373" s="350">
        <f t="shared" si="168"/>
        <v>10579293.070437565</v>
      </c>
      <c r="U373" s="350">
        <f t="shared" si="169"/>
        <v>12543403.016376883</v>
      </c>
      <c r="V373" s="350">
        <f t="shared" si="170"/>
        <v>38170851.428488284</v>
      </c>
      <c r="W373" s="365"/>
      <c r="X373" s="377">
        <f t="shared" si="148"/>
        <v>0</v>
      </c>
      <c r="Y373" s="377">
        <f t="shared" si="149"/>
        <v>0</v>
      </c>
      <c r="Z373" s="377">
        <f t="shared" si="150"/>
        <v>0</v>
      </c>
      <c r="AA373" s="377">
        <f t="shared" si="151"/>
        <v>0</v>
      </c>
      <c r="AB373" s="377">
        <f t="shared" si="152"/>
        <v>0</v>
      </c>
      <c r="AC373" s="377">
        <f t="shared" si="153"/>
        <v>0</v>
      </c>
      <c r="AD373" s="376"/>
      <c r="AE373" s="332">
        <v>358</v>
      </c>
      <c r="AF373" s="350">
        <v>6883085.7551079048</v>
      </c>
      <c r="AG373" s="350">
        <v>13820225.570443617</v>
      </c>
      <c r="AH373" s="350">
        <v>20809866.030790139</v>
      </c>
      <c r="AI373" s="350">
        <v>27852238.892692689</v>
      </c>
      <c r="AJ373" s="350">
        <v>34948359.765353046</v>
      </c>
      <c r="AK373" s="348">
        <v>104313776.0143874</v>
      </c>
      <c r="AL373" s="369"/>
      <c r="AM373" s="350">
        <v>8070700.0490704672</v>
      </c>
      <c r="AN373" s="350">
        <v>17325133.103232276</v>
      </c>
      <c r="AO373" s="350">
        <v>26323211.667016894</v>
      </c>
      <c r="AP373" s="350">
        <v>35059437.840185568</v>
      </c>
      <c r="AQ373" s="350">
        <v>43530851.411959961</v>
      </c>
      <c r="AR373" s="348">
        <v>130309334.07146516</v>
      </c>
      <c r="AS373" s="369"/>
      <c r="AT373" s="350">
        <f t="shared" si="171"/>
        <v>1187614.2939625625</v>
      </c>
      <c r="AU373" s="350">
        <f t="shared" si="154"/>
        <v>3504907.5327886585</v>
      </c>
      <c r="AV373" s="350">
        <f t="shared" si="155"/>
        <v>5513345.6362267546</v>
      </c>
      <c r="AW373" s="350">
        <f t="shared" si="156"/>
        <v>7207198.9474928789</v>
      </c>
      <c r="AX373" s="350">
        <f t="shared" si="157"/>
        <v>8582491.6466069147</v>
      </c>
      <c r="AY373" s="350">
        <f t="shared" si="158"/>
        <v>25995558.057077765</v>
      </c>
      <c r="AZ373" s="365"/>
      <c r="BA373" s="377">
        <f t="shared" si="159"/>
        <v>0</v>
      </c>
      <c r="BB373" s="377">
        <f t="shared" si="160"/>
        <v>0</v>
      </c>
      <c r="BC373" s="377">
        <f t="shared" si="161"/>
        <v>0</v>
      </c>
      <c r="BD373" s="377">
        <f t="shared" si="162"/>
        <v>0</v>
      </c>
      <c r="BE373" s="377">
        <f t="shared" si="163"/>
        <v>0</v>
      </c>
      <c r="BF373" s="377">
        <f t="shared" si="164"/>
        <v>0</v>
      </c>
      <c r="BG373" s="328"/>
    </row>
    <row r="374" spans="2:59">
      <c r="B374" s="332">
        <v>359</v>
      </c>
      <c r="C374" s="350">
        <v>10033990.143767193</v>
      </c>
      <c r="D374" s="350">
        <v>18811370.244960129</v>
      </c>
      <c r="E374" s="350">
        <v>27654797.277504139</v>
      </c>
      <c r="F374" s="350">
        <v>36564910.473168306</v>
      </c>
      <c r="G374" s="350">
        <v>45543145.397826083</v>
      </c>
      <c r="H374" s="348">
        <v>138608213.53722584</v>
      </c>
      <c r="I374" s="369"/>
      <c r="J374" s="350">
        <v>11328787.746030804</v>
      </c>
      <c r="K374" s="350">
        <v>22629746.698136687</v>
      </c>
      <c r="L374" s="350">
        <v>33645927.719338119</v>
      </c>
      <c r="M374" s="350">
        <v>44369087.732304983</v>
      </c>
      <c r="N374" s="350">
        <v>54793660.710958928</v>
      </c>
      <c r="O374" s="348">
        <v>166767210.60676953</v>
      </c>
      <c r="P374" s="369"/>
      <c r="Q374" s="350">
        <f t="shared" si="165"/>
        <v>1294797.6022636108</v>
      </c>
      <c r="R374" s="350">
        <f t="shared" si="166"/>
        <v>3818376.453176558</v>
      </c>
      <c r="S374" s="350">
        <f t="shared" si="167"/>
        <v>5991130.4418339804</v>
      </c>
      <c r="T374" s="350">
        <f t="shared" si="168"/>
        <v>7804177.2591366768</v>
      </c>
      <c r="U374" s="350">
        <f t="shared" si="169"/>
        <v>9250515.3131328449</v>
      </c>
      <c r="V374" s="350">
        <f t="shared" si="170"/>
        <v>28158997.069543689</v>
      </c>
      <c r="W374" s="365"/>
      <c r="X374" s="377">
        <f t="shared" si="148"/>
        <v>0</v>
      </c>
      <c r="Y374" s="377">
        <f t="shared" si="149"/>
        <v>0</v>
      </c>
      <c r="Z374" s="377">
        <f t="shared" si="150"/>
        <v>0</v>
      </c>
      <c r="AA374" s="377">
        <f t="shared" si="151"/>
        <v>0</v>
      </c>
      <c r="AB374" s="377">
        <f t="shared" si="152"/>
        <v>0</v>
      </c>
      <c r="AC374" s="377">
        <f t="shared" si="153"/>
        <v>0</v>
      </c>
      <c r="AD374" s="376"/>
      <c r="AE374" s="332">
        <v>359</v>
      </c>
      <c r="AF374" s="350">
        <v>6879272.0156935733</v>
      </c>
      <c r="AG374" s="350">
        <v>13812568.141661208</v>
      </c>
      <c r="AH374" s="350">
        <v>20798335.823393017</v>
      </c>
      <c r="AI374" s="350">
        <v>27836806.689023919</v>
      </c>
      <c r="AJ374" s="350">
        <v>34928995.785032965</v>
      </c>
      <c r="AK374" s="348">
        <v>104255978.45480469</v>
      </c>
      <c r="AL374" s="369"/>
      <c r="AM374" s="350">
        <v>8279185.8610267472</v>
      </c>
      <c r="AN374" s="350">
        <v>17947103.335367296</v>
      </c>
      <c r="AO374" s="350">
        <v>27365186.505325686</v>
      </c>
      <c r="AP374" s="350">
        <v>36527880.28460484</v>
      </c>
      <c r="AQ374" s="350">
        <v>45432441.77870436</v>
      </c>
      <c r="AR374" s="348">
        <v>135551797.76502895</v>
      </c>
      <c r="AS374" s="369"/>
      <c r="AT374" s="350">
        <f t="shared" si="171"/>
        <v>1399913.8453331739</v>
      </c>
      <c r="AU374" s="350">
        <f t="shared" si="154"/>
        <v>4134535.1937060878</v>
      </c>
      <c r="AV374" s="350">
        <f t="shared" si="155"/>
        <v>6566850.6819326691</v>
      </c>
      <c r="AW374" s="350">
        <f t="shared" si="156"/>
        <v>8691073.5955809206</v>
      </c>
      <c r="AX374" s="350">
        <f t="shared" si="157"/>
        <v>10503445.993671395</v>
      </c>
      <c r="AY374" s="350">
        <f t="shared" si="158"/>
        <v>31295819.310224265</v>
      </c>
      <c r="AZ374" s="365"/>
      <c r="BA374" s="377">
        <f t="shared" si="159"/>
        <v>0</v>
      </c>
      <c r="BB374" s="377">
        <f t="shared" si="160"/>
        <v>0</v>
      </c>
      <c r="BC374" s="377">
        <f t="shared" si="161"/>
        <v>0</v>
      </c>
      <c r="BD374" s="377">
        <f t="shared" si="162"/>
        <v>0</v>
      </c>
      <c r="BE374" s="377">
        <f t="shared" si="163"/>
        <v>0</v>
      </c>
      <c r="BF374" s="377">
        <f t="shared" si="164"/>
        <v>0</v>
      </c>
      <c r="BG374" s="328"/>
    </row>
    <row r="375" spans="2:59">
      <c r="B375" s="332">
        <v>360</v>
      </c>
      <c r="C375" s="350">
        <v>7849815.7224096553</v>
      </c>
      <c r="D375" s="350">
        <v>14789421.553161856</v>
      </c>
      <c r="E375" s="350">
        <v>21781269.597193655</v>
      </c>
      <c r="F375" s="350">
        <v>28825843.495412003</v>
      </c>
      <c r="G375" s="350">
        <v>35924268.776598841</v>
      </c>
      <c r="H375" s="348">
        <v>109170619.14477602</v>
      </c>
      <c r="I375" s="369"/>
      <c r="J375" s="350">
        <v>8957506.2517526317</v>
      </c>
      <c r="K375" s="350">
        <v>18057407.694177389</v>
      </c>
      <c r="L375" s="350">
        <v>26930352.205734108</v>
      </c>
      <c r="M375" s="350">
        <v>35569940.040813982</v>
      </c>
      <c r="N375" s="350">
        <v>43972015.663123243</v>
      </c>
      <c r="O375" s="348">
        <v>133487221.85560134</v>
      </c>
      <c r="P375" s="369"/>
      <c r="Q375" s="350">
        <f t="shared" si="165"/>
        <v>1107690.5293429764</v>
      </c>
      <c r="R375" s="350">
        <f t="shared" si="166"/>
        <v>3267986.1410155334</v>
      </c>
      <c r="S375" s="350">
        <f t="shared" si="167"/>
        <v>5149082.608540453</v>
      </c>
      <c r="T375" s="350">
        <f t="shared" si="168"/>
        <v>6744096.5454019792</v>
      </c>
      <c r="U375" s="350">
        <f t="shared" si="169"/>
        <v>8047746.8865244016</v>
      </c>
      <c r="V375" s="350">
        <f t="shared" si="170"/>
        <v>24316602.710825324</v>
      </c>
      <c r="W375" s="365"/>
      <c r="X375" s="377">
        <f t="shared" si="148"/>
        <v>0</v>
      </c>
      <c r="Y375" s="377">
        <f t="shared" si="149"/>
        <v>0</v>
      </c>
      <c r="Z375" s="377">
        <f t="shared" si="150"/>
        <v>0</v>
      </c>
      <c r="AA375" s="377">
        <f t="shared" si="151"/>
        <v>0</v>
      </c>
      <c r="AB375" s="377">
        <f t="shared" si="152"/>
        <v>0</v>
      </c>
      <c r="AC375" s="377">
        <f t="shared" si="153"/>
        <v>0</v>
      </c>
      <c r="AD375" s="376"/>
      <c r="AE375" s="332">
        <v>360</v>
      </c>
      <c r="AF375" s="350">
        <v>6623444.6613116227</v>
      </c>
      <c r="AG375" s="350">
        <v>13298904.376536006</v>
      </c>
      <c r="AH375" s="350">
        <v>20024884.327783048</v>
      </c>
      <c r="AI375" s="350">
        <v>26801607.529367372</v>
      </c>
      <c r="AJ375" s="350">
        <v>33630051.280073978</v>
      </c>
      <c r="AK375" s="348">
        <v>100378892.17507203</v>
      </c>
      <c r="AL375" s="369"/>
      <c r="AM375" s="350">
        <v>8066575.5080059767</v>
      </c>
      <c r="AN375" s="350">
        <v>17562248.073782563</v>
      </c>
      <c r="AO375" s="350">
        <v>26820230.791257456</v>
      </c>
      <c r="AP375" s="350">
        <v>35835148.209553696</v>
      </c>
      <c r="AQ375" s="350">
        <v>44604455.930790633</v>
      </c>
      <c r="AR375" s="348">
        <v>132888658.51339033</v>
      </c>
      <c r="AS375" s="369"/>
      <c r="AT375" s="350">
        <f t="shared" si="171"/>
        <v>1443130.846694354</v>
      </c>
      <c r="AU375" s="350">
        <f t="shared" si="154"/>
        <v>4263343.6972465571</v>
      </c>
      <c r="AV375" s="350">
        <f t="shared" si="155"/>
        <v>6795346.4634744078</v>
      </c>
      <c r="AW375" s="350">
        <f t="shared" si="156"/>
        <v>9033540.6801863238</v>
      </c>
      <c r="AX375" s="350">
        <f t="shared" si="157"/>
        <v>10974404.650716655</v>
      </c>
      <c r="AY375" s="350">
        <f t="shared" si="158"/>
        <v>32509766.338318303</v>
      </c>
      <c r="AZ375" s="365"/>
      <c r="BA375" s="377">
        <f t="shared" si="159"/>
        <v>0</v>
      </c>
      <c r="BB375" s="377">
        <f t="shared" si="160"/>
        <v>0</v>
      </c>
      <c r="BC375" s="377">
        <f t="shared" si="161"/>
        <v>0</v>
      </c>
      <c r="BD375" s="377">
        <f t="shared" si="162"/>
        <v>0</v>
      </c>
      <c r="BE375" s="377">
        <f t="shared" si="163"/>
        <v>0</v>
      </c>
      <c r="BF375" s="377">
        <f t="shared" si="164"/>
        <v>0</v>
      </c>
      <c r="BG375" s="328"/>
    </row>
    <row r="376" spans="2:59">
      <c r="B376" s="332">
        <v>361</v>
      </c>
      <c r="C376" s="350">
        <v>6739616.3480615383</v>
      </c>
      <c r="D376" s="350">
        <v>12526721.032335805</v>
      </c>
      <c r="E376" s="350">
        <v>18357336.164388083</v>
      </c>
      <c r="F376" s="350">
        <v>24231915.583471186</v>
      </c>
      <c r="G376" s="350">
        <v>30151419.876092069</v>
      </c>
      <c r="H376" s="348">
        <v>92007009.00434868</v>
      </c>
      <c r="I376" s="369"/>
      <c r="J376" s="350">
        <v>7616631.9364857087</v>
      </c>
      <c r="K376" s="350">
        <v>15113445.708230408</v>
      </c>
      <c r="L376" s="350">
        <v>22421840.077590641</v>
      </c>
      <c r="M376" s="350">
        <v>29536462.707757428</v>
      </c>
      <c r="N376" s="350">
        <v>36453740.346174687</v>
      </c>
      <c r="O376" s="348">
        <v>111142120.77623887</v>
      </c>
      <c r="P376" s="369"/>
      <c r="Q376" s="350">
        <f t="shared" si="165"/>
        <v>877015.58842417039</v>
      </c>
      <c r="R376" s="350">
        <f t="shared" si="166"/>
        <v>2586724.6758946031</v>
      </c>
      <c r="S376" s="350">
        <f t="shared" si="167"/>
        <v>4064503.9132025577</v>
      </c>
      <c r="T376" s="350">
        <f t="shared" si="168"/>
        <v>5304547.1242862418</v>
      </c>
      <c r="U376" s="350">
        <f t="shared" si="169"/>
        <v>6302320.4700826183</v>
      </c>
      <c r="V376" s="350">
        <f t="shared" si="170"/>
        <v>19135111.771890193</v>
      </c>
      <c r="W376" s="365"/>
      <c r="X376" s="377">
        <f t="shared" si="148"/>
        <v>0</v>
      </c>
      <c r="Y376" s="377">
        <f t="shared" si="149"/>
        <v>0</v>
      </c>
      <c r="Z376" s="377">
        <f t="shared" si="150"/>
        <v>0</v>
      </c>
      <c r="AA376" s="377">
        <f t="shared" si="151"/>
        <v>0</v>
      </c>
      <c r="AB376" s="377">
        <f t="shared" si="152"/>
        <v>0</v>
      </c>
      <c r="AC376" s="377">
        <f t="shared" si="153"/>
        <v>0</v>
      </c>
      <c r="AD376" s="376"/>
      <c r="AE376" s="332">
        <v>361</v>
      </c>
      <c r="AF376" s="350">
        <v>7646844.7443822389</v>
      </c>
      <c r="AG376" s="350">
        <v>15353741.480134595</v>
      </c>
      <c r="AH376" s="350">
        <v>23118964.422425881</v>
      </c>
      <c r="AI376" s="350">
        <v>30942771.043904677</v>
      </c>
      <c r="AJ376" s="350">
        <v>38826289.64751</v>
      </c>
      <c r="AK376" s="348">
        <v>115888611.33835739</v>
      </c>
      <c r="AL376" s="369"/>
      <c r="AM376" s="350">
        <v>8765343.9403721243</v>
      </c>
      <c r="AN376" s="350">
        <v>18651764.530847959</v>
      </c>
      <c r="AO376" s="350">
        <v>28247368.234372638</v>
      </c>
      <c r="AP376" s="350">
        <v>37546103.914782099</v>
      </c>
      <c r="AQ376" s="350">
        <v>46544479.431886695</v>
      </c>
      <c r="AR376" s="348">
        <v>139755060.05226153</v>
      </c>
      <c r="AS376" s="369"/>
      <c r="AT376" s="350">
        <f t="shared" si="171"/>
        <v>1118499.1959898854</v>
      </c>
      <c r="AU376" s="350">
        <f t="shared" si="154"/>
        <v>3298023.050713364</v>
      </c>
      <c r="AV376" s="350">
        <f t="shared" si="155"/>
        <v>5128403.8119467571</v>
      </c>
      <c r="AW376" s="350">
        <f t="shared" si="156"/>
        <v>6603332.8708774224</v>
      </c>
      <c r="AX376" s="350">
        <f t="shared" si="157"/>
        <v>7718189.7843766958</v>
      </c>
      <c r="AY376" s="350">
        <f t="shared" si="158"/>
        <v>23866448.713904142</v>
      </c>
      <c r="AZ376" s="365"/>
      <c r="BA376" s="377">
        <f t="shared" si="159"/>
        <v>0</v>
      </c>
      <c r="BB376" s="377">
        <f t="shared" si="160"/>
        <v>0</v>
      </c>
      <c r="BC376" s="377">
        <f t="shared" si="161"/>
        <v>0</v>
      </c>
      <c r="BD376" s="377">
        <f t="shared" si="162"/>
        <v>0</v>
      </c>
      <c r="BE376" s="377">
        <f t="shared" si="163"/>
        <v>0</v>
      </c>
      <c r="BF376" s="377">
        <f t="shared" si="164"/>
        <v>0</v>
      </c>
      <c r="BG376" s="328"/>
    </row>
    <row r="377" spans="2:59">
      <c r="B377" s="332">
        <v>362</v>
      </c>
      <c r="C377" s="350">
        <v>8122644.9429796804</v>
      </c>
      <c r="D377" s="350">
        <v>15223050.142602414</v>
      </c>
      <c r="E377" s="350">
        <v>22376881.940985516</v>
      </c>
      <c r="F377" s="350">
        <v>29584658.932420373</v>
      </c>
      <c r="G377" s="350">
        <v>36847543.057796612</v>
      </c>
      <c r="H377" s="348">
        <v>112154779.01678459</v>
      </c>
      <c r="I377" s="369"/>
      <c r="J377" s="350">
        <v>8962528.9002900291</v>
      </c>
      <c r="K377" s="350">
        <v>17696407.264589258</v>
      </c>
      <c r="L377" s="350">
        <v>26190831.091075145</v>
      </c>
      <c r="M377" s="350">
        <v>34439299.175990701</v>
      </c>
      <c r="N377" s="350">
        <v>42437210.4919395</v>
      </c>
      <c r="O377" s="348">
        <v>129726276.92388463</v>
      </c>
      <c r="P377" s="369"/>
      <c r="Q377" s="350">
        <f t="shared" si="165"/>
        <v>839883.95731034875</v>
      </c>
      <c r="R377" s="350">
        <f t="shared" si="166"/>
        <v>2473357.1219868436</v>
      </c>
      <c r="S377" s="350">
        <f t="shared" si="167"/>
        <v>3813949.150089629</v>
      </c>
      <c r="T377" s="350">
        <f t="shared" si="168"/>
        <v>4854640.2435703278</v>
      </c>
      <c r="U377" s="350">
        <f t="shared" si="169"/>
        <v>5589667.4341428876</v>
      </c>
      <c r="V377" s="350">
        <f t="shared" si="170"/>
        <v>17571497.907100037</v>
      </c>
      <c r="W377" s="365"/>
      <c r="X377" s="377">
        <f t="shared" si="148"/>
        <v>0</v>
      </c>
      <c r="Y377" s="377">
        <f t="shared" si="149"/>
        <v>0</v>
      </c>
      <c r="Z377" s="377">
        <f t="shared" si="150"/>
        <v>0</v>
      </c>
      <c r="AA377" s="377">
        <f t="shared" si="151"/>
        <v>0</v>
      </c>
      <c r="AB377" s="377">
        <f t="shared" si="152"/>
        <v>0</v>
      </c>
      <c r="AC377" s="377">
        <f t="shared" si="153"/>
        <v>0</v>
      </c>
      <c r="AD377" s="376"/>
      <c r="AE377" s="332">
        <v>362</v>
      </c>
      <c r="AF377" s="350">
        <v>5338025.2264191695</v>
      </c>
      <c r="AG377" s="350">
        <v>10717970.886108009</v>
      </c>
      <c r="AH377" s="350">
        <v>16138632.262183646</v>
      </c>
      <c r="AI377" s="350">
        <v>21600189.088319145</v>
      </c>
      <c r="AJ377" s="350">
        <v>27103428.99781331</v>
      </c>
      <c r="AK377" s="348">
        <v>80898246.46084328</v>
      </c>
      <c r="AL377" s="369"/>
      <c r="AM377" s="350">
        <v>6322847.5248474879</v>
      </c>
      <c r="AN377" s="350">
        <v>13625319.562320128</v>
      </c>
      <c r="AO377" s="350">
        <v>20730892.191135518</v>
      </c>
      <c r="AP377" s="350">
        <v>27635283.592739686</v>
      </c>
      <c r="AQ377" s="350">
        <v>34336262.649621293</v>
      </c>
      <c r="AR377" s="348">
        <v>102650605.52066411</v>
      </c>
      <c r="AS377" s="369"/>
      <c r="AT377" s="350">
        <f t="shared" si="171"/>
        <v>984822.29842831846</v>
      </c>
      <c r="AU377" s="350">
        <f t="shared" si="154"/>
        <v>2907348.6762121189</v>
      </c>
      <c r="AV377" s="350">
        <f t="shared" si="155"/>
        <v>4592259.9289518725</v>
      </c>
      <c r="AW377" s="350">
        <f t="shared" si="156"/>
        <v>6035094.5044205412</v>
      </c>
      <c r="AX377" s="350">
        <f t="shared" si="157"/>
        <v>7232833.6518079825</v>
      </c>
      <c r="AY377" s="350">
        <f t="shared" si="158"/>
        <v>21752359.059820831</v>
      </c>
      <c r="AZ377" s="365"/>
      <c r="BA377" s="377">
        <f t="shared" si="159"/>
        <v>0</v>
      </c>
      <c r="BB377" s="377">
        <f t="shared" si="160"/>
        <v>0</v>
      </c>
      <c r="BC377" s="377">
        <f t="shared" si="161"/>
        <v>0</v>
      </c>
      <c r="BD377" s="377">
        <f t="shared" si="162"/>
        <v>0</v>
      </c>
      <c r="BE377" s="377">
        <f t="shared" si="163"/>
        <v>0</v>
      </c>
      <c r="BF377" s="377">
        <f t="shared" si="164"/>
        <v>0</v>
      </c>
      <c r="BG377" s="328"/>
    </row>
    <row r="378" spans="2:59">
      <c r="B378" s="332">
        <v>363</v>
      </c>
      <c r="C378" s="350">
        <v>8224612.4309152458</v>
      </c>
      <c r="D378" s="350">
        <v>15349810.159955539</v>
      </c>
      <c r="E378" s="350">
        <v>22528599.88657508</v>
      </c>
      <c r="F378" s="350">
        <v>29761521.236375697</v>
      </c>
      <c r="G378" s="350">
        <v>37049748.570219249</v>
      </c>
      <c r="H378" s="348">
        <v>112914292.28404081</v>
      </c>
      <c r="I378" s="369"/>
      <c r="J378" s="350">
        <v>9440636.4364158753</v>
      </c>
      <c r="K378" s="350">
        <v>18938643.880986571</v>
      </c>
      <c r="L378" s="350">
        <v>28207279.413163155</v>
      </c>
      <c r="M378" s="350">
        <v>37239957.646563053</v>
      </c>
      <c r="N378" s="350">
        <v>46032473.304661095</v>
      </c>
      <c r="O378" s="348">
        <v>139858990.68178976</v>
      </c>
      <c r="P378" s="369"/>
      <c r="Q378" s="350">
        <f t="shared" si="165"/>
        <v>1216024.0055006295</v>
      </c>
      <c r="R378" s="350">
        <f t="shared" si="166"/>
        <v>3588833.7210310325</v>
      </c>
      <c r="S378" s="350">
        <f t="shared" si="167"/>
        <v>5678679.5265880749</v>
      </c>
      <c r="T378" s="350">
        <f t="shared" si="168"/>
        <v>7478436.4101873562</v>
      </c>
      <c r="U378" s="350">
        <f t="shared" si="169"/>
        <v>8982724.7344418466</v>
      </c>
      <c r="V378" s="350">
        <f t="shared" si="170"/>
        <v>26944698.397748947</v>
      </c>
      <c r="W378" s="365"/>
      <c r="X378" s="377">
        <f t="shared" si="148"/>
        <v>0</v>
      </c>
      <c r="Y378" s="377">
        <f t="shared" si="149"/>
        <v>0</v>
      </c>
      <c r="Z378" s="377">
        <f t="shared" si="150"/>
        <v>0</v>
      </c>
      <c r="AA378" s="377">
        <f t="shared" si="151"/>
        <v>0</v>
      </c>
      <c r="AB378" s="377">
        <f t="shared" si="152"/>
        <v>0</v>
      </c>
      <c r="AC378" s="377">
        <f t="shared" si="153"/>
        <v>0</v>
      </c>
      <c r="AD378" s="376"/>
      <c r="AE378" s="332">
        <v>363</v>
      </c>
      <c r="AF378" s="350">
        <v>6464250.3373539308</v>
      </c>
      <c r="AG378" s="350">
        <v>12979265.548122905</v>
      </c>
      <c r="AH378" s="350">
        <v>19543586.742326789</v>
      </c>
      <c r="AI378" s="350">
        <v>26157431.574136831</v>
      </c>
      <c r="AJ378" s="350">
        <v>32821753.852986582</v>
      </c>
      <c r="AK378" s="348">
        <v>97966288.054927036</v>
      </c>
      <c r="AL378" s="369"/>
      <c r="AM378" s="350">
        <v>7346747.5817705421</v>
      </c>
      <c r="AN378" s="350">
        <v>15580332.599609004</v>
      </c>
      <c r="AO378" s="350">
        <v>23566188.330450684</v>
      </c>
      <c r="AP378" s="350">
        <v>31299217.27984437</v>
      </c>
      <c r="AQ378" s="350">
        <v>38776403.542434461</v>
      </c>
      <c r="AR378" s="348">
        <v>116568889.33410907</v>
      </c>
      <c r="AS378" s="369"/>
      <c r="AT378" s="350">
        <f t="shared" si="171"/>
        <v>882497.24441661127</v>
      </c>
      <c r="AU378" s="350">
        <f t="shared" si="154"/>
        <v>2601067.0514860991</v>
      </c>
      <c r="AV378" s="350">
        <f t="shared" si="155"/>
        <v>4022601.5881238952</v>
      </c>
      <c r="AW378" s="350">
        <f t="shared" si="156"/>
        <v>5141785.7057075389</v>
      </c>
      <c r="AX378" s="350">
        <f t="shared" si="157"/>
        <v>5954649.6894478798</v>
      </c>
      <c r="AY378" s="350">
        <f t="shared" si="158"/>
        <v>18602601.279182032</v>
      </c>
      <c r="AZ378" s="365"/>
      <c r="BA378" s="377">
        <f t="shared" si="159"/>
        <v>0</v>
      </c>
      <c r="BB378" s="377">
        <f t="shared" si="160"/>
        <v>0</v>
      </c>
      <c r="BC378" s="377">
        <f t="shared" si="161"/>
        <v>0</v>
      </c>
      <c r="BD378" s="377">
        <f t="shared" si="162"/>
        <v>0</v>
      </c>
      <c r="BE378" s="377">
        <f t="shared" si="163"/>
        <v>0</v>
      </c>
      <c r="BF378" s="377">
        <f t="shared" si="164"/>
        <v>0</v>
      </c>
      <c r="BG378" s="328"/>
    </row>
    <row r="379" spans="2:59">
      <c r="B379" s="332">
        <v>364</v>
      </c>
      <c r="C379" s="350">
        <v>8525767.9993537553</v>
      </c>
      <c r="D379" s="350">
        <v>16112618.766701061</v>
      </c>
      <c r="E379" s="350">
        <v>23756600.433083743</v>
      </c>
      <c r="F379" s="350">
        <v>31458227.075886481</v>
      </c>
      <c r="G379" s="350">
        <v>39218722.816297755</v>
      </c>
      <c r="H379" s="348">
        <v>119071937.09132279</v>
      </c>
      <c r="I379" s="369"/>
      <c r="J379" s="350">
        <v>9387739.73982713</v>
      </c>
      <c r="K379" s="350">
        <v>18650260.126659691</v>
      </c>
      <c r="L379" s="350">
        <v>27652457.045136381</v>
      </c>
      <c r="M379" s="350">
        <v>36387469.634440027</v>
      </c>
      <c r="N379" s="350">
        <v>44850449.056938998</v>
      </c>
      <c r="O379" s="348">
        <v>136928375.60300222</v>
      </c>
      <c r="P379" s="369"/>
      <c r="Q379" s="350">
        <f t="shared" si="165"/>
        <v>861971.74047337472</v>
      </c>
      <c r="R379" s="350">
        <f t="shared" si="166"/>
        <v>2537641.3599586301</v>
      </c>
      <c r="S379" s="350">
        <f t="shared" si="167"/>
        <v>3895856.6120526381</v>
      </c>
      <c r="T379" s="350">
        <f t="shared" si="168"/>
        <v>4929242.5585535467</v>
      </c>
      <c r="U379" s="350">
        <f t="shared" si="169"/>
        <v>5631726.2406412438</v>
      </c>
      <c r="V379" s="350">
        <f t="shared" si="170"/>
        <v>17856438.511679426</v>
      </c>
      <c r="W379" s="365"/>
      <c r="X379" s="377">
        <f t="shared" si="148"/>
        <v>0</v>
      </c>
      <c r="Y379" s="377">
        <f t="shared" si="149"/>
        <v>0</v>
      </c>
      <c r="Z379" s="377">
        <f t="shared" si="150"/>
        <v>0</v>
      </c>
      <c r="AA379" s="377">
        <f t="shared" si="151"/>
        <v>0</v>
      </c>
      <c r="AB379" s="377">
        <f t="shared" si="152"/>
        <v>0</v>
      </c>
      <c r="AC379" s="377">
        <f t="shared" si="153"/>
        <v>0</v>
      </c>
      <c r="AD379" s="376"/>
      <c r="AE379" s="332">
        <v>364</v>
      </c>
      <c r="AF379" s="350">
        <v>6580341.6750433836</v>
      </c>
      <c r="AG379" s="350">
        <v>13212359.908810215</v>
      </c>
      <c r="AH379" s="350">
        <v>19894569.611145474</v>
      </c>
      <c r="AI379" s="350">
        <v>26627192.345067143</v>
      </c>
      <c r="AJ379" s="350">
        <v>33411199.049452618</v>
      </c>
      <c r="AK379" s="348">
        <v>99725662.58951883</v>
      </c>
      <c r="AL379" s="369"/>
      <c r="AM379" s="350">
        <v>8030241.96783897</v>
      </c>
      <c r="AN379" s="350">
        <v>17495887.552777901</v>
      </c>
      <c r="AO379" s="350">
        <v>26725874.110796034</v>
      </c>
      <c r="AP379" s="350">
        <v>35714856.601630226</v>
      </c>
      <c r="AQ379" s="350">
        <v>44460323.5525451</v>
      </c>
      <c r="AR379" s="348">
        <v>132427183.78558823</v>
      </c>
      <c r="AS379" s="369"/>
      <c r="AT379" s="350">
        <f t="shared" si="171"/>
        <v>1449900.2927955864</v>
      </c>
      <c r="AU379" s="350">
        <f t="shared" si="154"/>
        <v>4283527.6439676862</v>
      </c>
      <c r="AV379" s="350">
        <f t="shared" si="155"/>
        <v>6831304.4996505603</v>
      </c>
      <c r="AW379" s="350">
        <f t="shared" si="156"/>
        <v>9087664.2565630823</v>
      </c>
      <c r="AX379" s="350">
        <f t="shared" si="157"/>
        <v>11049124.503092483</v>
      </c>
      <c r="AY379" s="350">
        <f t="shared" si="158"/>
        <v>32701521.196069404</v>
      </c>
      <c r="AZ379" s="365"/>
      <c r="BA379" s="377">
        <f t="shared" si="159"/>
        <v>0</v>
      </c>
      <c r="BB379" s="377">
        <f t="shared" si="160"/>
        <v>0</v>
      </c>
      <c r="BC379" s="377">
        <f t="shared" si="161"/>
        <v>0</v>
      </c>
      <c r="BD379" s="377">
        <f t="shared" si="162"/>
        <v>0</v>
      </c>
      <c r="BE379" s="377">
        <f t="shared" si="163"/>
        <v>0</v>
      </c>
      <c r="BF379" s="377">
        <f t="shared" si="164"/>
        <v>0</v>
      </c>
      <c r="BG379" s="328"/>
    </row>
    <row r="380" spans="2:59">
      <c r="B380" s="332">
        <v>365</v>
      </c>
      <c r="C380" s="350">
        <v>8729176.7485818118</v>
      </c>
      <c r="D380" s="350">
        <v>16481440.792327616</v>
      </c>
      <c r="E380" s="350">
        <v>24292076.302942738</v>
      </c>
      <c r="F380" s="350">
        <v>32161613.142227501</v>
      </c>
      <c r="G380" s="350">
        <v>40091304.111514136</v>
      </c>
      <c r="H380" s="348">
        <v>121755611.0975938</v>
      </c>
      <c r="I380" s="369"/>
      <c r="J380" s="350">
        <v>9653238.895045558</v>
      </c>
      <c r="K380" s="350">
        <v>19202822.370674495</v>
      </c>
      <c r="L380" s="350">
        <v>28487294.931146048</v>
      </c>
      <c r="M380" s="350">
        <v>37499660.293701611</v>
      </c>
      <c r="N380" s="350">
        <v>46235032.299277678</v>
      </c>
      <c r="O380" s="348">
        <v>141078048.78984541</v>
      </c>
      <c r="P380" s="369"/>
      <c r="Q380" s="350">
        <f t="shared" si="165"/>
        <v>924062.1464637462</v>
      </c>
      <c r="R380" s="350">
        <f t="shared" si="166"/>
        <v>2721381.5783468783</v>
      </c>
      <c r="S380" s="350">
        <f t="shared" si="167"/>
        <v>4195218.6282033101</v>
      </c>
      <c r="T380" s="350">
        <f t="shared" si="168"/>
        <v>5338047.1514741108</v>
      </c>
      <c r="U380" s="350">
        <f t="shared" si="169"/>
        <v>6143728.1877635419</v>
      </c>
      <c r="V380" s="350">
        <f t="shared" si="170"/>
        <v>19322437.692251608</v>
      </c>
      <c r="W380" s="365"/>
      <c r="X380" s="377">
        <f t="shared" si="148"/>
        <v>0</v>
      </c>
      <c r="Y380" s="377">
        <f t="shared" si="149"/>
        <v>0</v>
      </c>
      <c r="Z380" s="377">
        <f t="shared" si="150"/>
        <v>0</v>
      </c>
      <c r="AA380" s="377">
        <f t="shared" si="151"/>
        <v>0</v>
      </c>
      <c r="AB380" s="377">
        <f t="shared" si="152"/>
        <v>0</v>
      </c>
      <c r="AC380" s="377">
        <f t="shared" si="153"/>
        <v>0</v>
      </c>
      <c r="AD380" s="376"/>
      <c r="AE380" s="332">
        <v>365</v>
      </c>
      <c r="AF380" s="350">
        <v>5895067.9782541618</v>
      </c>
      <c r="AG380" s="350">
        <v>11836430.942635311</v>
      </c>
      <c r="AH380" s="350">
        <v>17822758.459580868</v>
      </c>
      <c r="AI380" s="350">
        <v>23854249.018640019</v>
      </c>
      <c r="AJ380" s="350">
        <v>29931772.445570689</v>
      </c>
      <c r="AK380" s="348">
        <v>89340278.844681054</v>
      </c>
      <c r="AL380" s="369"/>
      <c r="AM380" s="350">
        <v>6864791.2459934913</v>
      </c>
      <c r="AN380" s="350">
        <v>14697607.720848136</v>
      </c>
      <c r="AO380" s="350">
        <v>22309447.392135851</v>
      </c>
      <c r="AP380" s="350">
        <v>29695614.955334116</v>
      </c>
      <c r="AQ380" s="350">
        <v>36853527.093978085</v>
      </c>
      <c r="AR380" s="348">
        <v>110420988.40828967</v>
      </c>
      <c r="AS380" s="369"/>
      <c r="AT380" s="350">
        <f t="shared" si="171"/>
        <v>969723.26773932949</v>
      </c>
      <c r="AU380" s="350">
        <f t="shared" si="154"/>
        <v>2861176.7782128248</v>
      </c>
      <c r="AV380" s="350">
        <f t="shared" si="155"/>
        <v>4486688.9325549826</v>
      </c>
      <c r="AW380" s="350">
        <f t="shared" si="156"/>
        <v>5841365.9366940968</v>
      </c>
      <c r="AX380" s="350">
        <f t="shared" si="157"/>
        <v>6921754.6484073959</v>
      </c>
      <c r="AY380" s="350">
        <f t="shared" si="158"/>
        <v>21080709.563608617</v>
      </c>
      <c r="AZ380" s="365"/>
      <c r="BA380" s="377">
        <f t="shared" si="159"/>
        <v>0</v>
      </c>
      <c r="BB380" s="377">
        <f t="shared" si="160"/>
        <v>0</v>
      </c>
      <c r="BC380" s="377">
        <f t="shared" si="161"/>
        <v>0</v>
      </c>
      <c r="BD380" s="377">
        <f t="shared" si="162"/>
        <v>0</v>
      </c>
      <c r="BE380" s="377">
        <f t="shared" si="163"/>
        <v>0</v>
      </c>
      <c r="BF380" s="377">
        <f t="shared" si="164"/>
        <v>0</v>
      </c>
      <c r="BG380" s="328"/>
    </row>
    <row r="381" spans="2:59">
      <c r="B381" s="332">
        <v>366</v>
      </c>
      <c r="C381" s="350">
        <v>9498345.8286482375</v>
      </c>
      <c r="D381" s="350">
        <v>17850640.391122121</v>
      </c>
      <c r="E381" s="350">
        <v>26265797.536637913</v>
      </c>
      <c r="F381" s="350">
        <v>34744412.560680196</v>
      </c>
      <c r="G381" s="350">
        <v>43287845.858231351</v>
      </c>
      <c r="H381" s="348">
        <v>131647042.17531982</v>
      </c>
      <c r="I381" s="369"/>
      <c r="J381" s="350">
        <v>11220268.391706966</v>
      </c>
      <c r="K381" s="350">
        <v>22936778.641945273</v>
      </c>
      <c r="L381" s="350">
        <v>34390366.562216312</v>
      </c>
      <c r="M381" s="350">
        <v>45573289.49181217</v>
      </c>
      <c r="N381" s="350">
        <v>56481004.203938894</v>
      </c>
      <c r="O381" s="348">
        <v>170601707.29161963</v>
      </c>
      <c r="P381" s="369"/>
      <c r="Q381" s="350">
        <f t="shared" si="165"/>
        <v>1721922.5630587284</v>
      </c>
      <c r="R381" s="350">
        <f t="shared" si="166"/>
        <v>5086138.2508231513</v>
      </c>
      <c r="S381" s="350">
        <f t="shared" si="167"/>
        <v>8124569.0255783983</v>
      </c>
      <c r="T381" s="350">
        <f t="shared" si="168"/>
        <v>10828876.931131974</v>
      </c>
      <c r="U381" s="350">
        <f t="shared" si="169"/>
        <v>13193158.345707543</v>
      </c>
      <c r="V381" s="350">
        <f t="shared" si="170"/>
        <v>38954665.116299808</v>
      </c>
      <c r="W381" s="365"/>
      <c r="X381" s="377">
        <f t="shared" si="148"/>
        <v>0</v>
      </c>
      <c r="Y381" s="377">
        <f t="shared" si="149"/>
        <v>0</v>
      </c>
      <c r="Z381" s="377">
        <f t="shared" si="150"/>
        <v>0</v>
      </c>
      <c r="AA381" s="377">
        <f t="shared" si="151"/>
        <v>0</v>
      </c>
      <c r="AB381" s="377">
        <f t="shared" si="152"/>
        <v>0</v>
      </c>
      <c r="AC381" s="377">
        <f t="shared" si="153"/>
        <v>0</v>
      </c>
      <c r="AD381" s="376"/>
      <c r="AE381" s="332">
        <v>366</v>
      </c>
      <c r="AF381" s="350">
        <v>5118973.192226762</v>
      </c>
      <c r="AG381" s="350">
        <v>10278146.564297546</v>
      </c>
      <c r="AH381" s="350">
        <v>15476364.836279027</v>
      </c>
      <c r="AI381" s="350">
        <v>20713800.366265282</v>
      </c>
      <c r="AJ381" s="350">
        <v>25991208.466112457</v>
      </c>
      <c r="AK381" s="348">
        <v>77578493.425181076</v>
      </c>
      <c r="AL381" s="369"/>
      <c r="AM381" s="350">
        <v>5804895.2062242422</v>
      </c>
      <c r="AN381" s="350">
        <v>12299592.400496297</v>
      </c>
      <c r="AO381" s="350">
        <v>18597728.414822206</v>
      </c>
      <c r="AP381" s="350">
        <v>24695270.249722216</v>
      </c>
      <c r="AQ381" s="350">
        <v>30589816.557474606</v>
      </c>
      <c r="AR381" s="348">
        <v>91987302.828739554</v>
      </c>
      <c r="AS381" s="369"/>
      <c r="AT381" s="350">
        <f t="shared" si="171"/>
        <v>685922.01399748027</v>
      </c>
      <c r="AU381" s="350">
        <f t="shared" si="154"/>
        <v>2021445.8361987509</v>
      </c>
      <c r="AV381" s="350">
        <f t="shared" si="155"/>
        <v>3121363.5785431787</v>
      </c>
      <c r="AW381" s="350">
        <f t="shared" si="156"/>
        <v>3981469.8834569342</v>
      </c>
      <c r="AX381" s="350">
        <f t="shared" si="157"/>
        <v>4598608.0913621485</v>
      </c>
      <c r="AY381" s="350">
        <f t="shared" si="158"/>
        <v>14408809.403558478</v>
      </c>
      <c r="AZ381" s="365"/>
      <c r="BA381" s="377">
        <f t="shared" si="159"/>
        <v>0</v>
      </c>
      <c r="BB381" s="377">
        <f t="shared" si="160"/>
        <v>0</v>
      </c>
      <c r="BC381" s="377">
        <f t="shared" si="161"/>
        <v>0</v>
      </c>
      <c r="BD381" s="377">
        <f t="shared" si="162"/>
        <v>0</v>
      </c>
      <c r="BE381" s="377">
        <f t="shared" si="163"/>
        <v>0</v>
      </c>
      <c r="BF381" s="377">
        <f t="shared" si="164"/>
        <v>0</v>
      </c>
      <c r="BG381" s="328"/>
    </row>
    <row r="382" spans="2:59">
      <c r="B382" s="332">
        <v>367</v>
      </c>
      <c r="C382" s="350">
        <v>9414081.1813912317</v>
      </c>
      <c r="D382" s="350">
        <v>17826821.038215753</v>
      </c>
      <c r="E382" s="350">
        <v>26302922.379546292</v>
      </c>
      <c r="F382" s="350">
        <v>34842944.855303489</v>
      </c>
      <c r="G382" s="350">
        <v>43448241.321828887</v>
      </c>
      <c r="H382" s="348">
        <v>131835010.77628566</v>
      </c>
      <c r="I382" s="369"/>
      <c r="J382" s="350">
        <v>10584532.690846689</v>
      </c>
      <c r="K382" s="350">
        <v>21277292.627656788</v>
      </c>
      <c r="L382" s="350">
        <v>31680614.585766401</v>
      </c>
      <c r="M382" s="350">
        <v>41787113.409972236</v>
      </c>
      <c r="N382" s="350">
        <v>51591930.245205984</v>
      </c>
      <c r="O382" s="348">
        <v>156921483.55944809</v>
      </c>
      <c r="P382" s="369"/>
      <c r="Q382" s="350">
        <f t="shared" si="165"/>
        <v>1170451.5094554573</v>
      </c>
      <c r="R382" s="350">
        <f t="shared" si="166"/>
        <v>3450471.5894410349</v>
      </c>
      <c r="S382" s="350">
        <f t="shared" si="167"/>
        <v>5377692.206220109</v>
      </c>
      <c r="T382" s="350">
        <f t="shared" si="168"/>
        <v>6944168.5546687469</v>
      </c>
      <c r="U382" s="350">
        <f t="shared" si="169"/>
        <v>8143688.9233770967</v>
      </c>
      <c r="V382" s="350">
        <f t="shared" si="170"/>
        <v>25086472.78316243</v>
      </c>
      <c r="W382" s="365"/>
      <c r="X382" s="377">
        <f t="shared" si="148"/>
        <v>0</v>
      </c>
      <c r="Y382" s="377">
        <f t="shared" si="149"/>
        <v>0</v>
      </c>
      <c r="Z382" s="377">
        <f t="shared" si="150"/>
        <v>0</v>
      </c>
      <c r="AA382" s="377">
        <f t="shared" si="151"/>
        <v>0</v>
      </c>
      <c r="AB382" s="377">
        <f t="shared" si="152"/>
        <v>0</v>
      </c>
      <c r="AC382" s="377">
        <f t="shared" si="153"/>
        <v>0</v>
      </c>
      <c r="AD382" s="376"/>
      <c r="AE382" s="332">
        <v>367</v>
      </c>
      <c r="AF382" s="350">
        <v>6600115.6312369481</v>
      </c>
      <c r="AG382" s="350">
        <v>13252063.10948766</v>
      </c>
      <c r="AH382" s="350">
        <v>19954352.881894555</v>
      </c>
      <c r="AI382" s="350">
        <v>26707207.177273478</v>
      </c>
      <c r="AJ382" s="350">
        <v>33511599.852177493</v>
      </c>
      <c r="AK382" s="348">
        <v>100025338.65207013</v>
      </c>
      <c r="AL382" s="369"/>
      <c r="AM382" s="350">
        <v>8112806.6660835911</v>
      </c>
      <c r="AN382" s="350">
        <v>17721760.220681347</v>
      </c>
      <c r="AO382" s="350">
        <v>27096096.702223063</v>
      </c>
      <c r="AP382" s="350">
        <v>36230438.481333718</v>
      </c>
      <c r="AQ382" s="350">
        <v>45122325.718016684</v>
      </c>
      <c r="AR382" s="348">
        <v>134283427.78833839</v>
      </c>
      <c r="AS382" s="369"/>
      <c r="AT382" s="350">
        <f t="shared" si="171"/>
        <v>1512691.034846643</v>
      </c>
      <c r="AU382" s="350">
        <f t="shared" si="154"/>
        <v>4469697.1111936867</v>
      </c>
      <c r="AV382" s="350">
        <f t="shared" si="155"/>
        <v>7141743.8203285076</v>
      </c>
      <c r="AW382" s="350">
        <f t="shared" si="156"/>
        <v>9523231.3040602393</v>
      </c>
      <c r="AX382" s="350">
        <f t="shared" si="157"/>
        <v>11610725.865839191</v>
      </c>
      <c r="AY382" s="350">
        <f t="shared" si="158"/>
        <v>34258089.136268258</v>
      </c>
      <c r="AZ382" s="365"/>
      <c r="BA382" s="377">
        <f t="shared" si="159"/>
        <v>0</v>
      </c>
      <c r="BB382" s="377">
        <f t="shared" si="160"/>
        <v>0</v>
      </c>
      <c r="BC382" s="377">
        <f t="shared" si="161"/>
        <v>0</v>
      </c>
      <c r="BD382" s="377">
        <f t="shared" si="162"/>
        <v>0</v>
      </c>
      <c r="BE382" s="377">
        <f t="shared" si="163"/>
        <v>0</v>
      </c>
      <c r="BF382" s="377">
        <f t="shared" si="164"/>
        <v>0</v>
      </c>
      <c r="BG382" s="328"/>
    </row>
    <row r="383" spans="2:59">
      <c r="B383" s="332">
        <v>368</v>
      </c>
      <c r="C383" s="350">
        <v>10146648.185269065</v>
      </c>
      <c r="D383" s="350">
        <v>19333922.663896311</v>
      </c>
      <c r="E383" s="350">
        <v>28590430.671943687</v>
      </c>
      <c r="F383" s="350">
        <v>37916748.35205397</v>
      </c>
      <c r="G383" s="350">
        <v>47314337.871246681</v>
      </c>
      <c r="H383" s="348">
        <v>143302087.74440971</v>
      </c>
      <c r="I383" s="369"/>
      <c r="J383" s="350">
        <v>11659385.917422635</v>
      </c>
      <c r="K383" s="350">
        <v>23797584.554295454</v>
      </c>
      <c r="L383" s="350">
        <v>35628098.134886064</v>
      </c>
      <c r="M383" s="350">
        <v>47142688.074346662</v>
      </c>
      <c r="N383" s="350">
        <v>58336195.929055452</v>
      </c>
      <c r="O383" s="348">
        <v>176563952.61000627</v>
      </c>
      <c r="P383" s="369"/>
      <c r="Q383" s="350">
        <f t="shared" si="165"/>
        <v>1512737.7321535703</v>
      </c>
      <c r="R383" s="350">
        <f t="shared" si="166"/>
        <v>4463661.8903991431</v>
      </c>
      <c r="S383" s="350">
        <f t="shared" si="167"/>
        <v>7037667.4629423767</v>
      </c>
      <c r="T383" s="350">
        <f t="shared" si="168"/>
        <v>9225939.7222926915</v>
      </c>
      <c r="U383" s="350">
        <f t="shared" si="169"/>
        <v>11021858.057808772</v>
      </c>
      <c r="V383" s="350">
        <f t="shared" si="170"/>
        <v>33261864.865596563</v>
      </c>
      <c r="W383" s="365"/>
      <c r="X383" s="377">
        <f t="shared" si="148"/>
        <v>0</v>
      </c>
      <c r="Y383" s="377">
        <f t="shared" si="149"/>
        <v>0</v>
      </c>
      <c r="Z383" s="377">
        <f t="shared" si="150"/>
        <v>0</v>
      </c>
      <c r="AA383" s="377">
        <f t="shared" si="151"/>
        <v>0</v>
      </c>
      <c r="AB383" s="377">
        <f t="shared" si="152"/>
        <v>0</v>
      </c>
      <c r="AC383" s="377">
        <f t="shared" si="153"/>
        <v>0</v>
      </c>
      <c r="AD383" s="376"/>
      <c r="AE383" s="332">
        <v>368</v>
      </c>
      <c r="AF383" s="350">
        <v>5300443.0104589527</v>
      </c>
      <c r="AG383" s="350">
        <v>10642511.314560194</v>
      </c>
      <c r="AH383" s="350">
        <v>16025008.677196061</v>
      </c>
      <c r="AI383" s="350">
        <v>21448113.566629767</v>
      </c>
      <c r="AJ383" s="350">
        <v>26912608.070850112</v>
      </c>
      <c r="AK383" s="348">
        <v>80328684.639695078</v>
      </c>
      <c r="AL383" s="369"/>
      <c r="AM383" s="350">
        <v>6209537.1082023997</v>
      </c>
      <c r="AN383" s="350">
        <v>13325366.341035519</v>
      </c>
      <c r="AO383" s="350">
        <v>20243622.010360762</v>
      </c>
      <c r="AP383" s="350">
        <v>26960071.901307933</v>
      </c>
      <c r="AQ383" s="350">
        <v>33472430.931696564</v>
      </c>
      <c r="AR383" s="348">
        <v>100211028.29260318</v>
      </c>
      <c r="AS383" s="369"/>
      <c r="AT383" s="350">
        <f t="shared" si="171"/>
        <v>909094.09774344694</v>
      </c>
      <c r="AU383" s="350">
        <f t="shared" si="154"/>
        <v>2682855.0264753252</v>
      </c>
      <c r="AV383" s="350">
        <f t="shared" si="155"/>
        <v>4218613.3331647012</v>
      </c>
      <c r="AW383" s="350">
        <f t="shared" si="156"/>
        <v>5511958.3346781656</v>
      </c>
      <c r="AX383" s="350">
        <f t="shared" si="157"/>
        <v>6559822.8608464524</v>
      </c>
      <c r="AY383" s="350">
        <f t="shared" si="158"/>
        <v>19882343.652908102</v>
      </c>
      <c r="AZ383" s="365"/>
      <c r="BA383" s="377">
        <f t="shared" si="159"/>
        <v>0</v>
      </c>
      <c r="BB383" s="377">
        <f t="shared" si="160"/>
        <v>0</v>
      </c>
      <c r="BC383" s="377">
        <f t="shared" si="161"/>
        <v>0</v>
      </c>
      <c r="BD383" s="377">
        <f t="shared" si="162"/>
        <v>0</v>
      </c>
      <c r="BE383" s="377">
        <f t="shared" si="163"/>
        <v>0</v>
      </c>
      <c r="BF383" s="377">
        <f t="shared" si="164"/>
        <v>0</v>
      </c>
      <c r="BG383" s="328"/>
    </row>
    <row r="384" spans="2:59">
      <c r="B384" s="332">
        <v>369</v>
      </c>
      <c r="C384" s="350">
        <v>9088845.5261555351</v>
      </c>
      <c r="D384" s="350">
        <v>17246048.830086537</v>
      </c>
      <c r="E384" s="350">
        <v>25464700.305006474</v>
      </c>
      <c r="F384" s="350">
        <v>33745332.343473271</v>
      </c>
      <c r="G384" s="350">
        <v>42089252.245638199</v>
      </c>
      <c r="H384" s="348">
        <v>127634179.25036001</v>
      </c>
      <c r="I384" s="369"/>
      <c r="J384" s="350">
        <v>10349562.722200749</v>
      </c>
      <c r="K384" s="350">
        <v>20964876.385670129</v>
      </c>
      <c r="L384" s="350">
        <v>31306545.303290144</v>
      </c>
      <c r="M384" s="350">
        <v>41367256.158910573</v>
      </c>
      <c r="N384" s="350">
        <v>51142309.379948929</v>
      </c>
      <c r="O384" s="348">
        <v>155130549.95002052</v>
      </c>
      <c r="P384" s="369"/>
      <c r="Q384" s="350">
        <f t="shared" si="165"/>
        <v>1260717.1960452143</v>
      </c>
      <c r="R384" s="350">
        <f t="shared" si="166"/>
        <v>3718827.5555835925</v>
      </c>
      <c r="S384" s="350">
        <f t="shared" si="167"/>
        <v>5841844.9982836694</v>
      </c>
      <c r="T384" s="350">
        <f t="shared" si="168"/>
        <v>7621923.815437302</v>
      </c>
      <c r="U384" s="350">
        <f t="shared" si="169"/>
        <v>9053057.1343107298</v>
      </c>
      <c r="V384" s="350">
        <f t="shared" si="170"/>
        <v>27496370.69966051</v>
      </c>
      <c r="W384" s="365"/>
      <c r="X384" s="377">
        <f t="shared" si="148"/>
        <v>0</v>
      </c>
      <c r="Y384" s="377">
        <f t="shared" si="149"/>
        <v>0</v>
      </c>
      <c r="Z384" s="377">
        <f t="shared" si="150"/>
        <v>0</v>
      </c>
      <c r="AA384" s="377">
        <f t="shared" si="151"/>
        <v>0</v>
      </c>
      <c r="AB384" s="377">
        <f t="shared" si="152"/>
        <v>0</v>
      </c>
      <c r="AC384" s="377">
        <f t="shared" si="153"/>
        <v>0</v>
      </c>
      <c r="AD384" s="376"/>
      <c r="AE384" s="332">
        <v>369</v>
      </c>
      <c r="AF384" s="350">
        <v>5674383.1338678338</v>
      </c>
      <c r="AG384" s="350">
        <v>11393328.177696783</v>
      </c>
      <c r="AH384" s="350">
        <v>17155554.503376018</v>
      </c>
      <c r="AI384" s="350">
        <v>22961253.169898286</v>
      </c>
      <c r="AJ384" s="350">
        <v>28811261.440655358</v>
      </c>
      <c r="AK384" s="348">
        <v>85995780.425494283</v>
      </c>
      <c r="AL384" s="369"/>
      <c r="AM384" s="350">
        <v>7234188.7645171154</v>
      </c>
      <c r="AN384" s="350">
        <v>16005067.675854197</v>
      </c>
      <c r="AO384" s="350">
        <v>24582002.573386934</v>
      </c>
      <c r="AP384" s="350">
        <v>32960296.758931506</v>
      </c>
      <c r="AQ384" s="350">
        <v>41138098.004373699</v>
      </c>
      <c r="AR384" s="348">
        <v>121919653.77706344</v>
      </c>
      <c r="AS384" s="369"/>
      <c r="AT384" s="350">
        <f t="shared" si="171"/>
        <v>1559805.6306492817</v>
      </c>
      <c r="AU384" s="350">
        <f t="shared" si="154"/>
        <v>4611739.4981574137</v>
      </c>
      <c r="AV384" s="350">
        <f t="shared" si="155"/>
        <v>7426448.0700109154</v>
      </c>
      <c r="AW384" s="350">
        <f t="shared" si="156"/>
        <v>9999043.58903322</v>
      </c>
      <c r="AX384" s="350">
        <f t="shared" si="157"/>
        <v>12326836.563718341</v>
      </c>
      <c r="AY384" s="350">
        <f t="shared" si="158"/>
        <v>35923873.351569161</v>
      </c>
      <c r="AZ384" s="365"/>
      <c r="BA384" s="377">
        <f t="shared" si="159"/>
        <v>0</v>
      </c>
      <c r="BB384" s="377">
        <f t="shared" si="160"/>
        <v>0</v>
      </c>
      <c r="BC384" s="377">
        <f t="shared" si="161"/>
        <v>0</v>
      </c>
      <c r="BD384" s="377">
        <f t="shared" si="162"/>
        <v>0</v>
      </c>
      <c r="BE384" s="377">
        <f t="shared" si="163"/>
        <v>0</v>
      </c>
      <c r="BF384" s="377">
        <f t="shared" si="164"/>
        <v>0</v>
      </c>
      <c r="BG384" s="328"/>
    </row>
    <row r="385" spans="2:59">
      <c r="B385" s="332">
        <v>370</v>
      </c>
      <c r="C385" s="350">
        <v>8133886.0689285202</v>
      </c>
      <c r="D385" s="350">
        <v>15323330.894464729</v>
      </c>
      <c r="E385" s="350">
        <v>22566898.332079262</v>
      </c>
      <c r="F385" s="350">
        <v>29865089.816458039</v>
      </c>
      <c r="G385" s="350">
        <v>37219071.563672543</v>
      </c>
      <c r="H385" s="348">
        <v>113108276.67560309</v>
      </c>
      <c r="I385" s="369"/>
      <c r="J385" s="350">
        <v>9033470.8132577222</v>
      </c>
      <c r="K385" s="350">
        <v>17973508.483403679</v>
      </c>
      <c r="L385" s="350">
        <v>26666244.154776357</v>
      </c>
      <c r="M385" s="350">
        <v>35105296.264925987</v>
      </c>
      <c r="N385" s="350">
        <v>43286293.919412553</v>
      </c>
      <c r="O385" s="348">
        <v>132064813.6357763</v>
      </c>
      <c r="P385" s="369"/>
      <c r="Q385" s="350">
        <f t="shared" si="165"/>
        <v>899584.74432920199</v>
      </c>
      <c r="R385" s="350">
        <f t="shared" si="166"/>
        <v>2650177.5889389496</v>
      </c>
      <c r="S385" s="350">
        <f t="shared" si="167"/>
        <v>4099345.8226970956</v>
      </c>
      <c r="T385" s="350">
        <f t="shared" si="168"/>
        <v>5240206.4484679475</v>
      </c>
      <c r="U385" s="350">
        <f t="shared" si="169"/>
        <v>6067222.3557400107</v>
      </c>
      <c r="V385" s="350">
        <f t="shared" si="170"/>
        <v>18956536.960173205</v>
      </c>
      <c r="W385" s="365"/>
      <c r="X385" s="377">
        <f t="shared" si="148"/>
        <v>0</v>
      </c>
      <c r="Y385" s="377">
        <f t="shared" si="149"/>
        <v>0</v>
      </c>
      <c r="Z385" s="377">
        <f t="shared" si="150"/>
        <v>0</v>
      </c>
      <c r="AA385" s="377">
        <f t="shared" si="151"/>
        <v>0</v>
      </c>
      <c r="AB385" s="377">
        <f t="shared" si="152"/>
        <v>0</v>
      </c>
      <c r="AC385" s="377">
        <f t="shared" si="153"/>
        <v>0</v>
      </c>
      <c r="AD385" s="376"/>
      <c r="AE385" s="332">
        <v>370</v>
      </c>
      <c r="AF385" s="350">
        <v>3986695.9612124199</v>
      </c>
      <c r="AG385" s="350">
        <v>8004700.1337801041</v>
      </c>
      <c r="AH385" s="350">
        <v>12053112.776744995</v>
      </c>
      <c r="AI385" s="350">
        <v>16132068.123925427</v>
      </c>
      <c r="AJ385" s="350">
        <v>20242154.41804377</v>
      </c>
      <c r="AK385" s="348">
        <v>60418731.413706712</v>
      </c>
      <c r="AL385" s="369"/>
      <c r="AM385" s="350">
        <v>4655395.1531959884</v>
      </c>
      <c r="AN385" s="350">
        <v>9977898.8305286206</v>
      </c>
      <c r="AO385" s="350">
        <v>15151347.390843518</v>
      </c>
      <c r="AP385" s="350">
        <v>20172561.861944664</v>
      </c>
      <c r="AQ385" s="350">
        <v>25039808.270388249</v>
      </c>
      <c r="AR385" s="348">
        <v>74997011.506901041</v>
      </c>
      <c r="AS385" s="369"/>
      <c r="AT385" s="350">
        <f t="shared" si="171"/>
        <v>668699.19198356848</v>
      </c>
      <c r="AU385" s="350">
        <f t="shared" si="154"/>
        <v>1973198.6967485165</v>
      </c>
      <c r="AV385" s="350">
        <f t="shared" si="155"/>
        <v>3098234.6140985228</v>
      </c>
      <c r="AW385" s="350">
        <f t="shared" si="156"/>
        <v>4040493.7380192373</v>
      </c>
      <c r="AX385" s="350">
        <f t="shared" si="157"/>
        <v>4797653.8523444794</v>
      </c>
      <c r="AY385" s="350">
        <f t="shared" si="158"/>
        <v>14578280.093194328</v>
      </c>
      <c r="AZ385" s="365"/>
      <c r="BA385" s="377">
        <f t="shared" si="159"/>
        <v>0</v>
      </c>
      <c r="BB385" s="377">
        <f t="shared" si="160"/>
        <v>0</v>
      </c>
      <c r="BC385" s="377">
        <f t="shared" si="161"/>
        <v>0</v>
      </c>
      <c r="BD385" s="377">
        <f t="shared" si="162"/>
        <v>0</v>
      </c>
      <c r="BE385" s="377">
        <f t="shared" si="163"/>
        <v>0</v>
      </c>
      <c r="BF385" s="377">
        <f t="shared" si="164"/>
        <v>0</v>
      </c>
      <c r="BG385" s="328"/>
    </row>
    <row r="386" spans="2:59">
      <c r="B386" s="332">
        <v>371</v>
      </c>
      <c r="C386" s="350">
        <v>8594148.2368484642</v>
      </c>
      <c r="D386" s="350">
        <v>16058341.581007123</v>
      </c>
      <c r="E386" s="350">
        <v>23578682.924668811</v>
      </c>
      <c r="F386" s="350">
        <v>31155731.883306019</v>
      </c>
      <c r="G386" s="350">
        <v>38790716.217305876</v>
      </c>
      <c r="H386" s="348">
        <v>118177620.84313628</v>
      </c>
      <c r="I386" s="369"/>
      <c r="J386" s="350">
        <v>9779266.7865309659</v>
      </c>
      <c r="K386" s="350">
        <v>19554687.507182259</v>
      </c>
      <c r="L386" s="350">
        <v>29091329.577823505</v>
      </c>
      <c r="M386" s="350">
        <v>38382150.663545743</v>
      </c>
      <c r="N386" s="350">
        <v>47422483.591706559</v>
      </c>
      <c r="O386" s="348">
        <v>144229918.12678903</v>
      </c>
      <c r="P386" s="369"/>
      <c r="Q386" s="350">
        <f t="shared" si="165"/>
        <v>1185118.5496825017</v>
      </c>
      <c r="R386" s="350">
        <f t="shared" si="166"/>
        <v>3496345.9261751361</v>
      </c>
      <c r="S386" s="350">
        <f t="shared" si="167"/>
        <v>5512646.6531546935</v>
      </c>
      <c r="T386" s="350">
        <f t="shared" si="168"/>
        <v>7226418.7802397236</v>
      </c>
      <c r="U386" s="350">
        <f t="shared" si="169"/>
        <v>8631767.3744006827</v>
      </c>
      <c r="V386" s="350">
        <f t="shared" si="170"/>
        <v>26052297.283652753</v>
      </c>
      <c r="W386" s="365"/>
      <c r="X386" s="377">
        <f t="shared" si="148"/>
        <v>0</v>
      </c>
      <c r="Y386" s="377">
        <f t="shared" si="149"/>
        <v>0</v>
      </c>
      <c r="Z386" s="377">
        <f t="shared" si="150"/>
        <v>0</v>
      </c>
      <c r="AA386" s="377">
        <f t="shared" si="151"/>
        <v>0</v>
      </c>
      <c r="AB386" s="377">
        <f t="shared" si="152"/>
        <v>0</v>
      </c>
      <c r="AC386" s="377">
        <f t="shared" si="153"/>
        <v>0</v>
      </c>
      <c r="AD386" s="376"/>
      <c r="AE386" s="332">
        <v>371</v>
      </c>
      <c r="AF386" s="350">
        <v>6085285.5813191282</v>
      </c>
      <c r="AG386" s="350">
        <v>12218359.960427377</v>
      </c>
      <c r="AH386" s="350">
        <v>18397849.774336383</v>
      </c>
      <c r="AI386" s="350">
        <v>24623959.917306248</v>
      </c>
      <c r="AJ386" s="350">
        <v>30897588.281975783</v>
      </c>
      <c r="AK386" s="348">
        <v>92223043.515364915</v>
      </c>
      <c r="AL386" s="369"/>
      <c r="AM386" s="350">
        <v>7402918.7936358489</v>
      </c>
      <c r="AN386" s="350">
        <v>16110859.924800878</v>
      </c>
      <c r="AO386" s="350">
        <v>24600176.797991961</v>
      </c>
      <c r="AP386" s="350">
        <v>32865933.05236439</v>
      </c>
      <c r="AQ386" s="350">
        <v>40905782.676423416</v>
      </c>
      <c r="AR386" s="348">
        <v>121885671.24521649</v>
      </c>
      <c r="AS386" s="369"/>
      <c r="AT386" s="350">
        <f t="shared" si="171"/>
        <v>1317633.2123167207</v>
      </c>
      <c r="AU386" s="350">
        <f t="shared" si="154"/>
        <v>3892499.964373501</v>
      </c>
      <c r="AV386" s="350">
        <f t="shared" si="155"/>
        <v>6202327.0236555785</v>
      </c>
      <c r="AW386" s="350">
        <f t="shared" si="156"/>
        <v>8241973.1350581422</v>
      </c>
      <c r="AX386" s="350">
        <f t="shared" si="157"/>
        <v>10008194.394447632</v>
      </c>
      <c r="AY386" s="350">
        <f t="shared" si="158"/>
        <v>29662627.729851574</v>
      </c>
      <c r="AZ386" s="365"/>
      <c r="BA386" s="377">
        <f t="shared" si="159"/>
        <v>0</v>
      </c>
      <c r="BB386" s="377">
        <f t="shared" si="160"/>
        <v>0</v>
      </c>
      <c r="BC386" s="377">
        <f t="shared" si="161"/>
        <v>0</v>
      </c>
      <c r="BD386" s="377">
        <f t="shared" si="162"/>
        <v>0</v>
      </c>
      <c r="BE386" s="377">
        <f t="shared" si="163"/>
        <v>0</v>
      </c>
      <c r="BF386" s="377">
        <f t="shared" si="164"/>
        <v>0</v>
      </c>
      <c r="BG386" s="328"/>
    </row>
    <row r="387" spans="2:59">
      <c r="B387" s="332">
        <v>372</v>
      </c>
      <c r="C387" s="350">
        <v>8064691.7733574128</v>
      </c>
      <c r="D387" s="350">
        <v>15182764.464814393</v>
      </c>
      <c r="E387" s="350">
        <v>22354419.154211998</v>
      </c>
      <c r="F387" s="350">
        <v>29580155.315304436</v>
      </c>
      <c r="G387" s="350">
        <v>36861128.899412937</v>
      </c>
      <c r="H387" s="348">
        <v>112043159.60710117</v>
      </c>
      <c r="I387" s="369"/>
      <c r="J387" s="350">
        <v>9111032.2828393001</v>
      </c>
      <c r="K387" s="350">
        <v>18268346.156254586</v>
      </c>
      <c r="L387" s="350">
        <v>27188688.244321916</v>
      </c>
      <c r="M387" s="350">
        <v>35865565.486169644</v>
      </c>
      <c r="N387" s="350">
        <v>44294670.452318847</v>
      </c>
      <c r="O387" s="348">
        <v>134728302.62190428</v>
      </c>
      <c r="P387" s="369"/>
      <c r="Q387" s="350">
        <f t="shared" si="165"/>
        <v>1046340.5094818873</v>
      </c>
      <c r="R387" s="350">
        <f t="shared" si="166"/>
        <v>3085581.691440193</v>
      </c>
      <c r="S387" s="350">
        <f t="shared" si="167"/>
        <v>4834269.0901099183</v>
      </c>
      <c r="T387" s="350">
        <f t="shared" si="168"/>
        <v>6285410.1708652079</v>
      </c>
      <c r="U387" s="350">
        <f t="shared" si="169"/>
        <v>7433541.5529059097</v>
      </c>
      <c r="V387" s="350">
        <f t="shared" si="170"/>
        <v>22685143.014803112</v>
      </c>
      <c r="W387" s="365"/>
      <c r="X387" s="377">
        <f t="shared" si="148"/>
        <v>0</v>
      </c>
      <c r="Y387" s="377">
        <f t="shared" si="149"/>
        <v>0</v>
      </c>
      <c r="Z387" s="377">
        <f t="shared" si="150"/>
        <v>0</v>
      </c>
      <c r="AA387" s="377">
        <f t="shared" si="151"/>
        <v>0</v>
      </c>
      <c r="AB387" s="377">
        <f t="shared" si="152"/>
        <v>0</v>
      </c>
      <c r="AC387" s="377">
        <f t="shared" si="153"/>
        <v>0</v>
      </c>
      <c r="AD387" s="376"/>
      <c r="AE387" s="332">
        <v>372</v>
      </c>
      <c r="AF387" s="350">
        <v>6866835.1932748044</v>
      </c>
      <c r="AG387" s="350">
        <v>13787596.82831103</v>
      </c>
      <c r="AH387" s="350">
        <v>20760735.157413915</v>
      </c>
      <c r="AI387" s="350">
        <v>27786481.389965061</v>
      </c>
      <c r="AJ387" s="350">
        <v>34865848.737372488</v>
      </c>
      <c r="AK387" s="348">
        <v>104067497.3063373</v>
      </c>
      <c r="AL387" s="369"/>
      <c r="AM387" s="350">
        <v>8535304.3203703817</v>
      </c>
      <c r="AN387" s="350">
        <v>18718619.217215136</v>
      </c>
      <c r="AO387" s="350">
        <v>28660670.592832763</v>
      </c>
      <c r="AP387" s="350">
        <v>38355836.730577625</v>
      </c>
      <c r="AQ387" s="350">
        <v>47801654.24145402</v>
      </c>
      <c r="AR387" s="348">
        <v>142072085.10244995</v>
      </c>
      <c r="AS387" s="369"/>
      <c r="AT387" s="350">
        <f t="shared" si="171"/>
        <v>1668469.1270955773</v>
      </c>
      <c r="AU387" s="350">
        <f t="shared" si="154"/>
        <v>4931022.3889041059</v>
      </c>
      <c r="AV387" s="350">
        <f t="shared" si="155"/>
        <v>7899935.4354188479</v>
      </c>
      <c r="AW387" s="350">
        <f t="shared" si="156"/>
        <v>10569355.340612564</v>
      </c>
      <c r="AX387" s="350">
        <f t="shared" si="157"/>
        <v>12935805.504081532</v>
      </c>
      <c r="AY387" s="350">
        <f t="shared" si="158"/>
        <v>38004587.796112657</v>
      </c>
      <c r="AZ387" s="365"/>
      <c r="BA387" s="377">
        <f t="shared" si="159"/>
        <v>0</v>
      </c>
      <c r="BB387" s="377">
        <f t="shared" si="160"/>
        <v>0</v>
      </c>
      <c r="BC387" s="377">
        <f t="shared" si="161"/>
        <v>0</v>
      </c>
      <c r="BD387" s="377">
        <f t="shared" si="162"/>
        <v>0</v>
      </c>
      <c r="BE387" s="377">
        <f t="shared" si="163"/>
        <v>0</v>
      </c>
      <c r="BF387" s="377">
        <f t="shared" si="164"/>
        <v>0</v>
      </c>
      <c r="BG387" s="328"/>
    </row>
    <row r="388" spans="2:59">
      <c r="B388" s="332">
        <v>373</v>
      </c>
      <c r="C388" s="350">
        <v>7640244.3867981965</v>
      </c>
      <c r="D388" s="350">
        <v>14373892.760299765</v>
      </c>
      <c r="E388" s="350">
        <v>21158226.149667852</v>
      </c>
      <c r="F388" s="350">
        <v>27993719.952414665</v>
      </c>
      <c r="G388" s="350">
        <v>34881468.951865889</v>
      </c>
      <c r="H388" s="348">
        <v>106047552.20104638</v>
      </c>
      <c r="I388" s="369"/>
      <c r="J388" s="350">
        <v>8825958.4901165403</v>
      </c>
      <c r="K388" s="350">
        <v>17873777.384068191</v>
      </c>
      <c r="L388" s="350">
        <v>26701596.054241441</v>
      </c>
      <c r="M388" s="350">
        <v>35303299.224454395</v>
      </c>
      <c r="N388" s="350">
        <v>43675094.186307266</v>
      </c>
      <c r="O388" s="348">
        <v>132379725.33918785</v>
      </c>
      <c r="P388" s="369"/>
      <c r="Q388" s="350">
        <f t="shared" si="165"/>
        <v>1185714.1033183439</v>
      </c>
      <c r="R388" s="350">
        <f t="shared" si="166"/>
        <v>3499884.6237684265</v>
      </c>
      <c r="S388" s="350">
        <f t="shared" si="167"/>
        <v>5543369.9045735896</v>
      </c>
      <c r="T388" s="350">
        <f t="shared" si="168"/>
        <v>7309579.2720397301</v>
      </c>
      <c r="U388" s="350">
        <f t="shared" si="169"/>
        <v>8793625.2344413772</v>
      </c>
      <c r="V388" s="350">
        <f t="shared" si="170"/>
        <v>26332173.138141468</v>
      </c>
      <c r="W388" s="365"/>
      <c r="X388" s="377">
        <f t="shared" si="148"/>
        <v>0</v>
      </c>
      <c r="Y388" s="377">
        <f t="shared" si="149"/>
        <v>0</v>
      </c>
      <c r="Z388" s="377">
        <f t="shared" si="150"/>
        <v>0</v>
      </c>
      <c r="AA388" s="377">
        <f t="shared" si="151"/>
        <v>0</v>
      </c>
      <c r="AB388" s="377">
        <f t="shared" si="152"/>
        <v>0</v>
      </c>
      <c r="AC388" s="377">
        <f t="shared" si="153"/>
        <v>0</v>
      </c>
      <c r="AD388" s="376"/>
      <c r="AE388" s="332">
        <v>373</v>
      </c>
      <c r="AF388" s="350">
        <v>4907429.6528696967</v>
      </c>
      <c r="AG388" s="350">
        <v>9853398.1976634264</v>
      </c>
      <c r="AH388" s="350">
        <v>14836798.096836206</v>
      </c>
      <c r="AI388" s="350">
        <v>19857794.585717466</v>
      </c>
      <c r="AJ388" s="350">
        <v>24917111.762609899</v>
      </c>
      <c r="AK388" s="348">
        <v>74372532.295696691</v>
      </c>
      <c r="AL388" s="369"/>
      <c r="AM388" s="350">
        <v>5979923.0876526209</v>
      </c>
      <c r="AN388" s="350">
        <v>13021830.20818137</v>
      </c>
      <c r="AO388" s="350">
        <v>19887726.022613935</v>
      </c>
      <c r="AP388" s="350">
        <v>26573626.842692852</v>
      </c>
      <c r="AQ388" s="350">
        <v>33077650.771384407</v>
      </c>
      <c r="AR388" s="348">
        <v>98540756.932525188</v>
      </c>
      <c r="AS388" s="369"/>
      <c r="AT388" s="350">
        <f t="shared" si="171"/>
        <v>1072493.4347829241</v>
      </c>
      <c r="AU388" s="350">
        <f t="shared" si="154"/>
        <v>3168432.0105179437</v>
      </c>
      <c r="AV388" s="350">
        <f t="shared" si="155"/>
        <v>5050927.9257777296</v>
      </c>
      <c r="AW388" s="350">
        <f t="shared" si="156"/>
        <v>6715832.2569753863</v>
      </c>
      <c r="AX388" s="350">
        <f t="shared" si="157"/>
        <v>8160539.0087745078</v>
      </c>
      <c r="AY388" s="350">
        <f t="shared" si="158"/>
        <v>24168224.636828497</v>
      </c>
      <c r="AZ388" s="365"/>
      <c r="BA388" s="377">
        <f t="shared" si="159"/>
        <v>0</v>
      </c>
      <c r="BB388" s="377">
        <f t="shared" si="160"/>
        <v>0</v>
      </c>
      <c r="BC388" s="377">
        <f t="shared" si="161"/>
        <v>0</v>
      </c>
      <c r="BD388" s="377">
        <f t="shared" si="162"/>
        <v>0</v>
      </c>
      <c r="BE388" s="377">
        <f t="shared" si="163"/>
        <v>0</v>
      </c>
      <c r="BF388" s="377">
        <f t="shared" si="164"/>
        <v>0</v>
      </c>
      <c r="BG388" s="328"/>
    </row>
    <row r="389" spans="2:59">
      <c r="B389" s="332">
        <v>374</v>
      </c>
      <c r="C389" s="350">
        <v>9678828.7507859375</v>
      </c>
      <c r="D389" s="350">
        <v>17967955.766889073</v>
      </c>
      <c r="E389" s="350">
        <v>26319397.437145591</v>
      </c>
      <c r="F389" s="350">
        <v>34733810.442327589</v>
      </c>
      <c r="G389" s="350">
        <v>43212573.556389719</v>
      </c>
      <c r="H389" s="348">
        <v>131912565.95353791</v>
      </c>
      <c r="I389" s="369"/>
      <c r="J389" s="350">
        <v>10878486.103711238</v>
      </c>
      <c r="K389" s="350">
        <v>21505388.715545762</v>
      </c>
      <c r="L389" s="350">
        <v>31862211.634531684</v>
      </c>
      <c r="M389" s="350">
        <v>41941257.388394013</v>
      </c>
      <c r="N389" s="350">
        <v>51737297.557181582</v>
      </c>
      <c r="O389" s="348">
        <v>157924641.39936429</v>
      </c>
      <c r="P389" s="369"/>
      <c r="Q389" s="350">
        <f t="shared" si="165"/>
        <v>1199657.3529253006</v>
      </c>
      <c r="R389" s="350">
        <f t="shared" si="166"/>
        <v>3537432.9486566894</v>
      </c>
      <c r="S389" s="350">
        <f t="shared" si="167"/>
        <v>5542814.1973860934</v>
      </c>
      <c r="T389" s="350">
        <f t="shared" si="168"/>
        <v>7207446.9460664243</v>
      </c>
      <c r="U389" s="350">
        <f t="shared" si="169"/>
        <v>8524724.0007918626</v>
      </c>
      <c r="V389" s="350">
        <f t="shared" si="170"/>
        <v>26012075.445826381</v>
      </c>
      <c r="W389" s="365"/>
      <c r="X389" s="377">
        <f t="shared" si="148"/>
        <v>0</v>
      </c>
      <c r="Y389" s="377">
        <f t="shared" si="149"/>
        <v>0</v>
      </c>
      <c r="Z389" s="377">
        <f t="shared" si="150"/>
        <v>0</v>
      </c>
      <c r="AA389" s="377">
        <f t="shared" si="151"/>
        <v>0</v>
      </c>
      <c r="AB389" s="377">
        <f t="shared" si="152"/>
        <v>0</v>
      </c>
      <c r="AC389" s="377">
        <f t="shared" si="153"/>
        <v>0</v>
      </c>
      <c r="AD389" s="376"/>
      <c r="AE389" s="332">
        <v>374</v>
      </c>
      <c r="AF389" s="350">
        <v>6110405.2004095335</v>
      </c>
      <c r="AG389" s="350">
        <v>12268796.467311721</v>
      </c>
      <c r="AH389" s="350">
        <v>18473794.768575035</v>
      </c>
      <c r="AI389" s="350">
        <v>24725605.844248276</v>
      </c>
      <c r="AJ389" s="350">
        <v>31025131.293406177</v>
      </c>
      <c r="AK389" s="348">
        <v>92603733.573950738</v>
      </c>
      <c r="AL389" s="369"/>
      <c r="AM389" s="350">
        <v>7007632.7025784906</v>
      </c>
      <c r="AN389" s="350">
        <v>14914433.750521772</v>
      </c>
      <c r="AO389" s="350">
        <v>22588953.889141802</v>
      </c>
      <c r="AP389" s="350">
        <v>30026356.825360026</v>
      </c>
      <c r="AQ389" s="350">
        <v>37223855.582560644</v>
      </c>
      <c r="AR389" s="348">
        <v>111761232.75016274</v>
      </c>
      <c r="AS389" s="369"/>
      <c r="AT389" s="350">
        <f t="shared" si="171"/>
        <v>897227.50216895714</v>
      </c>
      <c r="AU389" s="350">
        <f t="shared" si="154"/>
        <v>2645637.2832100503</v>
      </c>
      <c r="AV389" s="350">
        <f t="shared" si="155"/>
        <v>4115159.1205667667</v>
      </c>
      <c r="AW389" s="350">
        <f t="shared" si="156"/>
        <v>5300750.98111175</v>
      </c>
      <c r="AX389" s="350">
        <f t="shared" si="157"/>
        <v>6198724.2891544662</v>
      </c>
      <c r="AY389" s="350">
        <f t="shared" si="158"/>
        <v>19157499.176211998</v>
      </c>
      <c r="AZ389" s="365"/>
      <c r="BA389" s="377">
        <f t="shared" si="159"/>
        <v>0</v>
      </c>
      <c r="BB389" s="377">
        <f t="shared" si="160"/>
        <v>0</v>
      </c>
      <c r="BC389" s="377">
        <f t="shared" si="161"/>
        <v>0</v>
      </c>
      <c r="BD389" s="377">
        <f t="shared" si="162"/>
        <v>0</v>
      </c>
      <c r="BE389" s="377">
        <f t="shared" si="163"/>
        <v>0</v>
      </c>
      <c r="BF389" s="377">
        <f t="shared" si="164"/>
        <v>0</v>
      </c>
      <c r="BG389" s="328"/>
    </row>
    <row r="390" spans="2:59">
      <c r="B390" s="332">
        <v>375</v>
      </c>
      <c r="C390" s="350">
        <v>7037977.7961681131</v>
      </c>
      <c r="D390" s="350">
        <v>12886957.530941848</v>
      </c>
      <c r="E390" s="350">
        <v>18779847.892336376</v>
      </c>
      <c r="F390" s="350">
        <v>24717166.66600661</v>
      </c>
      <c r="G390" s="350">
        <v>30699910.420625851</v>
      </c>
      <c r="H390" s="348">
        <v>94121860.306078792</v>
      </c>
      <c r="I390" s="369"/>
      <c r="J390" s="350">
        <v>8310030.1925628884</v>
      </c>
      <c r="K390" s="350">
        <v>16645092.673675124</v>
      </c>
      <c r="L390" s="350">
        <v>24801795.384033829</v>
      </c>
      <c r="M390" s="350">
        <v>32774655.912774887</v>
      </c>
      <c r="N390" s="350">
        <v>40560455.331470422</v>
      </c>
      <c r="O390" s="348">
        <v>123092029.49451715</v>
      </c>
      <c r="P390" s="369"/>
      <c r="Q390" s="350">
        <f t="shared" si="165"/>
        <v>1272052.3963947752</v>
      </c>
      <c r="R390" s="350">
        <f t="shared" si="166"/>
        <v>3758135.1427332759</v>
      </c>
      <c r="S390" s="350">
        <f t="shared" si="167"/>
        <v>6021947.491697453</v>
      </c>
      <c r="T390" s="350">
        <f t="shared" si="168"/>
        <v>8057489.2467682771</v>
      </c>
      <c r="U390" s="350">
        <f t="shared" si="169"/>
        <v>9860544.9108445719</v>
      </c>
      <c r="V390" s="350">
        <f t="shared" si="170"/>
        <v>28970169.188438356</v>
      </c>
      <c r="W390" s="365"/>
      <c r="X390" s="377">
        <f t="shared" si="148"/>
        <v>0</v>
      </c>
      <c r="Y390" s="377">
        <f t="shared" si="149"/>
        <v>0</v>
      </c>
      <c r="Z390" s="377">
        <f t="shared" si="150"/>
        <v>0</v>
      </c>
      <c r="AA390" s="377">
        <f t="shared" si="151"/>
        <v>0</v>
      </c>
      <c r="AB390" s="377">
        <f t="shared" si="152"/>
        <v>0</v>
      </c>
      <c r="AC390" s="377">
        <f t="shared" si="153"/>
        <v>0</v>
      </c>
      <c r="AD390" s="376"/>
      <c r="AE390" s="332">
        <v>375</v>
      </c>
      <c r="AF390" s="350">
        <v>6059356.9731520368</v>
      </c>
      <c r="AG390" s="350">
        <v>12166299.122258838</v>
      </c>
      <c r="AH390" s="350">
        <v>18319458.936052606</v>
      </c>
      <c r="AI390" s="350">
        <v>24519040.435765725</v>
      </c>
      <c r="AJ390" s="350">
        <v>30765937.688233588</v>
      </c>
      <c r="AK390" s="348">
        <v>91830093.155462787</v>
      </c>
      <c r="AL390" s="369"/>
      <c r="AM390" s="350">
        <v>7269731.7420757879</v>
      </c>
      <c r="AN390" s="350">
        <v>15740766.862013044</v>
      </c>
      <c r="AO390" s="350">
        <v>23991064.978171989</v>
      </c>
      <c r="AP390" s="350">
        <v>32015739.511642128</v>
      </c>
      <c r="AQ390" s="350">
        <v>39812351.505252004</v>
      </c>
      <c r="AR390" s="348">
        <v>118829654.59915495</v>
      </c>
      <c r="AS390" s="369"/>
      <c r="AT390" s="350">
        <f t="shared" si="171"/>
        <v>1210374.7689237511</v>
      </c>
      <c r="AU390" s="350">
        <f t="shared" si="154"/>
        <v>3574467.7397542056</v>
      </c>
      <c r="AV390" s="350">
        <f t="shared" si="155"/>
        <v>5671606.0421193838</v>
      </c>
      <c r="AW390" s="350">
        <f t="shared" si="156"/>
        <v>7496699.0758764036</v>
      </c>
      <c r="AX390" s="350">
        <f t="shared" si="157"/>
        <v>9046413.8170184158</v>
      </c>
      <c r="AY390" s="350">
        <f t="shared" si="158"/>
        <v>26999561.443692163</v>
      </c>
      <c r="AZ390" s="365"/>
      <c r="BA390" s="377">
        <f t="shared" si="159"/>
        <v>0</v>
      </c>
      <c r="BB390" s="377">
        <f t="shared" si="160"/>
        <v>0</v>
      </c>
      <c r="BC390" s="377">
        <f t="shared" si="161"/>
        <v>0</v>
      </c>
      <c r="BD390" s="377">
        <f t="shared" si="162"/>
        <v>0</v>
      </c>
      <c r="BE390" s="377">
        <f t="shared" si="163"/>
        <v>0</v>
      </c>
      <c r="BF390" s="377">
        <f t="shared" si="164"/>
        <v>0</v>
      </c>
      <c r="BG390" s="328"/>
    </row>
    <row r="391" spans="2:59">
      <c r="B391" s="332">
        <v>376</v>
      </c>
      <c r="C391" s="350">
        <v>9734770.2551217452</v>
      </c>
      <c r="D391" s="350">
        <v>18210288.039949343</v>
      </c>
      <c r="E391" s="350">
        <v>26749568.162552446</v>
      </c>
      <c r="F391" s="350">
        <v>35353239.845870189</v>
      </c>
      <c r="G391" s="350">
        <v>44022694.495599106</v>
      </c>
      <c r="H391" s="348">
        <v>134070560.79909283</v>
      </c>
      <c r="I391" s="369"/>
      <c r="J391" s="350">
        <v>11174760.626746573</v>
      </c>
      <c r="K391" s="350">
        <v>22459992.013580162</v>
      </c>
      <c r="L391" s="350">
        <v>33475058.758556511</v>
      </c>
      <c r="M391" s="350">
        <v>44211980.230930664</v>
      </c>
      <c r="N391" s="350">
        <v>54665600.917863287</v>
      </c>
      <c r="O391" s="348">
        <v>165987392.54767719</v>
      </c>
      <c r="P391" s="369"/>
      <c r="Q391" s="350">
        <f t="shared" si="165"/>
        <v>1439990.3716248274</v>
      </c>
      <c r="R391" s="350">
        <f t="shared" si="166"/>
        <v>4249703.9736308195</v>
      </c>
      <c r="S391" s="350">
        <f t="shared" si="167"/>
        <v>6725490.5960040651</v>
      </c>
      <c r="T391" s="350">
        <f t="shared" si="168"/>
        <v>8858740.3850604743</v>
      </c>
      <c r="U391" s="350">
        <f t="shared" si="169"/>
        <v>10642906.422264181</v>
      </c>
      <c r="V391" s="350">
        <f t="shared" si="170"/>
        <v>31916831.74858436</v>
      </c>
      <c r="W391" s="365"/>
      <c r="X391" s="377">
        <f t="shared" si="148"/>
        <v>0</v>
      </c>
      <c r="Y391" s="377">
        <f t="shared" si="149"/>
        <v>0</v>
      </c>
      <c r="Z391" s="377">
        <f t="shared" si="150"/>
        <v>0</v>
      </c>
      <c r="AA391" s="377">
        <f t="shared" si="151"/>
        <v>0</v>
      </c>
      <c r="AB391" s="377">
        <f t="shared" si="152"/>
        <v>0</v>
      </c>
      <c r="AC391" s="377">
        <f t="shared" si="153"/>
        <v>0</v>
      </c>
      <c r="AD391" s="376"/>
      <c r="AE391" s="332">
        <v>376</v>
      </c>
      <c r="AF391" s="350">
        <v>7651816.3906515632</v>
      </c>
      <c r="AG391" s="350">
        <v>15363723.815869339</v>
      </c>
      <c r="AH391" s="350">
        <v>23133995.368791811</v>
      </c>
      <c r="AI391" s="350">
        <v>30962888.689465091</v>
      </c>
      <c r="AJ391" s="350">
        <v>38851532.814401753</v>
      </c>
      <c r="AK391" s="348">
        <v>115963957.07917956</v>
      </c>
      <c r="AL391" s="369"/>
      <c r="AM391" s="350">
        <v>8708258.0183177926</v>
      </c>
      <c r="AN391" s="350">
        <v>18477689.91332598</v>
      </c>
      <c r="AO391" s="350">
        <v>27954235.421275571</v>
      </c>
      <c r="AP391" s="350">
        <v>37131857.229677901</v>
      </c>
      <c r="AQ391" s="350">
        <v>46006997.341654412</v>
      </c>
      <c r="AR391" s="348">
        <v>138279037.92425165</v>
      </c>
      <c r="AS391" s="369"/>
      <c r="AT391" s="350">
        <f t="shared" si="171"/>
        <v>1056441.6276662294</v>
      </c>
      <c r="AU391" s="350">
        <f t="shared" si="154"/>
        <v>3113966.0974566415</v>
      </c>
      <c r="AV391" s="350">
        <f t="shared" si="155"/>
        <v>4820240.0524837598</v>
      </c>
      <c r="AW391" s="350">
        <f t="shared" si="156"/>
        <v>6168968.54021281</v>
      </c>
      <c r="AX391" s="350">
        <f t="shared" si="157"/>
        <v>7155464.5272526592</v>
      </c>
      <c r="AY391" s="350">
        <f t="shared" si="158"/>
        <v>22315080.845072091</v>
      </c>
      <c r="AZ391" s="365"/>
      <c r="BA391" s="377">
        <f t="shared" si="159"/>
        <v>0</v>
      </c>
      <c r="BB391" s="377">
        <f t="shared" si="160"/>
        <v>0</v>
      </c>
      <c r="BC391" s="377">
        <f t="shared" si="161"/>
        <v>0</v>
      </c>
      <c r="BD391" s="377">
        <f t="shared" si="162"/>
        <v>0</v>
      </c>
      <c r="BE391" s="377">
        <f t="shared" si="163"/>
        <v>0</v>
      </c>
      <c r="BF391" s="377">
        <f t="shared" si="164"/>
        <v>0</v>
      </c>
      <c r="BG391" s="328"/>
    </row>
    <row r="392" spans="2:59">
      <c r="B392" s="332">
        <v>377</v>
      </c>
      <c r="C392" s="350">
        <v>11303173.085244078</v>
      </c>
      <c r="D392" s="350">
        <v>21561076.218805682</v>
      </c>
      <c r="E392" s="350">
        <v>31896288.376465119</v>
      </c>
      <c r="F392" s="350">
        <v>42309446.076906741</v>
      </c>
      <c r="G392" s="350">
        <v>52802178.936089568</v>
      </c>
      <c r="H392" s="348">
        <v>159872162.69351119</v>
      </c>
      <c r="I392" s="369"/>
      <c r="J392" s="350">
        <v>12488744.458796313</v>
      </c>
      <c r="K392" s="350">
        <v>25051824.596135773</v>
      </c>
      <c r="L392" s="350">
        <v>37263941.845107459</v>
      </c>
      <c r="M392" s="350">
        <v>49115735.572894864</v>
      </c>
      <c r="N392" s="350">
        <v>60600624.045200355</v>
      </c>
      <c r="O392" s="348">
        <v>184520870.51813477</v>
      </c>
      <c r="P392" s="369"/>
      <c r="Q392" s="350">
        <f t="shared" si="165"/>
        <v>1185571.3735522348</v>
      </c>
      <c r="R392" s="350">
        <f t="shared" si="166"/>
        <v>3490748.3773300909</v>
      </c>
      <c r="S392" s="350">
        <f t="shared" si="167"/>
        <v>5367653.4686423391</v>
      </c>
      <c r="T392" s="350">
        <f t="shared" si="168"/>
        <v>6806289.4959881231</v>
      </c>
      <c r="U392" s="350">
        <f t="shared" si="169"/>
        <v>7798445.1091107875</v>
      </c>
      <c r="V392" s="350">
        <f t="shared" si="170"/>
        <v>24648707.824623585</v>
      </c>
      <c r="W392" s="365"/>
      <c r="X392" s="377">
        <f t="shared" si="148"/>
        <v>0</v>
      </c>
      <c r="Y392" s="377">
        <f t="shared" si="149"/>
        <v>0</v>
      </c>
      <c r="Z392" s="377">
        <f t="shared" si="150"/>
        <v>0</v>
      </c>
      <c r="AA392" s="377">
        <f t="shared" si="151"/>
        <v>0</v>
      </c>
      <c r="AB392" s="377">
        <f t="shared" si="152"/>
        <v>0</v>
      </c>
      <c r="AC392" s="377">
        <f t="shared" si="153"/>
        <v>0</v>
      </c>
      <c r="AD392" s="376"/>
      <c r="AE392" s="332">
        <v>377</v>
      </c>
      <c r="AF392" s="350">
        <v>6335725.7085298505</v>
      </c>
      <c r="AG392" s="350">
        <v>12721206.964385491</v>
      </c>
      <c r="AH392" s="350">
        <v>19155013.883779831</v>
      </c>
      <c r="AI392" s="350">
        <v>25637359.793402955</v>
      </c>
      <c r="AJ392" s="350">
        <v>32169179.538694605</v>
      </c>
      <c r="AK392" s="348">
        <v>96018485.888792723</v>
      </c>
      <c r="AL392" s="369"/>
      <c r="AM392" s="350">
        <v>7541790.9812283032</v>
      </c>
      <c r="AN392" s="350">
        <v>16282203.082001558</v>
      </c>
      <c r="AO392" s="350">
        <v>24790027.81845136</v>
      </c>
      <c r="AP392" s="350">
        <v>33060172.566667095</v>
      </c>
      <c r="AQ392" s="350">
        <v>41090026.853327185</v>
      </c>
      <c r="AR392" s="348">
        <v>122764221.3016755</v>
      </c>
      <c r="AS392" s="369"/>
      <c r="AT392" s="350">
        <f t="shared" si="171"/>
        <v>1206065.2726984527</v>
      </c>
      <c r="AU392" s="350">
        <f t="shared" si="154"/>
        <v>3560996.1176160667</v>
      </c>
      <c r="AV392" s="350">
        <f t="shared" si="155"/>
        <v>5635013.9346715286</v>
      </c>
      <c r="AW392" s="350">
        <f t="shared" si="156"/>
        <v>7422812.7732641399</v>
      </c>
      <c r="AX392" s="350">
        <f t="shared" si="157"/>
        <v>8920847.3146325797</v>
      </c>
      <c r="AY392" s="350">
        <f t="shared" si="158"/>
        <v>26745735.412882775</v>
      </c>
      <c r="AZ392" s="365"/>
      <c r="BA392" s="377">
        <f t="shared" si="159"/>
        <v>0</v>
      </c>
      <c r="BB392" s="377">
        <f t="shared" si="160"/>
        <v>0</v>
      </c>
      <c r="BC392" s="377">
        <f t="shared" si="161"/>
        <v>0</v>
      </c>
      <c r="BD392" s="377">
        <f t="shared" si="162"/>
        <v>0</v>
      </c>
      <c r="BE392" s="377">
        <f t="shared" si="163"/>
        <v>0</v>
      </c>
      <c r="BF392" s="377">
        <f t="shared" si="164"/>
        <v>0</v>
      </c>
      <c r="BG392" s="328"/>
    </row>
    <row r="393" spans="2:59">
      <c r="B393" s="332">
        <v>378</v>
      </c>
      <c r="C393" s="350">
        <v>12104243.662354812</v>
      </c>
      <c r="D393" s="350">
        <v>23204737.532365218</v>
      </c>
      <c r="E393" s="350">
        <v>34388927.242737152</v>
      </c>
      <c r="F393" s="350">
        <v>45657468.333820134</v>
      </c>
      <c r="G393" s="350">
        <v>57012109.806872085</v>
      </c>
      <c r="H393" s="348">
        <v>172367486.57814938</v>
      </c>
      <c r="I393" s="369"/>
      <c r="J393" s="350">
        <v>13600490.022038771</v>
      </c>
      <c r="K393" s="350">
        <v>27614777.512315005</v>
      </c>
      <c r="L393" s="350">
        <v>41246231.879131615</v>
      </c>
      <c r="M393" s="350">
        <v>54485006.412128158</v>
      </c>
      <c r="N393" s="350">
        <v>67324571.347156316</v>
      </c>
      <c r="O393" s="348">
        <v>204271077.17276987</v>
      </c>
      <c r="P393" s="369"/>
      <c r="Q393" s="350">
        <f t="shared" si="165"/>
        <v>1496246.3596839588</v>
      </c>
      <c r="R393" s="350">
        <f t="shared" si="166"/>
        <v>4410039.9799497873</v>
      </c>
      <c r="S393" s="350">
        <f t="shared" si="167"/>
        <v>6857304.6363944635</v>
      </c>
      <c r="T393" s="350">
        <f t="shared" si="168"/>
        <v>8827538.0783080235</v>
      </c>
      <c r="U393" s="350">
        <f t="shared" si="169"/>
        <v>10312461.540284231</v>
      </c>
      <c r="V393" s="350">
        <f t="shared" si="170"/>
        <v>31903590.594620496</v>
      </c>
      <c r="W393" s="365"/>
      <c r="X393" s="377">
        <f t="shared" si="148"/>
        <v>0</v>
      </c>
      <c r="Y393" s="377">
        <f t="shared" si="149"/>
        <v>0</v>
      </c>
      <c r="Z393" s="377">
        <f t="shared" si="150"/>
        <v>0</v>
      </c>
      <c r="AA393" s="377">
        <f t="shared" si="151"/>
        <v>0</v>
      </c>
      <c r="AB393" s="377">
        <f t="shared" si="152"/>
        <v>0</v>
      </c>
      <c r="AC393" s="377">
        <f t="shared" si="153"/>
        <v>0</v>
      </c>
      <c r="AD393" s="376"/>
      <c r="AE393" s="332">
        <v>378</v>
      </c>
      <c r="AF393" s="350">
        <v>3780296.0745085021</v>
      </c>
      <c r="AG393" s="350">
        <v>7590279.4664441887</v>
      </c>
      <c r="AH393" s="350">
        <v>11429097.016387604</v>
      </c>
      <c r="AI393" s="350">
        <v>15296876.008581499</v>
      </c>
      <c r="AJ393" s="350">
        <v>19194174.231148139</v>
      </c>
      <c r="AK393" s="348">
        <v>57290722.79706993</v>
      </c>
      <c r="AL393" s="369"/>
      <c r="AM393" s="350">
        <v>4425592.8042051736</v>
      </c>
      <c r="AN393" s="350">
        <v>9494589.3320134617</v>
      </c>
      <c r="AO393" s="350">
        <v>14422583.618092922</v>
      </c>
      <c r="AP393" s="350">
        <v>19206558.099787649</v>
      </c>
      <c r="AQ393" s="350">
        <v>23844879.935957365</v>
      </c>
      <c r="AR393" s="348">
        <v>71394203.790056571</v>
      </c>
      <c r="AS393" s="369"/>
      <c r="AT393" s="350">
        <f t="shared" si="171"/>
        <v>645296.72969667148</v>
      </c>
      <c r="AU393" s="350">
        <f t="shared" si="154"/>
        <v>1904309.865569273</v>
      </c>
      <c r="AV393" s="350">
        <f t="shared" si="155"/>
        <v>2993486.6017053183</v>
      </c>
      <c r="AW393" s="350">
        <f t="shared" si="156"/>
        <v>3909682.0912061501</v>
      </c>
      <c r="AX393" s="350">
        <f t="shared" si="157"/>
        <v>4650705.7048092261</v>
      </c>
      <c r="AY393" s="350">
        <f t="shared" si="158"/>
        <v>14103480.992986642</v>
      </c>
      <c r="AZ393" s="365"/>
      <c r="BA393" s="377">
        <f t="shared" si="159"/>
        <v>0</v>
      </c>
      <c r="BB393" s="377">
        <f t="shared" si="160"/>
        <v>0</v>
      </c>
      <c r="BC393" s="377">
        <f t="shared" si="161"/>
        <v>0</v>
      </c>
      <c r="BD393" s="377">
        <f t="shared" si="162"/>
        <v>0</v>
      </c>
      <c r="BE393" s="377">
        <f t="shared" si="163"/>
        <v>0</v>
      </c>
      <c r="BF393" s="377">
        <f t="shared" si="164"/>
        <v>0</v>
      </c>
      <c r="BG393" s="328"/>
    </row>
    <row r="394" spans="2:59">
      <c r="B394" s="332">
        <v>379</v>
      </c>
      <c r="C394" s="350">
        <v>8361498.8891021106</v>
      </c>
      <c r="D394" s="350">
        <v>15768051.361650819</v>
      </c>
      <c r="E394" s="350">
        <v>23230366.023686901</v>
      </c>
      <c r="F394" s="350">
        <v>30748954.747999486</v>
      </c>
      <c r="G394" s="350">
        <v>38325016.921359852</v>
      </c>
      <c r="H394" s="348">
        <v>116433887.94379917</v>
      </c>
      <c r="I394" s="369"/>
      <c r="J394" s="350">
        <v>9638248.7654012553</v>
      </c>
      <c r="K394" s="350">
        <v>19536261.172913399</v>
      </c>
      <c r="L394" s="350">
        <v>29196943.152515747</v>
      </c>
      <c r="M394" s="350">
        <v>38613345.488858029</v>
      </c>
      <c r="N394" s="350">
        <v>47781035.795443803</v>
      </c>
      <c r="O394" s="348">
        <v>144765834.37513223</v>
      </c>
      <c r="P394" s="369"/>
      <c r="Q394" s="350">
        <f t="shared" si="165"/>
        <v>1276749.8762991447</v>
      </c>
      <c r="R394" s="350">
        <f t="shared" si="166"/>
        <v>3768209.8112625796</v>
      </c>
      <c r="S394" s="350">
        <f t="shared" si="167"/>
        <v>5966577.1288288459</v>
      </c>
      <c r="T394" s="350">
        <f t="shared" si="168"/>
        <v>7864390.7408585437</v>
      </c>
      <c r="U394" s="350">
        <f t="shared" si="169"/>
        <v>9456018.8740839511</v>
      </c>
      <c r="V394" s="350">
        <f t="shared" si="170"/>
        <v>28331946.431333065</v>
      </c>
      <c r="W394" s="365"/>
      <c r="X394" s="377">
        <f t="shared" si="148"/>
        <v>0</v>
      </c>
      <c r="Y394" s="377">
        <f t="shared" si="149"/>
        <v>0</v>
      </c>
      <c r="Z394" s="377">
        <f t="shared" si="150"/>
        <v>0</v>
      </c>
      <c r="AA394" s="377">
        <f t="shared" si="151"/>
        <v>0</v>
      </c>
      <c r="AB394" s="377">
        <f t="shared" si="152"/>
        <v>0</v>
      </c>
      <c r="AC394" s="377">
        <f t="shared" si="153"/>
        <v>0</v>
      </c>
      <c r="AD394" s="376"/>
      <c r="AE394" s="332">
        <v>379</v>
      </c>
      <c r="AF394" s="350">
        <v>4154710.8473893888</v>
      </c>
      <c r="AG394" s="350">
        <v>8342049.3560290029</v>
      </c>
      <c r="AH394" s="350">
        <v>12561077.866374534</v>
      </c>
      <c r="AI394" s="350">
        <v>16811936.269379929</v>
      </c>
      <c r="AJ394" s="350">
        <v>21095237.59860564</v>
      </c>
      <c r="AK394" s="348">
        <v>62965011.937778495</v>
      </c>
      <c r="AL394" s="369"/>
      <c r="AM394" s="350">
        <v>5089233.6751988064</v>
      </c>
      <c r="AN394" s="350">
        <v>11103182.859017348</v>
      </c>
      <c r="AO394" s="350">
        <v>16968912.617300246</v>
      </c>
      <c r="AP394" s="350">
        <v>22683042.789602403</v>
      </c>
      <c r="AQ394" s="350">
        <v>28244007.001773935</v>
      </c>
      <c r="AR394" s="348">
        <v>84088378.942892745</v>
      </c>
      <c r="AS394" s="369"/>
      <c r="AT394" s="350">
        <f t="shared" si="171"/>
        <v>934522.82780941762</v>
      </c>
      <c r="AU394" s="350">
        <f t="shared" si="154"/>
        <v>2761133.502988345</v>
      </c>
      <c r="AV394" s="350">
        <f t="shared" si="155"/>
        <v>4407834.7509257123</v>
      </c>
      <c r="AW394" s="350">
        <f t="shared" si="156"/>
        <v>5871106.5202224739</v>
      </c>
      <c r="AX394" s="350">
        <f t="shared" si="157"/>
        <v>7148769.4031682946</v>
      </c>
      <c r="AY394" s="350">
        <f t="shared" si="158"/>
        <v>21123367.00511425</v>
      </c>
      <c r="AZ394" s="365"/>
      <c r="BA394" s="377">
        <f t="shared" si="159"/>
        <v>0</v>
      </c>
      <c r="BB394" s="377">
        <f t="shared" si="160"/>
        <v>0</v>
      </c>
      <c r="BC394" s="377">
        <f t="shared" si="161"/>
        <v>0</v>
      </c>
      <c r="BD394" s="377">
        <f t="shared" si="162"/>
        <v>0</v>
      </c>
      <c r="BE394" s="377">
        <f t="shared" si="163"/>
        <v>0</v>
      </c>
      <c r="BF394" s="377">
        <f t="shared" si="164"/>
        <v>0</v>
      </c>
      <c r="BG394" s="328"/>
    </row>
    <row r="395" spans="2:59">
      <c r="B395" s="332">
        <v>380</v>
      </c>
      <c r="C395" s="350">
        <v>8938406.2113348078</v>
      </c>
      <c r="D395" s="350">
        <v>17054087.857725121</v>
      </c>
      <c r="E395" s="350">
        <v>25230934.828331999</v>
      </c>
      <c r="F395" s="350">
        <v>33469449.602547318</v>
      </c>
      <c r="G395" s="350">
        <v>41770920.990069978</v>
      </c>
      <c r="H395" s="348">
        <v>126463799.49000922</v>
      </c>
      <c r="I395" s="369"/>
      <c r="J395" s="350">
        <v>10033168.948374609</v>
      </c>
      <c r="K395" s="350">
        <v>20280833.789572325</v>
      </c>
      <c r="L395" s="350">
        <v>30252864.961265065</v>
      </c>
      <c r="M395" s="350">
        <v>39941938.889525935</v>
      </c>
      <c r="N395" s="350">
        <v>49343138.807996929</v>
      </c>
      <c r="O395" s="348">
        <v>149851945.39673486</v>
      </c>
      <c r="P395" s="369"/>
      <c r="Q395" s="350">
        <f t="shared" si="165"/>
        <v>1094762.7370398007</v>
      </c>
      <c r="R395" s="350">
        <f t="shared" si="166"/>
        <v>3226745.9318472035</v>
      </c>
      <c r="S395" s="350">
        <f t="shared" si="167"/>
        <v>5021930.1329330653</v>
      </c>
      <c r="T395" s="350">
        <f t="shared" si="168"/>
        <v>6472489.2869786173</v>
      </c>
      <c r="U395" s="350">
        <f t="shared" si="169"/>
        <v>7572217.8179269508</v>
      </c>
      <c r="V395" s="350">
        <f t="shared" si="170"/>
        <v>23388145.906725645</v>
      </c>
      <c r="W395" s="365"/>
      <c r="X395" s="377">
        <f t="shared" si="148"/>
        <v>0</v>
      </c>
      <c r="Y395" s="377">
        <f t="shared" si="149"/>
        <v>0</v>
      </c>
      <c r="Z395" s="377">
        <f t="shared" si="150"/>
        <v>0</v>
      </c>
      <c r="AA395" s="377">
        <f t="shared" si="151"/>
        <v>0</v>
      </c>
      <c r="AB395" s="377">
        <f t="shared" si="152"/>
        <v>0</v>
      </c>
      <c r="AC395" s="377">
        <f t="shared" si="153"/>
        <v>0</v>
      </c>
      <c r="AD395" s="376"/>
      <c r="AE395" s="332">
        <v>380</v>
      </c>
      <c r="AF395" s="350">
        <v>5530055.7934478112</v>
      </c>
      <c r="AG395" s="350">
        <v>11103540.069346294</v>
      </c>
      <c r="AH395" s="350">
        <v>16719204.772226427</v>
      </c>
      <c r="AI395" s="350">
        <v>22377236.101515494</v>
      </c>
      <c r="AJ395" s="350">
        <v>28078450.024898633</v>
      </c>
      <c r="AK395" s="348">
        <v>83808486.761434659</v>
      </c>
      <c r="AL395" s="369"/>
      <c r="AM395" s="350">
        <v>6527245.0996981338</v>
      </c>
      <c r="AN395" s="350">
        <v>14047085.582708882</v>
      </c>
      <c r="AO395" s="350">
        <v>21362252.694844626</v>
      </c>
      <c r="AP395" s="350">
        <v>28468317.105578355</v>
      </c>
      <c r="AQ395" s="350">
        <v>35362944.079530559</v>
      </c>
      <c r="AR395" s="348">
        <v>105767844.56236055</v>
      </c>
      <c r="AS395" s="369"/>
      <c r="AT395" s="350">
        <f t="shared" si="171"/>
        <v>997189.30625032261</v>
      </c>
      <c r="AU395" s="350">
        <f t="shared" si="154"/>
        <v>2943545.5133625884</v>
      </c>
      <c r="AV395" s="350">
        <f t="shared" si="155"/>
        <v>4643047.9226181991</v>
      </c>
      <c r="AW395" s="350">
        <f t="shared" si="156"/>
        <v>6091081.0040628612</v>
      </c>
      <c r="AX395" s="350">
        <f t="shared" si="157"/>
        <v>7284494.0546319261</v>
      </c>
      <c r="AY395" s="350">
        <f t="shared" si="158"/>
        <v>21959357.800925896</v>
      </c>
      <c r="AZ395" s="365"/>
      <c r="BA395" s="377">
        <f t="shared" si="159"/>
        <v>0</v>
      </c>
      <c r="BB395" s="377">
        <f t="shared" si="160"/>
        <v>0</v>
      </c>
      <c r="BC395" s="377">
        <f t="shared" si="161"/>
        <v>0</v>
      </c>
      <c r="BD395" s="377">
        <f t="shared" si="162"/>
        <v>0</v>
      </c>
      <c r="BE395" s="377">
        <f t="shared" si="163"/>
        <v>0</v>
      </c>
      <c r="BF395" s="377">
        <f t="shared" si="164"/>
        <v>0</v>
      </c>
      <c r="BG395" s="328"/>
    </row>
    <row r="396" spans="2:59">
      <c r="B396" s="332">
        <v>381</v>
      </c>
      <c r="C396" s="350">
        <v>8347824.7512396965</v>
      </c>
      <c r="D396" s="350">
        <v>15611023.44574129</v>
      </c>
      <c r="E396" s="350">
        <v>22928862.477148671</v>
      </c>
      <c r="F396" s="350">
        <v>30301882.500464123</v>
      </c>
      <c r="G396" s="350">
        <v>37731276.522065029</v>
      </c>
      <c r="H396" s="348">
        <v>114920869.69665881</v>
      </c>
      <c r="I396" s="369"/>
      <c r="J396" s="350">
        <v>9970889.3489334602</v>
      </c>
      <c r="K396" s="350">
        <v>20406654.011723906</v>
      </c>
      <c r="L396" s="350">
        <v>30626314.502006207</v>
      </c>
      <c r="M396" s="350">
        <v>40622768.480376393</v>
      </c>
      <c r="N396" s="350">
        <v>50391831.953714214</v>
      </c>
      <c r="O396" s="348">
        <v>152018458.29675418</v>
      </c>
      <c r="P396" s="369"/>
      <c r="Q396" s="350">
        <f t="shared" si="165"/>
        <v>1623064.5976937637</v>
      </c>
      <c r="R396" s="350">
        <f t="shared" si="166"/>
        <v>4795630.5659826156</v>
      </c>
      <c r="S396" s="350">
        <f t="shared" si="167"/>
        <v>7697452.024857536</v>
      </c>
      <c r="T396" s="350">
        <f t="shared" si="168"/>
        <v>10320885.97991227</v>
      </c>
      <c r="U396" s="350">
        <f t="shared" si="169"/>
        <v>12660555.431649186</v>
      </c>
      <c r="V396" s="350">
        <f t="shared" si="170"/>
        <v>37097588.600095376</v>
      </c>
      <c r="W396" s="365"/>
      <c r="X396" s="377">
        <f t="shared" si="148"/>
        <v>0</v>
      </c>
      <c r="Y396" s="377">
        <f t="shared" si="149"/>
        <v>0</v>
      </c>
      <c r="Z396" s="377">
        <f t="shared" si="150"/>
        <v>0</v>
      </c>
      <c r="AA396" s="377">
        <f t="shared" si="151"/>
        <v>0</v>
      </c>
      <c r="AB396" s="377">
        <f t="shared" si="152"/>
        <v>0</v>
      </c>
      <c r="AC396" s="377">
        <f t="shared" si="153"/>
        <v>0</v>
      </c>
      <c r="AD396" s="376"/>
      <c r="AE396" s="332">
        <v>381</v>
      </c>
      <c r="AF396" s="350">
        <v>6684247.1021837303</v>
      </c>
      <c r="AG396" s="350">
        <v>13420986.750340881</v>
      </c>
      <c r="AH396" s="350">
        <v>20208710.404329404</v>
      </c>
      <c r="AI396" s="350">
        <v>27047643.125709035</v>
      </c>
      <c r="AJ396" s="350">
        <v>33938771.18475236</v>
      </c>
      <c r="AK396" s="348">
        <v>101300358.56731541</v>
      </c>
      <c r="AL396" s="369"/>
      <c r="AM396" s="350">
        <v>8097052.9761132859</v>
      </c>
      <c r="AN396" s="350">
        <v>17594243.47734068</v>
      </c>
      <c r="AO396" s="350">
        <v>26850257.148072619</v>
      </c>
      <c r="AP396" s="350">
        <v>35859681.515415236</v>
      </c>
      <c r="AQ396" s="350">
        <v>44619904.695240885</v>
      </c>
      <c r="AR396" s="348">
        <v>133021139.81218271</v>
      </c>
      <c r="AS396" s="369"/>
      <c r="AT396" s="350">
        <f t="shared" si="171"/>
        <v>1412805.8739295555</v>
      </c>
      <c r="AU396" s="350">
        <f t="shared" si="154"/>
        <v>4173256.7269997988</v>
      </c>
      <c r="AV396" s="350">
        <f t="shared" si="155"/>
        <v>6641546.7437432148</v>
      </c>
      <c r="AW396" s="350">
        <f t="shared" si="156"/>
        <v>8812038.3897062019</v>
      </c>
      <c r="AX396" s="350">
        <f t="shared" si="157"/>
        <v>10681133.510488525</v>
      </c>
      <c r="AY396" s="350">
        <f t="shared" si="158"/>
        <v>31720781.244867295</v>
      </c>
      <c r="AZ396" s="365"/>
      <c r="BA396" s="377">
        <f t="shared" si="159"/>
        <v>0</v>
      </c>
      <c r="BB396" s="377">
        <f t="shared" si="160"/>
        <v>0</v>
      </c>
      <c r="BC396" s="377">
        <f t="shared" si="161"/>
        <v>0</v>
      </c>
      <c r="BD396" s="377">
        <f t="shared" si="162"/>
        <v>0</v>
      </c>
      <c r="BE396" s="377">
        <f t="shared" si="163"/>
        <v>0</v>
      </c>
      <c r="BF396" s="377">
        <f t="shared" si="164"/>
        <v>0</v>
      </c>
      <c r="BG396" s="328"/>
    </row>
    <row r="397" spans="2:59">
      <c r="B397" s="332">
        <v>382</v>
      </c>
      <c r="C397" s="350">
        <v>7457660.3317734282</v>
      </c>
      <c r="D397" s="350">
        <v>13997230.779851586</v>
      </c>
      <c r="E397" s="350">
        <v>20586014.583380468</v>
      </c>
      <c r="F397" s="350">
        <v>27224483.262587622</v>
      </c>
      <c r="G397" s="350">
        <v>33913704.321533948</v>
      </c>
      <c r="H397" s="348">
        <v>103179093.27912706</v>
      </c>
      <c r="I397" s="369"/>
      <c r="J397" s="350">
        <v>8716635.9538925551</v>
      </c>
      <c r="K397" s="350">
        <v>17714876.550168045</v>
      </c>
      <c r="L397" s="350">
        <v>26509112.813963838</v>
      </c>
      <c r="M397" s="350">
        <v>35093137.984034322</v>
      </c>
      <c r="N397" s="350">
        <v>43463124.743093722</v>
      </c>
      <c r="O397" s="348">
        <v>131496888.04515249</v>
      </c>
      <c r="P397" s="369"/>
      <c r="Q397" s="350">
        <f t="shared" si="165"/>
        <v>1258975.6221191268</v>
      </c>
      <c r="R397" s="350">
        <f t="shared" si="166"/>
        <v>3717645.7703164592</v>
      </c>
      <c r="S397" s="350">
        <f t="shared" si="167"/>
        <v>5923098.2305833697</v>
      </c>
      <c r="T397" s="350">
        <f t="shared" si="168"/>
        <v>7868654.7214467004</v>
      </c>
      <c r="U397" s="350">
        <f t="shared" si="169"/>
        <v>9549420.4215597734</v>
      </c>
      <c r="V397" s="350">
        <f t="shared" si="170"/>
        <v>28317794.766025424</v>
      </c>
      <c r="W397" s="365"/>
      <c r="X397" s="377">
        <f t="shared" si="148"/>
        <v>0</v>
      </c>
      <c r="Y397" s="377">
        <f t="shared" si="149"/>
        <v>0</v>
      </c>
      <c r="Z397" s="377">
        <f t="shared" si="150"/>
        <v>0</v>
      </c>
      <c r="AA397" s="377">
        <f t="shared" si="151"/>
        <v>0</v>
      </c>
      <c r="AB397" s="377">
        <f t="shared" si="152"/>
        <v>0</v>
      </c>
      <c r="AC397" s="377">
        <f t="shared" si="153"/>
        <v>0</v>
      </c>
      <c r="AD397" s="376"/>
      <c r="AE397" s="332">
        <v>382</v>
      </c>
      <c r="AF397" s="350">
        <v>4396166.9839302357</v>
      </c>
      <c r="AG397" s="350">
        <v>8826857.8258182928</v>
      </c>
      <c r="AH397" s="350">
        <v>13291080.372880921</v>
      </c>
      <c r="AI397" s="350">
        <v>17788982.646007102</v>
      </c>
      <c r="AJ397" s="350">
        <v>22321213.30595747</v>
      </c>
      <c r="AK397" s="348">
        <v>66624301.134594023</v>
      </c>
      <c r="AL397" s="369"/>
      <c r="AM397" s="350">
        <v>5246734.6010205671</v>
      </c>
      <c r="AN397" s="350">
        <v>11338401.187328644</v>
      </c>
      <c r="AO397" s="350">
        <v>17269093.278719291</v>
      </c>
      <c r="AP397" s="350">
        <v>23035273.379358772</v>
      </c>
      <c r="AQ397" s="350">
        <v>28635144.052133456</v>
      </c>
      <c r="AR397" s="348">
        <v>85524646.498560727</v>
      </c>
      <c r="AS397" s="369"/>
      <c r="AT397" s="350">
        <f t="shared" si="171"/>
        <v>850567.61709033139</v>
      </c>
      <c r="AU397" s="350">
        <f t="shared" si="154"/>
        <v>2511543.3615103513</v>
      </c>
      <c r="AV397" s="350">
        <f t="shared" si="155"/>
        <v>3978012.9058383703</v>
      </c>
      <c r="AW397" s="350">
        <f t="shared" si="156"/>
        <v>5246290.7333516702</v>
      </c>
      <c r="AX397" s="350">
        <f t="shared" si="157"/>
        <v>6313930.7461759858</v>
      </c>
      <c r="AY397" s="350">
        <f t="shared" si="158"/>
        <v>18900345.363966703</v>
      </c>
      <c r="AZ397" s="365"/>
      <c r="BA397" s="377">
        <f t="shared" si="159"/>
        <v>0</v>
      </c>
      <c r="BB397" s="377">
        <f t="shared" si="160"/>
        <v>0</v>
      </c>
      <c r="BC397" s="377">
        <f t="shared" si="161"/>
        <v>0</v>
      </c>
      <c r="BD397" s="377">
        <f t="shared" si="162"/>
        <v>0</v>
      </c>
      <c r="BE397" s="377">
        <f t="shared" si="163"/>
        <v>0</v>
      </c>
      <c r="BF397" s="377">
        <f t="shared" si="164"/>
        <v>0</v>
      </c>
      <c r="BG397" s="328"/>
    </row>
    <row r="398" spans="2:59">
      <c r="B398" s="332">
        <v>383</v>
      </c>
      <c r="C398" s="350">
        <v>9927084.1816447191</v>
      </c>
      <c r="D398" s="350">
        <v>18639869.192379687</v>
      </c>
      <c r="E398" s="350">
        <v>27418224.578377403</v>
      </c>
      <c r="F398" s="350">
        <v>36262776.233395077</v>
      </c>
      <c r="G398" s="350">
        <v>45174945.402071536</v>
      </c>
      <c r="H398" s="348">
        <v>137422899.58786842</v>
      </c>
      <c r="I398" s="369"/>
      <c r="J398" s="350">
        <v>11226589.414412344</v>
      </c>
      <c r="K398" s="350">
        <v>22472345.0521008</v>
      </c>
      <c r="L398" s="350">
        <v>33426985.227552753</v>
      </c>
      <c r="M398" s="350">
        <v>44082649.170606419</v>
      </c>
      <c r="N398" s="350">
        <v>54434170.204290271</v>
      </c>
      <c r="O398" s="348">
        <v>165642739.06896257</v>
      </c>
      <c r="P398" s="369"/>
      <c r="Q398" s="350">
        <f t="shared" si="165"/>
        <v>1299505.2327676248</v>
      </c>
      <c r="R398" s="350">
        <f t="shared" si="166"/>
        <v>3832475.859721113</v>
      </c>
      <c r="S398" s="350">
        <f t="shared" si="167"/>
        <v>6008760.6491753496</v>
      </c>
      <c r="T398" s="350">
        <f t="shared" si="168"/>
        <v>7819872.9372113422</v>
      </c>
      <c r="U398" s="350">
        <f t="shared" si="169"/>
        <v>9259224.8022187352</v>
      </c>
      <c r="V398" s="350">
        <f t="shared" si="170"/>
        <v>28219839.481094152</v>
      </c>
      <c r="W398" s="365"/>
      <c r="X398" s="377">
        <f t="shared" si="148"/>
        <v>0</v>
      </c>
      <c r="Y398" s="377">
        <f t="shared" si="149"/>
        <v>0</v>
      </c>
      <c r="Z398" s="377">
        <f t="shared" si="150"/>
        <v>0</v>
      </c>
      <c r="AA398" s="377">
        <f t="shared" si="151"/>
        <v>0</v>
      </c>
      <c r="AB398" s="377">
        <f t="shared" si="152"/>
        <v>0</v>
      </c>
      <c r="AC398" s="377">
        <f t="shared" si="153"/>
        <v>0</v>
      </c>
      <c r="AD398" s="376"/>
      <c r="AE398" s="332">
        <v>383</v>
      </c>
      <c r="AF398" s="350">
        <v>7312875.1733468268</v>
      </c>
      <c r="AG398" s="350">
        <v>14683179.617390331</v>
      </c>
      <c r="AH398" s="350">
        <v>22109262.919513486</v>
      </c>
      <c r="AI398" s="350">
        <v>29591371.307461537</v>
      </c>
      <c r="AJ398" s="350">
        <v>37130583.806483008</v>
      </c>
      <c r="AK398" s="348">
        <v>110827272.82419518</v>
      </c>
      <c r="AL398" s="369"/>
      <c r="AM398" s="350">
        <v>8655234.205609994</v>
      </c>
      <c r="AN398" s="350">
        <v>18645940.128887575</v>
      </c>
      <c r="AO398" s="350">
        <v>28366698.081609912</v>
      </c>
      <c r="AP398" s="350">
        <v>37811644.073619843</v>
      </c>
      <c r="AQ398" s="350">
        <v>46977714.671686009</v>
      </c>
      <c r="AR398" s="348">
        <v>140457231.16141331</v>
      </c>
      <c r="AS398" s="369"/>
      <c r="AT398" s="350">
        <f t="shared" si="171"/>
        <v>1342359.0322631672</v>
      </c>
      <c r="AU398" s="350">
        <f t="shared" si="154"/>
        <v>3962760.5114972442</v>
      </c>
      <c r="AV398" s="350">
        <f t="shared" si="155"/>
        <v>6257435.1620964259</v>
      </c>
      <c r="AW398" s="350">
        <f t="shared" si="156"/>
        <v>8220272.7661583051</v>
      </c>
      <c r="AX398" s="350">
        <f t="shared" si="157"/>
        <v>9847130.8652030006</v>
      </c>
      <c r="AY398" s="350">
        <f t="shared" si="158"/>
        <v>29629958.337218136</v>
      </c>
      <c r="AZ398" s="365"/>
      <c r="BA398" s="377">
        <f t="shared" si="159"/>
        <v>0</v>
      </c>
      <c r="BB398" s="377">
        <f t="shared" si="160"/>
        <v>0</v>
      </c>
      <c r="BC398" s="377">
        <f t="shared" si="161"/>
        <v>0</v>
      </c>
      <c r="BD398" s="377">
        <f t="shared" si="162"/>
        <v>0</v>
      </c>
      <c r="BE398" s="377">
        <f t="shared" si="163"/>
        <v>0</v>
      </c>
      <c r="BF398" s="377">
        <f t="shared" si="164"/>
        <v>0</v>
      </c>
      <c r="BG398" s="328"/>
    </row>
    <row r="399" spans="2:59">
      <c r="B399" s="332">
        <v>384</v>
      </c>
      <c r="C399" s="350">
        <v>9036961.2416114211</v>
      </c>
      <c r="D399" s="350">
        <v>16998010.982305147</v>
      </c>
      <c r="E399" s="350">
        <v>25018983.375580307</v>
      </c>
      <c r="F399" s="350">
        <v>33100441.53460896</v>
      </c>
      <c r="G399" s="350">
        <v>41243680.260050319</v>
      </c>
      <c r="H399" s="348">
        <v>125398077.39415616</v>
      </c>
      <c r="I399" s="369"/>
      <c r="J399" s="350">
        <v>10302233.496697333</v>
      </c>
      <c r="K399" s="350">
        <v>20730833.596886851</v>
      </c>
      <c r="L399" s="350">
        <v>30896614.355841722</v>
      </c>
      <c r="M399" s="350">
        <v>40792345.919522263</v>
      </c>
      <c r="N399" s="350">
        <v>50413364.940909229</v>
      </c>
      <c r="O399" s="348">
        <v>153135392.3098574</v>
      </c>
      <c r="P399" s="369"/>
      <c r="Q399" s="350">
        <f t="shared" si="165"/>
        <v>1265272.2550859116</v>
      </c>
      <c r="R399" s="350">
        <f t="shared" si="166"/>
        <v>3732822.6145817041</v>
      </c>
      <c r="S399" s="350">
        <f t="shared" si="167"/>
        <v>5877630.9802614152</v>
      </c>
      <c r="T399" s="350">
        <f t="shared" si="168"/>
        <v>7691904.384913303</v>
      </c>
      <c r="U399" s="350">
        <f t="shared" si="169"/>
        <v>9169684.6808589101</v>
      </c>
      <c r="V399" s="350">
        <f t="shared" si="170"/>
        <v>27737314.91570124</v>
      </c>
      <c r="W399" s="365"/>
      <c r="X399" s="377">
        <f t="shared" si="148"/>
        <v>0</v>
      </c>
      <c r="Y399" s="377">
        <f t="shared" si="149"/>
        <v>0</v>
      </c>
      <c r="Z399" s="377">
        <f t="shared" si="150"/>
        <v>0</v>
      </c>
      <c r="AA399" s="377">
        <f t="shared" si="151"/>
        <v>0</v>
      </c>
      <c r="AB399" s="377">
        <f t="shared" si="152"/>
        <v>0</v>
      </c>
      <c r="AC399" s="377">
        <f t="shared" si="153"/>
        <v>0</v>
      </c>
      <c r="AD399" s="376"/>
      <c r="AE399" s="332">
        <v>384</v>
      </c>
      <c r="AF399" s="350">
        <v>6086045.4808241623</v>
      </c>
      <c r="AG399" s="350">
        <v>12219885.727059394</v>
      </c>
      <c r="AH399" s="350">
        <v>18400147.204218745</v>
      </c>
      <c r="AI399" s="350">
        <v>24627034.83214847</v>
      </c>
      <c r="AJ399" s="350">
        <v>30901446.615611646</v>
      </c>
      <c r="AK399" s="348">
        <v>92234559.859862417</v>
      </c>
      <c r="AL399" s="369"/>
      <c r="AM399" s="350">
        <v>7075179.6615779493</v>
      </c>
      <c r="AN399" s="350">
        <v>15138152.129407611</v>
      </c>
      <c r="AO399" s="350">
        <v>22972629.460971966</v>
      </c>
      <c r="AP399" s="350">
        <v>30573767.637247875</v>
      </c>
      <c r="AQ399" s="350">
        <v>37938887.494634926</v>
      </c>
      <c r="AR399" s="348">
        <v>113698616.38384032</v>
      </c>
      <c r="AS399" s="369"/>
      <c r="AT399" s="350">
        <f t="shared" si="171"/>
        <v>989134.18075378705</v>
      </c>
      <c r="AU399" s="350">
        <f t="shared" si="154"/>
        <v>2918266.4023482166</v>
      </c>
      <c r="AV399" s="350">
        <f t="shared" si="155"/>
        <v>4572482.2567532212</v>
      </c>
      <c r="AW399" s="350">
        <f t="shared" si="156"/>
        <v>5946732.8050994053</v>
      </c>
      <c r="AX399" s="350">
        <f t="shared" si="157"/>
        <v>7037440.87902328</v>
      </c>
      <c r="AY399" s="350">
        <f t="shared" si="158"/>
        <v>21464056.523977906</v>
      </c>
      <c r="AZ399" s="365"/>
      <c r="BA399" s="377">
        <f t="shared" si="159"/>
        <v>0</v>
      </c>
      <c r="BB399" s="377">
        <f t="shared" si="160"/>
        <v>0</v>
      </c>
      <c r="BC399" s="377">
        <f t="shared" si="161"/>
        <v>0</v>
      </c>
      <c r="BD399" s="377">
        <f t="shared" si="162"/>
        <v>0</v>
      </c>
      <c r="BE399" s="377">
        <f t="shared" si="163"/>
        <v>0</v>
      </c>
      <c r="BF399" s="377">
        <f t="shared" si="164"/>
        <v>0</v>
      </c>
      <c r="BG399" s="328"/>
    </row>
    <row r="400" spans="2:59">
      <c r="B400" s="332">
        <v>385</v>
      </c>
      <c r="C400" s="350">
        <v>6797345.9534732047</v>
      </c>
      <c r="D400" s="350">
        <v>12718358.164183164</v>
      </c>
      <c r="E400" s="350">
        <v>18683915.832509194</v>
      </c>
      <c r="F400" s="350">
        <v>24694457.651521951</v>
      </c>
      <c r="G400" s="350">
        <v>30750955.275494173</v>
      </c>
      <c r="H400" s="348">
        <v>93645032.877181679</v>
      </c>
      <c r="I400" s="369"/>
      <c r="J400" s="350">
        <v>7844770.5043563498</v>
      </c>
      <c r="K400" s="350">
        <v>15810142.191366501</v>
      </c>
      <c r="L400" s="350">
        <v>23586371.782918602</v>
      </c>
      <c r="M400" s="350">
        <v>31167955.375072211</v>
      </c>
      <c r="N400" s="350">
        <v>38551419.7531901</v>
      </c>
      <c r="O400" s="348">
        <v>116960659.60690376</v>
      </c>
      <c r="P400" s="369"/>
      <c r="Q400" s="350">
        <f t="shared" si="165"/>
        <v>1047424.5508831451</v>
      </c>
      <c r="R400" s="350">
        <f t="shared" si="166"/>
        <v>3091784.0271833371</v>
      </c>
      <c r="S400" s="350">
        <f t="shared" si="167"/>
        <v>4902455.9504094087</v>
      </c>
      <c r="T400" s="350">
        <f t="shared" si="168"/>
        <v>6473497.7235502601</v>
      </c>
      <c r="U400" s="350">
        <f t="shared" si="169"/>
        <v>7800464.477695927</v>
      </c>
      <c r="V400" s="350">
        <f t="shared" si="170"/>
        <v>23315626.729722083</v>
      </c>
      <c r="W400" s="365"/>
      <c r="X400" s="377">
        <f t="shared" ref="X400:X463" si="172">IF(Q400&lt;Q$8,1,0)</f>
        <v>0</v>
      </c>
      <c r="Y400" s="377">
        <f t="shared" ref="Y400:Y463" si="173">IF(R400&lt;R$8,1,0)</f>
        <v>0</v>
      </c>
      <c r="Z400" s="377">
        <f t="shared" ref="Z400:Z463" si="174">IF(S400&lt;S$8,1,0)</f>
        <v>0</v>
      </c>
      <c r="AA400" s="377">
        <f t="shared" ref="AA400:AA463" si="175">IF(T400&lt;T$8,1,0)</f>
        <v>0</v>
      </c>
      <c r="AB400" s="377">
        <f t="shared" ref="AB400:AB463" si="176">IF(U400&lt;U$8,1,0)</f>
        <v>0</v>
      </c>
      <c r="AC400" s="377">
        <f t="shared" ref="AC400:AC463" si="177">IF(V400&lt;V$8,1,0)</f>
        <v>0</v>
      </c>
      <c r="AD400" s="376"/>
      <c r="AE400" s="332">
        <v>385</v>
      </c>
      <c r="AF400" s="350">
        <v>5768249.2743350202</v>
      </c>
      <c r="AG400" s="350">
        <v>11581797.605630435</v>
      </c>
      <c r="AH400" s="350">
        <v>17439343.181513567</v>
      </c>
      <c r="AI400" s="350">
        <v>23341080.221491676</v>
      </c>
      <c r="AJ400" s="350">
        <v>29287859.839040551</v>
      </c>
      <c r="AK400" s="348">
        <v>87418330.122011244</v>
      </c>
      <c r="AL400" s="369"/>
      <c r="AM400" s="350">
        <v>6793168.0945701906</v>
      </c>
      <c r="AN400" s="350">
        <v>14606985.230863143</v>
      </c>
      <c r="AO400" s="350">
        <v>22206857.294659764</v>
      </c>
      <c r="AP400" s="350">
        <v>29588168.47830369</v>
      </c>
      <c r="AQ400" s="350">
        <v>36748468.067194521</v>
      </c>
      <c r="AR400" s="348">
        <v>109943647.1655913</v>
      </c>
      <c r="AS400" s="369"/>
      <c r="AT400" s="350">
        <f t="shared" si="171"/>
        <v>1024918.8202351704</v>
      </c>
      <c r="AU400" s="350">
        <f t="shared" ref="AU400:AU463" si="178">AN400-AG400</f>
        <v>3025187.6252327077</v>
      </c>
      <c r="AV400" s="350">
        <f t="shared" ref="AV400:AV463" si="179">AO400-AH400</f>
        <v>4767514.1131461971</v>
      </c>
      <c r="AW400" s="350">
        <f t="shared" ref="AW400:AW463" si="180">AP400-AI400</f>
        <v>6247088.2568120137</v>
      </c>
      <c r="AX400" s="350">
        <f t="shared" ref="AX400:AX463" si="181">AQ400-AJ400</f>
        <v>7460608.2281539701</v>
      </c>
      <c r="AY400" s="350">
        <f t="shared" ref="AY400:AY463" si="182">AR400-AK400</f>
        <v>22525317.043580055</v>
      </c>
      <c r="AZ400" s="365"/>
      <c r="BA400" s="377">
        <f t="shared" ref="BA400:BA463" si="183">IF(AT400&lt;AT$8,1,0)</f>
        <v>0</v>
      </c>
      <c r="BB400" s="377">
        <f t="shared" ref="BB400:BB463" si="184">IF(AU400&lt;AU$8,1,0)</f>
        <v>0</v>
      </c>
      <c r="BC400" s="377">
        <f t="shared" ref="BC400:BC463" si="185">IF(AV400&lt;AV$8,1,0)</f>
        <v>0</v>
      </c>
      <c r="BD400" s="377">
        <f t="shared" ref="BD400:BD463" si="186">IF(AW400&lt;AW$8,1,0)</f>
        <v>0</v>
      </c>
      <c r="BE400" s="377">
        <f t="shared" ref="BE400:BE463" si="187">IF(AX400&lt;AX$8,1,0)</f>
        <v>0</v>
      </c>
      <c r="BF400" s="377">
        <f t="shared" ref="BF400:BF463" si="188">IF(AY400&lt;AY$8,1,0)</f>
        <v>0</v>
      </c>
      <c r="BG400" s="328"/>
    </row>
    <row r="401" spans="2:59">
      <c r="B401" s="332">
        <v>386</v>
      </c>
      <c r="C401" s="350">
        <v>4698424.6481235055</v>
      </c>
      <c r="D401" s="350">
        <v>8720176.4308124017</v>
      </c>
      <c r="E401" s="350">
        <v>12772161.593458634</v>
      </c>
      <c r="F401" s="350">
        <v>16854699.376860313</v>
      </c>
      <c r="G401" s="350">
        <v>20968459.014099605</v>
      </c>
      <c r="H401" s="348">
        <v>64013921.063354455</v>
      </c>
      <c r="I401" s="369"/>
      <c r="J401" s="350">
        <v>5543871.3911536513</v>
      </c>
      <c r="K401" s="350">
        <v>11217629.619326612</v>
      </c>
      <c r="L401" s="350">
        <v>16768342.786171962</v>
      </c>
      <c r="M401" s="350">
        <v>22192201.236481421</v>
      </c>
      <c r="N401" s="350">
        <v>27486934.044716045</v>
      </c>
      <c r="O401" s="348">
        <v>83208979.077849686</v>
      </c>
      <c r="P401" s="369"/>
      <c r="Q401" s="350">
        <f t="shared" ref="Q401:Q464" si="189">J401-C401</f>
        <v>845446.74303014576</v>
      </c>
      <c r="R401" s="350">
        <f t="shared" ref="R401:R464" si="190">K401-D401</f>
        <v>2497453.1885142103</v>
      </c>
      <c r="S401" s="350">
        <f t="shared" ref="S401:S464" si="191">L401-E401</f>
        <v>3996181.1927133277</v>
      </c>
      <c r="T401" s="350">
        <f t="shared" ref="T401:T464" si="192">M401-F401</f>
        <v>5337501.8596211076</v>
      </c>
      <c r="U401" s="350">
        <f t="shared" ref="U401:U464" si="193">N401-G401</f>
        <v>6518475.0306164399</v>
      </c>
      <c r="V401" s="350">
        <f t="shared" ref="V401:V464" si="194">O401-H401</f>
        <v>19195058.014495231</v>
      </c>
      <c r="W401" s="365"/>
      <c r="X401" s="377">
        <f t="shared" si="172"/>
        <v>0</v>
      </c>
      <c r="Y401" s="377">
        <f t="shared" si="173"/>
        <v>0</v>
      </c>
      <c r="Z401" s="377">
        <f t="shared" si="174"/>
        <v>0</v>
      </c>
      <c r="AA401" s="377">
        <f t="shared" si="175"/>
        <v>0</v>
      </c>
      <c r="AB401" s="377">
        <f t="shared" si="176"/>
        <v>0</v>
      </c>
      <c r="AC401" s="377">
        <f t="shared" si="177"/>
        <v>0</v>
      </c>
      <c r="AD401" s="376"/>
      <c r="AE401" s="332">
        <v>386</v>
      </c>
      <c r="AF401" s="350">
        <v>6857008.0923912395</v>
      </c>
      <c r="AG401" s="350">
        <v>13767865.452624831</v>
      </c>
      <c r="AH401" s="350">
        <v>20731024.55084385</v>
      </c>
      <c r="AI401" s="350">
        <v>27746716.265547063</v>
      </c>
      <c r="AJ401" s="350">
        <v>34815952.358139612</v>
      </c>
      <c r="AK401" s="348">
        <v>103918566.71954659</v>
      </c>
      <c r="AL401" s="369"/>
      <c r="AM401" s="350">
        <v>8258116.1858317014</v>
      </c>
      <c r="AN401" s="350">
        <v>17905998.095328622</v>
      </c>
      <c r="AO401" s="350">
        <v>27305025.721149385</v>
      </c>
      <c r="AP401" s="350">
        <v>36449660.336141363</v>
      </c>
      <c r="AQ401" s="350">
        <v>45337173.720826834</v>
      </c>
      <c r="AR401" s="348">
        <v>135255974.05927789</v>
      </c>
      <c r="AS401" s="369"/>
      <c r="AT401" s="350">
        <f t="shared" ref="AT401:AT464" si="195">AM401-AF401</f>
        <v>1401108.0934404619</v>
      </c>
      <c r="AU401" s="350">
        <f t="shared" si="178"/>
        <v>4138132.6427037902</v>
      </c>
      <c r="AV401" s="350">
        <f t="shared" si="179"/>
        <v>6574001.1703055352</v>
      </c>
      <c r="AW401" s="350">
        <f t="shared" si="180"/>
        <v>8702944.0705942996</v>
      </c>
      <c r="AX401" s="350">
        <f t="shared" si="181"/>
        <v>10521221.362687223</v>
      </c>
      <c r="AY401" s="350">
        <f t="shared" si="182"/>
        <v>31337407.339731306</v>
      </c>
      <c r="AZ401" s="365"/>
      <c r="BA401" s="377">
        <f t="shared" si="183"/>
        <v>0</v>
      </c>
      <c r="BB401" s="377">
        <f t="shared" si="184"/>
        <v>0</v>
      </c>
      <c r="BC401" s="377">
        <f t="shared" si="185"/>
        <v>0</v>
      </c>
      <c r="BD401" s="377">
        <f t="shared" si="186"/>
        <v>0</v>
      </c>
      <c r="BE401" s="377">
        <f t="shared" si="187"/>
        <v>0</v>
      </c>
      <c r="BF401" s="377">
        <f t="shared" si="188"/>
        <v>0</v>
      </c>
      <c r="BG401" s="328"/>
    </row>
    <row r="402" spans="2:59">
      <c r="B402" s="332">
        <v>387</v>
      </c>
      <c r="C402" s="350">
        <v>5916685.9204004407</v>
      </c>
      <c r="D402" s="350">
        <v>11151329.264808595</v>
      </c>
      <c r="E402" s="350">
        <v>16425380.958556307</v>
      </c>
      <c r="F402" s="350">
        <v>21739204.632891484</v>
      </c>
      <c r="G402" s="350">
        <v>27093648.77416607</v>
      </c>
      <c r="H402" s="348">
        <v>82326249.550822899</v>
      </c>
      <c r="I402" s="369"/>
      <c r="J402" s="350">
        <v>6761405.0227268012</v>
      </c>
      <c r="K402" s="350">
        <v>13643621.550522096</v>
      </c>
      <c r="L402" s="350">
        <v>20355532.609409168</v>
      </c>
      <c r="M402" s="350">
        <v>26892283.602292411</v>
      </c>
      <c r="N402" s="350">
        <v>33250724.390221376</v>
      </c>
      <c r="O402" s="348">
        <v>100903567.17517184</v>
      </c>
      <c r="P402" s="369"/>
      <c r="Q402" s="350">
        <f t="shared" si="189"/>
        <v>844719.10232636053</v>
      </c>
      <c r="R402" s="350">
        <f t="shared" si="190"/>
        <v>2492292.2857135013</v>
      </c>
      <c r="S402" s="350">
        <f t="shared" si="191"/>
        <v>3930151.6508528609</v>
      </c>
      <c r="T402" s="350">
        <f t="shared" si="192"/>
        <v>5153078.9694009274</v>
      </c>
      <c r="U402" s="350">
        <f t="shared" si="193"/>
        <v>6157075.616055306</v>
      </c>
      <c r="V402" s="350">
        <f t="shared" si="194"/>
        <v>18577317.624348938</v>
      </c>
      <c r="W402" s="365"/>
      <c r="X402" s="377">
        <f t="shared" si="172"/>
        <v>0</v>
      </c>
      <c r="Y402" s="377">
        <f t="shared" si="173"/>
        <v>0</v>
      </c>
      <c r="Z402" s="377">
        <f t="shared" si="174"/>
        <v>0</v>
      </c>
      <c r="AA402" s="377">
        <f t="shared" si="175"/>
        <v>0</v>
      </c>
      <c r="AB402" s="377">
        <f t="shared" si="176"/>
        <v>0</v>
      </c>
      <c r="AC402" s="377">
        <f t="shared" si="177"/>
        <v>0</v>
      </c>
      <c r="AD402" s="376"/>
      <c r="AE402" s="332">
        <v>387</v>
      </c>
      <c r="AF402" s="350">
        <v>9292044.0495415591</v>
      </c>
      <c r="AG402" s="350">
        <v>18657060.124503639</v>
      </c>
      <c r="AH402" s="350">
        <v>28092951.14181374</v>
      </c>
      <c r="AI402" s="350">
        <v>37600029.968709558</v>
      </c>
      <c r="AJ402" s="350">
        <v>47179667.659653544</v>
      </c>
      <c r="AK402" s="348">
        <v>140821752.94422203</v>
      </c>
      <c r="AL402" s="369"/>
      <c r="AM402" s="350">
        <v>10597510.269863438</v>
      </c>
      <c r="AN402" s="350">
        <v>22505459.467346288</v>
      </c>
      <c r="AO402" s="350">
        <v>34058415.669605568</v>
      </c>
      <c r="AP402" s="350">
        <v>45249041.03518828</v>
      </c>
      <c r="AQ402" s="350">
        <v>56073037.738332294</v>
      </c>
      <c r="AR402" s="348">
        <v>168483464.18033588</v>
      </c>
      <c r="AS402" s="369"/>
      <c r="AT402" s="350">
        <f t="shared" si="195"/>
        <v>1305466.2203218788</v>
      </c>
      <c r="AU402" s="350">
        <f t="shared" si="178"/>
        <v>3848399.3428426497</v>
      </c>
      <c r="AV402" s="350">
        <f t="shared" si="179"/>
        <v>5965464.5277918279</v>
      </c>
      <c r="AW402" s="350">
        <f t="shared" si="180"/>
        <v>7649011.0664787218</v>
      </c>
      <c r="AX402" s="350">
        <f t="shared" si="181"/>
        <v>8893370.0786787495</v>
      </c>
      <c r="AY402" s="350">
        <f t="shared" si="182"/>
        <v>27661711.236113846</v>
      </c>
      <c r="AZ402" s="365"/>
      <c r="BA402" s="377">
        <f t="shared" si="183"/>
        <v>0</v>
      </c>
      <c r="BB402" s="377">
        <f t="shared" si="184"/>
        <v>0</v>
      </c>
      <c r="BC402" s="377">
        <f t="shared" si="185"/>
        <v>0</v>
      </c>
      <c r="BD402" s="377">
        <f t="shared" si="186"/>
        <v>0</v>
      </c>
      <c r="BE402" s="377">
        <f t="shared" si="187"/>
        <v>0</v>
      </c>
      <c r="BF402" s="377">
        <f t="shared" si="188"/>
        <v>0</v>
      </c>
      <c r="BG402" s="328"/>
    </row>
    <row r="403" spans="2:59">
      <c r="B403" s="332">
        <v>388</v>
      </c>
      <c r="C403" s="350">
        <v>7709914.2902809437</v>
      </c>
      <c r="D403" s="350">
        <v>14415283.633439448</v>
      </c>
      <c r="E403" s="350">
        <v>21171095.89214164</v>
      </c>
      <c r="F403" s="350">
        <v>27977851.038886331</v>
      </c>
      <c r="G403" s="350">
        <v>34836650.820487559</v>
      </c>
      <c r="H403" s="348">
        <v>106110795.67523593</v>
      </c>
      <c r="I403" s="369"/>
      <c r="J403" s="350">
        <v>8940794.1774180532</v>
      </c>
      <c r="K403" s="350">
        <v>18049175.512547623</v>
      </c>
      <c r="L403" s="350">
        <v>26945477.653571546</v>
      </c>
      <c r="M403" s="350">
        <v>35623393.869766459</v>
      </c>
      <c r="N403" s="350">
        <v>44078971.482606426</v>
      </c>
      <c r="O403" s="348">
        <v>133637812.69591011</v>
      </c>
      <c r="P403" s="369"/>
      <c r="Q403" s="350">
        <f t="shared" si="189"/>
        <v>1230879.8871371094</v>
      </c>
      <c r="R403" s="350">
        <f t="shared" si="190"/>
        <v>3633891.8791081756</v>
      </c>
      <c r="S403" s="350">
        <f t="shared" si="191"/>
        <v>5774381.7614299059</v>
      </c>
      <c r="T403" s="350">
        <f t="shared" si="192"/>
        <v>7645542.8308801278</v>
      </c>
      <c r="U403" s="350">
        <f t="shared" si="193"/>
        <v>9242320.662118867</v>
      </c>
      <c r="V403" s="350">
        <f t="shared" si="194"/>
        <v>27527017.020674184</v>
      </c>
      <c r="W403" s="365"/>
      <c r="X403" s="377">
        <f t="shared" si="172"/>
        <v>0</v>
      </c>
      <c r="Y403" s="377">
        <f t="shared" si="173"/>
        <v>0</v>
      </c>
      <c r="Z403" s="377">
        <f t="shared" si="174"/>
        <v>0</v>
      </c>
      <c r="AA403" s="377">
        <f t="shared" si="175"/>
        <v>0</v>
      </c>
      <c r="AB403" s="377">
        <f t="shared" si="176"/>
        <v>0</v>
      </c>
      <c r="AC403" s="377">
        <f t="shared" si="177"/>
        <v>0</v>
      </c>
      <c r="AD403" s="376"/>
      <c r="AE403" s="332">
        <v>388</v>
      </c>
      <c r="AF403" s="350">
        <v>6582951.1401236169</v>
      </c>
      <c r="AG403" s="350">
        <v>13217599.331550261</v>
      </c>
      <c r="AH403" s="350">
        <v>19902458.895205513</v>
      </c>
      <c r="AI403" s="350">
        <v>26637751.4819692</v>
      </c>
      <c r="AJ403" s="350">
        <v>33424448.415749036</v>
      </c>
      <c r="AK403" s="348">
        <v>99765209.264597625</v>
      </c>
      <c r="AL403" s="369"/>
      <c r="AM403" s="350">
        <v>7637571.9491443969</v>
      </c>
      <c r="AN403" s="350">
        <v>16328837.578723077</v>
      </c>
      <c r="AO403" s="350">
        <v>24772494.764117081</v>
      </c>
      <c r="AP403" s="350">
        <v>32963308.307784423</v>
      </c>
      <c r="AQ403" s="350">
        <v>40898364.833298668</v>
      </c>
      <c r="AR403" s="348">
        <v>122600577.43306765</v>
      </c>
      <c r="AS403" s="369"/>
      <c r="AT403" s="350">
        <f t="shared" si="195"/>
        <v>1054620.80902078</v>
      </c>
      <c r="AU403" s="350">
        <f t="shared" si="178"/>
        <v>3111238.2471728157</v>
      </c>
      <c r="AV403" s="350">
        <f t="shared" si="179"/>
        <v>4870035.8689115681</v>
      </c>
      <c r="AW403" s="350">
        <f t="shared" si="180"/>
        <v>6325556.8258152232</v>
      </c>
      <c r="AX403" s="350">
        <f t="shared" si="181"/>
        <v>7473916.4175496325</v>
      </c>
      <c r="AY403" s="350">
        <f t="shared" si="182"/>
        <v>22835368.168470025</v>
      </c>
      <c r="AZ403" s="365"/>
      <c r="BA403" s="377">
        <f t="shared" si="183"/>
        <v>0</v>
      </c>
      <c r="BB403" s="377">
        <f t="shared" si="184"/>
        <v>0</v>
      </c>
      <c r="BC403" s="377">
        <f t="shared" si="185"/>
        <v>0</v>
      </c>
      <c r="BD403" s="377">
        <f t="shared" si="186"/>
        <v>0</v>
      </c>
      <c r="BE403" s="377">
        <f t="shared" si="187"/>
        <v>0</v>
      </c>
      <c r="BF403" s="377">
        <f t="shared" si="188"/>
        <v>0</v>
      </c>
      <c r="BG403" s="328"/>
    </row>
    <row r="404" spans="2:59">
      <c r="B404" s="332">
        <v>389</v>
      </c>
      <c r="C404" s="350">
        <v>5451253.6432046937</v>
      </c>
      <c r="D404" s="350">
        <v>10239814.339763025</v>
      </c>
      <c r="E404" s="350">
        <v>15064413.967426043</v>
      </c>
      <c r="F404" s="350">
        <v>19925395.294283852</v>
      </c>
      <c r="G404" s="350">
        <v>24823538.906066652</v>
      </c>
      <c r="H404" s="348">
        <v>75504416.150744274</v>
      </c>
      <c r="I404" s="369"/>
      <c r="J404" s="350">
        <v>6130167.8012159131</v>
      </c>
      <c r="K404" s="350">
        <v>12241478.114140246</v>
      </c>
      <c r="L404" s="350">
        <v>18195410.155954666</v>
      </c>
      <c r="M404" s="350">
        <v>23987511.752086274</v>
      </c>
      <c r="N404" s="350">
        <v>29614760.770938639</v>
      </c>
      <c r="O404" s="348">
        <v>90169328.594335735</v>
      </c>
      <c r="P404" s="369"/>
      <c r="Q404" s="350">
        <f t="shared" si="189"/>
        <v>678914.15801121946</v>
      </c>
      <c r="R404" s="350">
        <f t="shared" si="190"/>
        <v>2001663.7743772212</v>
      </c>
      <c r="S404" s="350">
        <f t="shared" si="191"/>
        <v>3130996.1885286234</v>
      </c>
      <c r="T404" s="350">
        <f t="shared" si="192"/>
        <v>4062116.4578024223</v>
      </c>
      <c r="U404" s="350">
        <f t="shared" si="193"/>
        <v>4791221.8648719862</v>
      </c>
      <c r="V404" s="350">
        <f t="shared" si="194"/>
        <v>14664912.443591461</v>
      </c>
      <c r="W404" s="365"/>
      <c r="X404" s="377">
        <f t="shared" si="172"/>
        <v>0</v>
      </c>
      <c r="Y404" s="377">
        <f t="shared" si="173"/>
        <v>0</v>
      </c>
      <c r="Z404" s="377">
        <f t="shared" si="174"/>
        <v>0</v>
      </c>
      <c r="AA404" s="377">
        <f t="shared" si="175"/>
        <v>0</v>
      </c>
      <c r="AB404" s="377">
        <f t="shared" si="176"/>
        <v>0</v>
      </c>
      <c r="AC404" s="377">
        <f t="shared" si="177"/>
        <v>0</v>
      </c>
      <c r="AD404" s="376"/>
      <c r="AE404" s="332">
        <v>389</v>
      </c>
      <c r="AF404" s="350">
        <v>6103185.524537649</v>
      </c>
      <c r="AG404" s="350">
        <v>12254300.418207452</v>
      </c>
      <c r="AH404" s="350">
        <v>18451967.278256733</v>
      </c>
      <c r="AI404" s="350">
        <v>24696391.601644609</v>
      </c>
      <c r="AJ404" s="350">
        <v>30988473.92217226</v>
      </c>
      <c r="AK404" s="348">
        <v>92494318.744818702</v>
      </c>
      <c r="AL404" s="369"/>
      <c r="AM404" s="350">
        <v>7546065.1523517519</v>
      </c>
      <c r="AN404" s="350">
        <v>16518199.721868766</v>
      </c>
      <c r="AO404" s="350">
        <v>25274702.03461881</v>
      </c>
      <c r="AP404" s="350">
        <v>33810586.881287962</v>
      </c>
      <c r="AQ404" s="350">
        <v>42123624.269504786</v>
      </c>
      <c r="AR404" s="348">
        <v>125273178.05963208</v>
      </c>
      <c r="AS404" s="369"/>
      <c r="AT404" s="350">
        <f t="shared" si="195"/>
        <v>1442879.6278141029</v>
      </c>
      <c r="AU404" s="350">
        <f t="shared" si="178"/>
        <v>4263899.3036613148</v>
      </c>
      <c r="AV404" s="350">
        <f t="shared" si="179"/>
        <v>6822734.7563620768</v>
      </c>
      <c r="AW404" s="350">
        <f t="shared" si="180"/>
        <v>9114195.2796433531</v>
      </c>
      <c r="AX404" s="350">
        <f t="shared" si="181"/>
        <v>11135150.347332526</v>
      </c>
      <c r="AY404" s="350">
        <f t="shared" si="182"/>
        <v>32778859.314813375</v>
      </c>
      <c r="AZ404" s="365"/>
      <c r="BA404" s="377">
        <f t="shared" si="183"/>
        <v>0</v>
      </c>
      <c r="BB404" s="377">
        <f t="shared" si="184"/>
        <v>0</v>
      </c>
      <c r="BC404" s="377">
        <f t="shared" si="185"/>
        <v>0</v>
      </c>
      <c r="BD404" s="377">
        <f t="shared" si="186"/>
        <v>0</v>
      </c>
      <c r="BE404" s="377">
        <f t="shared" si="187"/>
        <v>0</v>
      </c>
      <c r="BF404" s="377">
        <f t="shared" si="188"/>
        <v>0</v>
      </c>
      <c r="BG404" s="328"/>
    </row>
    <row r="405" spans="2:59">
      <c r="B405" s="332">
        <v>390</v>
      </c>
      <c r="C405" s="350">
        <v>6598147.9441483654</v>
      </c>
      <c r="D405" s="350">
        <v>12418632.294797171</v>
      </c>
      <c r="E405" s="350">
        <v>18282929.881609067</v>
      </c>
      <c r="F405" s="350">
        <v>24191450.069062158</v>
      </c>
      <c r="G405" s="350">
        <v>30145138.494415946</v>
      </c>
      <c r="H405" s="348">
        <v>91636298.684032708</v>
      </c>
      <c r="I405" s="369"/>
      <c r="J405" s="350">
        <v>7942131.2075094664</v>
      </c>
      <c r="K405" s="350">
        <v>16390155.407022111</v>
      </c>
      <c r="L405" s="350">
        <v>24664013.374063771</v>
      </c>
      <c r="M405" s="350">
        <v>32758077.930887576</v>
      </c>
      <c r="N405" s="350">
        <v>40669133.90682441</v>
      </c>
      <c r="O405" s="348">
        <v>122423511.82630734</v>
      </c>
      <c r="P405" s="369"/>
      <c r="Q405" s="350">
        <f t="shared" si="189"/>
        <v>1343983.263361101</v>
      </c>
      <c r="R405" s="350">
        <f t="shared" si="190"/>
        <v>3971523.1122249402</v>
      </c>
      <c r="S405" s="350">
        <f t="shared" si="191"/>
        <v>6381083.4924547039</v>
      </c>
      <c r="T405" s="350">
        <f t="shared" si="192"/>
        <v>8566627.8618254177</v>
      </c>
      <c r="U405" s="350">
        <f t="shared" si="193"/>
        <v>10523995.412408464</v>
      </c>
      <c r="V405" s="350">
        <f t="shared" si="194"/>
        <v>30787213.142274633</v>
      </c>
      <c r="W405" s="365"/>
      <c r="X405" s="377">
        <f t="shared" si="172"/>
        <v>0</v>
      </c>
      <c r="Y405" s="377">
        <f t="shared" si="173"/>
        <v>0</v>
      </c>
      <c r="Z405" s="377">
        <f t="shared" si="174"/>
        <v>0</v>
      </c>
      <c r="AA405" s="377">
        <f t="shared" si="175"/>
        <v>0</v>
      </c>
      <c r="AB405" s="377">
        <f t="shared" si="176"/>
        <v>0</v>
      </c>
      <c r="AC405" s="377">
        <f t="shared" si="177"/>
        <v>0</v>
      </c>
      <c r="AD405" s="376"/>
      <c r="AE405" s="332">
        <v>390</v>
      </c>
      <c r="AF405" s="350">
        <v>7300527.2830395782</v>
      </c>
      <c r="AG405" s="350">
        <v>14658386.866662413</v>
      </c>
      <c r="AH405" s="350">
        <v>22071931.12499588</v>
      </c>
      <c r="AI405" s="350">
        <v>29541405.87002629</v>
      </c>
      <c r="AJ405" s="350">
        <v>37067888.305053197</v>
      </c>
      <c r="AK405" s="348">
        <v>110640139.44977736</v>
      </c>
      <c r="AL405" s="369"/>
      <c r="AM405" s="350">
        <v>8413708.5990710482</v>
      </c>
      <c r="AN405" s="350">
        <v>17941504.440693799</v>
      </c>
      <c r="AO405" s="350">
        <v>27193012.062876195</v>
      </c>
      <c r="AP405" s="350">
        <v>36162441.555772111</v>
      </c>
      <c r="AQ405" s="350">
        <v>44846504.851025641</v>
      </c>
      <c r="AR405" s="348">
        <v>134557171.50943881</v>
      </c>
      <c r="AS405" s="369"/>
      <c r="AT405" s="350">
        <f t="shared" si="195"/>
        <v>1113181.31603147</v>
      </c>
      <c r="AU405" s="350">
        <f t="shared" si="178"/>
        <v>3283117.5740313865</v>
      </c>
      <c r="AV405" s="350">
        <f t="shared" si="179"/>
        <v>5121080.9378803149</v>
      </c>
      <c r="AW405" s="350">
        <f t="shared" si="180"/>
        <v>6621035.6857458204</v>
      </c>
      <c r="AX405" s="350">
        <f t="shared" si="181"/>
        <v>7778616.5459724441</v>
      </c>
      <c r="AY405" s="350">
        <f t="shared" si="182"/>
        <v>23917032.059661448</v>
      </c>
      <c r="AZ405" s="365"/>
      <c r="BA405" s="377">
        <f t="shared" si="183"/>
        <v>0</v>
      </c>
      <c r="BB405" s="377">
        <f t="shared" si="184"/>
        <v>0</v>
      </c>
      <c r="BC405" s="377">
        <f t="shared" si="185"/>
        <v>0</v>
      </c>
      <c r="BD405" s="377">
        <f t="shared" si="186"/>
        <v>0</v>
      </c>
      <c r="BE405" s="377">
        <f t="shared" si="187"/>
        <v>0</v>
      </c>
      <c r="BF405" s="377">
        <f t="shared" si="188"/>
        <v>0</v>
      </c>
      <c r="BG405" s="328"/>
    </row>
    <row r="406" spans="2:59">
      <c r="B406" s="332">
        <v>391</v>
      </c>
      <c r="C406" s="350">
        <v>7157787.7730552014</v>
      </c>
      <c r="D406" s="350">
        <v>13277213.625857117</v>
      </c>
      <c r="E406" s="350">
        <v>19442639.536936384</v>
      </c>
      <c r="F406" s="350">
        <v>25654553.541899104</v>
      </c>
      <c r="G406" s="350">
        <v>31913974.927858409</v>
      </c>
      <c r="H406" s="348">
        <v>97446169.40560621</v>
      </c>
      <c r="I406" s="369"/>
      <c r="J406" s="350">
        <v>7986970.8444916485</v>
      </c>
      <c r="K406" s="350">
        <v>15721271.732356783</v>
      </c>
      <c r="L406" s="350">
        <v>23253102.39065437</v>
      </c>
      <c r="M406" s="350">
        <v>30576858.192845054</v>
      </c>
      <c r="N406" s="350">
        <v>37688684.512629688</v>
      </c>
      <c r="O406" s="348">
        <v>115226887.67297754</v>
      </c>
      <c r="P406" s="369"/>
      <c r="Q406" s="350">
        <f t="shared" si="189"/>
        <v>829183.07143644709</v>
      </c>
      <c r="R406" s="350">
        <f t="shared" si="190"/>
        <v>2444058.1064996663</v>
      </c>
      <c r="S406" s="350">
        <f t="shared" si="191"/>
        <v>3810462.8537179865</v>
      </c>
      <c r="T406" s="350">
        <f t="shared" si="192"/>
        <v>4922304.6509459503</v>
      </c>
      <c r="U406" s="350">
        <f t="shared" si="193"/>
        <v>5774709.5847712792</v>
      </c>
      <c r="V406" s="350">
        <f t="shared" si="194"/>
        <v>17780718.267371327</v>
      </c>
      <c r="W406" s="365"/>
      <c r="X406" s="377">
        <f t="shared" si="172"/>
        <v>0</v>
      </c>
      <c r="Y406" s="377">
        <f t="shared" si="173"/>
        <v>0</v>
      </c>
      <c r="Z406" s="377">
        <f t="shared" si="174"/>
        <v>0</v>
      </c>
      <c r="AA406" s="377">
        <f t="shared" si="175"/>
        <v>0</v>
      </c>
      <c r="AB406" s="377">
        <f t="shared" si="176"/>
        <v>0</v>
      </c>
      <c r="AC406" s="377">
        <f t="shared" si="177"/>
        <v>0</v>
      </c>
      <c r="AD406" s="376"/>
      <c r="AE406" s="332">
        <v>391</v>
      </c>
      <c r="AF406" s="350">
        <v>4993416.8387295371</v>
      </c>
      <c r="AG406" s="350">
        <v>10026047.841592208</v>
      </c>
      <c r="AH406" s="350">
        <v>15096766.064949928</v>
      </c>
      <c r="AI406" s="350">
        <v>20205739.639358751</v>
      </c>
      <c r="AJ406" s="350">
        <v>25353705.350654304</v>
      </c>
      <c r="AK406" s="348">
        <v>75675675.735284731</v>
      </c>
      <c r="AL406" s="369"/>
      <c r="AM406" s="350">
        <v>6271095.8086608015</v>
      </c>
      <c r="AN406" s="350">
        <v>13802784.927664619</v>
      </c>
      <c r="AO406" s="350">
        <v>21160961.242525842</v>
      </c>
      <c r="AP406" s="350">
        <v>28341518.54445798</v>
      </c>
      <c r="AQ406" s="350">
        <v>35342730.735030636</v>
      </c>
      <c r="AR406" s="348">
        <v>104919091.25833987</v>
      </c>
      <c r="AS406" s="369"/>
      <c r="AT406" s="350">
        <f t="shared" si="195"/>
        <v>1277678.9699312644</v>
      </c>
      <c r="AU406" s="350">
        <f t="shared" si="178"/>
        <v>3776737.0860724114</v>
      </c>
      <c r="AV406" s="350">
        <f t="shared" si="179"/>
        <v>6064195.1775759142</v>
      </c>
      <c r="AW406" s="350">
        <f t="shared" si="180"/>
        <v>8135778.905099228</v>
      </c>
      <c r="AX406" s="350">
        <f t="shared" si="181"/>
        <v>9989025.3843763322</v>
      </c>
      <c r="AY406" s="350">
        <f t="shared" si="182"/>
        <v>29243415.523055136</v>
      </c>
      <c r="AZ406" s="365"/>
      <c r="BA406" s="377">
        <f t="shared" si="183"/>
        <v>0</v>
      </c>
      <c r="BB406" s="377">
        <f t="shared" si="184"/>
        <v>0</v>
      </c>
      <c r="BC406" s="377">
        <f t="shared" si="185"/>
        <v>0</v>
      </c>
      <c r="BD406" s="377">
        <f t="shared" si="186"/>
        <v>0</v>
      </c>
      <c r="BE406" s="377">
        <f t="shared" si="187"/>
        <v>0</v>
      </c>
      <c r="BF406" s="377">
        <f t="shared" si="188"/>
        <v>0</v>
      </c>
      <c r="BG406" s="328"/>
    </row>
    <row r="407" spans="2:59">
      <c r="B407" s="332">
        <v>392</v>
      </c>
      <c r="C407" s="350">
        <v>7179589.8106157258</v>
      </c>
      <c r="D407" s="350">
        <v>13455031.086809555</v>
      </c>
      <c r="E407" s="350">
        <v>19777691.372329634</v>
      </c>
      <c r="F407" s="350">
        <v>26148029.185442027</v>
      </c>
      <c r="G407" s="350">
        <v>32567071.543441102</v>
      </c>
      <c r="H407" s="348">
        <v>99127412.998638049</v>
      </c>
      <c r="I407" s="369"/>
      <c r="J407" s="350">
        <v>8186368.2200778648</v>
      </c>
      <c r="K407" s="350">
        <v>16425388.434120946</v>
      </c>
      <c r="L407" s="350">
        <v>24457828.620323263</v>
      </c>
      <c r="M407" s="350">
        <v>32277989.737249576</v>
      </c>
      <c r="N407" s="350">
        <v>39882199.268531725</v>
      </c>
      <c r="O407" s="348">
        <v>121229774.28030337</v>
      </c>
      <c r="P407" s="369"/>
      <c r="Q407" s="350">
        <f t="shared" si="189"/>
        <v>1006778.409462139</v>
      </c>
      <c r="R407" s="350">
        <f t="shared" si="190"/>
        <v>2970357.3473113906</v>
      </c>
      <c r="S407" s="350">
        <f t="shared" si="191"/>
        <v>4680137.2479936294</v>
      </c>
      <c r="T407" s="350">
        <f t="shared" si="192"/>
        <v>6129960.5518075489</v>
      </c>
      <c r="U407" s="350">
        <f t="shared" si="193"/>
        <v>7315127.7250906229</v>
      </c>
      <c r="V407" s="350">
        <f t="shared" si="194"/>
        <v>22102361.281665325</v>
      </c>
      <c r="W407" s="365"/>
      <c r="X407" s="377">
        <f t="shared" si="172"/>
        <v>0</v>
      </c>
      <c r="Y407" s="377">
        <f t="shared" si="173"/>
        <v>0</v>
      </c>
      <c r="Z407" s="377">
        <f t="shared" si="174"/>
        <v>0</v>
      </c>
      <c r="AA407" s="377">
        <f t="shared" si="175"/>
        <v>0</v>
      </c>
      <c r="AB407" s="377">
        <f t="shared" si="176"/>
        <v>0</v>
      </c>
      <c r="AC407" s="377">
        <f t="shared" si="177"/>
        <v>0</v>
      </c>
      <c r="AD407" s="376"/>
      <c r="AE407" s="332">
        <v>392</v>
      </c>
      <c r="AF407" s="350">
        <v>5203004.9779984979</v>
      </c>
      <c r="AG407" s="350">
        <v>10446870.051955789</v>
      </c>
      <c r="AH407" s="350">
        <v>15730420.977151627</v>
      </c>
      <c r="AI407" s="350">
        <v>21053832.941067524</v>
      </c>
      <c r="AJ407" s="350">
        <v>26417873.65457046</v>
      </c>
      <c r="AK407" s="348">
        <v>78852002.602743894</v>
      </c>
      <c r="AL407" s="369"/>
      <c r="AM407" s="350">
        <v>6239560.6560561806</v>
      </c>
      <c r="AN407" s="350">
        <v>13507982.291010983</v>
      </c>
      <c r="AO407" s="350">
        <v>20586780.39730408</v>
      </c>
      <c r="AP407" s="350">
        <v>27471759.783261076</v>
      </c>
      <c r="AQ407" s="350">
        <v>34160823.387273356</v>
      </c>
      <c r="AR407" s="348">
        <v>101966906.51490568</v>
      </c>
      <c r="AS407" s="369"/>
      <c r="AT407" s="350">
        <f t="shared" si="195"/>
        <v>1036555.6780576827</v>
      </c>
      <c r="AU407" s="350">
        <f t="shared" si="178"/>
        <v>3061112.239055194</v>
      </c>
      <c r="AV407" s="350">
        <f t="shared" si="179"/>
        <v>4856359.4201524537</v>
      </c>
      <c r="AW407" s="350">
        <f t="shared" si="180"/>
        <v>6417926.8421935514</v>
      </c>
      <c r="AX407" s="350">
        <f t="shared" si="181"/>
        <v>7742949.732702896</v>
      </c>
      <c r="AY407" s="350">
        <f t="shared" si="182"/>
        <v>23114903.912161782</v>
      </c>
      <c r="AZ407" s="365"/>
      <c r="BA407" s="377">
        <f t="shared" si="183"/>
        <v>0</v>
      </c>
      <c r="BB407" s="377">
        <f t="shared" si="184"/>
        <v>0</v>
      </c>
      <c r="BC407" s="377">
        <f t="shared" si="185"/>
        <v>0</v>
      </c>
      <c r="BD407" s="377">
        <f t="shared" si="186"/>
        <v>0</v>
      </c>
      <c r="BE407" s="377">
        <f t="shared" si="187"/>
        <v>0</v>
      </c>
      <c r="BF407" s="377">
        <f t="shared" si="188"/>
        <v>0</v>
      </c>
      <c r="BG407" s="328"/>
    </row>
    <row r="408" spans="2:59">
      <c r="B408" s="332">
        <v>393</v>
      </c>
      <c r="C408" s="350">
        <v>9162515.9145334158</v>
      </c>
      <c r="D408" s="350">
        <v>17103815.62279246</v>
      </c>
      <c r="E408" s="350">
        <v>25104846.804056175</v>
      </c>
      <c r="F408" s="350">
        <v>33166209.814724177</v>
      </c>
      <c r="G408" s="350">
        <v>41289213.055555299</v>
      </c>
      <c r="H408" s="348">
        <v>125826601.21166153</v>
      </c>
      <c r="I408" s="369"/>
      <c r="J408" s="350">
        <v>10541767.199373854</v>
      </c>
      <c r="K408" s="350">
        <v>21174691.503043462</v>
      </c>
      <c r="L408" s="350">
        <v>31556054.262602661</v>
      </c>
      <c r="M408" s="350">
        <v>41678343.813889325</v>
      </c>
      <c r="N408" s="350">
        <v>51536727.127278656</v>
      </c>
      <c r="O408" s="348">
        <v>156487583.90618795</v>
      </c>
      <c r="P408" s="369"/>
      <c r="Q408" s="350">
        <f t="shared" si="189"/>
        <v>1379251.2848404385</v>
      </c>
      <c r="R408" s="350">
        <f t="shared" si="190"/>
        <v>4070875.8802510016</v>
      </c>
      <c r="S408" s="350">
        <f t="shared" si="191"/>
        <v>6451207.4585464858</v>
      </c>
      <c r="T408" s="350">
        <f t="shared" si="192"/>
        <v>8512133.9991651475</v>
      </c>
      <c r="U408" s="350">
        <f t="shared" si="193"/>
        <v>10247514.071723357</v>
      </c>
      <c r="V408" s="350">
        <f t="shared" si="194"/>
        <v>30660982.694526419</v>
      </c>
      <c r="W408" s="365"/>
      <c r="X408" s="377">
        <f t="shared" si="172"/>
        <v>0</v>
      </c>
      <c r="Y408" s="377">
        <f t="shared" si="173"/>
        <v>0</v>
      </c>
      <c r="Z408" s="377">
        <f t="shared" si="174"/>
        <v>0</v>
      </c>
      <c r="AA408" s="377">
        <f t="shared" si="175"/>
        <v>0</v>
      </c>
      <c r="AB408" s="377">
        <f t="shared" si="176"/>
        <v>0</v>
      </c>
      <c r="AC408" s="377">
        <f t="shared" si="177"/>
        <v>0</v>
      </c>
      <c r="AD408" s="376"/>
      <c r="AE408" s="332">
        <v>393</v>
      </c>
      <c r="AF408" s="350">
        <v>5959969.4194011567</v>
      </c>
      <c r="AG408" s="350">
        <v>11966743.507146468</v>
      </c>
      <c r="AH408" s="350">
        <v>18018977.18233496</v>
      </c>
      <c r="AI408" s="350">
        <v>24116871.119776078</v>
      </c>
      <c r="AJ408" s="350">
        <v>30261304.721528724</v>
      </c>
      <c r="AK408" s="348">
        <v>90323865.950187385</v>
      </c>
      <c r="AL408" s="369"/>
      <c r="AM408" s="350">
        <v>7075309.6847287025</v>
      </c>
      <c r="AN408" s="350">
        <v>15259615.285463143</v>
      </c>
      <c r="AO408" s="350">
        <v>23224552.772045229</v>
      </c>
      <c r="AP408" s="350">
        <v>30965336.980957635</v>
      </c>
      <c r="AQ408" s="350">
        <v>38479492.818325691</v>
      </c>
      <c r="AR408" s="348">
        <v>115004307.54152042</v>
      </c>
      <c r="AS408" s="369"/>
      <c r="AT408" s="350">
        <f t="shared" si="195"/>
        <v>1115340.2653275458</v>
      </c>
      <c r="AU408" s="350">
        <f t="shared" si="178"/>
        <v>3292871.7783166748</v>
      </c>
      <c r="AV408" s="350">
        <f t="shared" si="179"/>
        <v>5205575.5897102691</v>
      </c>
      <c r="AW408" s="350">
        <f t="shared" si="180"/>
        <v>6848465.8611815572</v>
      </c>
      <c r="AX408" s="350">
        <f t="shared" si="181"/>
        <v>8218188.0967969671</v>
      </c>
      <c r="AY408" s="350">
        <f t="shared" si="182"/>
        <v>24680441.591333032</v>
      </c>
      <c r="AZ408" s="365"/>
      <c r="BA408" s="377">
        <f t="shared" si="183"/>
        <v>0</v>
      </c>
      <c r="BB408" s="377">
        <f t="shared" si="184"/>
        <v>0</v>
      </c>
      <c r="BC408" s="377">
        <f t="shared" si="185"/>
        <v>0</v>
      </c>
      <c r="BD408" s="377">
        <f t="shared" si="186"/>
        <v>0</v>
      </c>
      <c r="BE408" s="377">
        <f t="shared" si="187"/>
        <v>0</v>
      </c>
      <c r="BF408" s="377">
        <f t="shared" si="188"/>
        <v>0</v>
      </c>
      <c r="BG408" s="328"/>
    </row>
    <row r="409" spans="2:59">
      <c r="B409" s="332">
        <v>394</v>
      </c>
      <c r="C409" s="350">
        <v>11220109.395551741</v>
      </c>
      <c r="D409" s="350">
        <v>21185731.652132094</v>
      </c>
      <c r="E409" s="350">
        <v>31226391.469677046</v>
      </c>
      <c r="F409" s="350">
        <v>41342769.640225336</v>
      </c>
      <c r="G409" s="350">
        <v>51536476.501097478</v>
      </c>
      <c r="H409" s="348">
        <v>156511478.65868369</v>
      </c>
      <c r="I409" s="369"/>
      <c r="J409" s="350">
        <v>12807378.917209025</v>
      </c>
      <c r="K409" s="350">
        <v>25868538.906435467</v>
      </c>
      <c r="L409" s="350">
        <v>38598219.228833422</v>
      </c>
      <c r="M409" s="350">
        <v>50987422.42257838</v>
      </c>
      <c r="N409" s="350">
        <v>63030385.410958737</v>
      </c>
      <c r="O409" s="348">
        <v>191291944.88601503</v>
      </c>
      <c r="P409" s="369"/>
      <c r="Q409" s="350">
        <f t="shared" si="189"/>
        <v>1587269.5216572843</v>
      </c>
      <c r="R409" s="350">
        <f t="shared" si="190"/>
        <v>4682807.2543033734</v>
      </c>
      <c r="S409" s="350">
        <f t="shared" si="191"/>
        <v>7371827.7591563761</v>
      </c>
      <c r="T409" s="350">
        <f t="shared" si="192"/>
        <v>9644652.7823530436</v>
      </c>
      <c r="U409" s="350">
        <f t="shared" si="193"/>
        <v>11493908.909861259</v>
      </c>
      <c r="V409" s="350">
        <f t="shared" si="194"/>
        <v>34780466.22733134</v>
      </c>
      <c r="W409" s="365"/>
      <c r="X409" s="377">
        <f t="shared" si="172"/>
        <v>0</v>
      </c>
      <c r="Y409" s="377">
        <f t="shared" si="173"/>
        <v>0</v>
      </c>
      <c r="Z409" s="377">
        <f t="shared" si="174"/>
        <v>0</v>
      </c>
      <c r="AA409" s="377">
        <f t="shared" si="175"/>
        <v>0</v>
      </c>
      <c r="AB409" s="377">
        <f t="shared" si="176"/>
        <v>0</v>
      </c>
      <c r="AC409" s="377">
        <f t="shared" si="177"/>
        <v>0</v>
      </c>
      <c r="AD409" s="376"/>
      <c r="AE409" s="332">
        <v>394</v>
      </c>
      <c r="AF409" s="350">
        <v>4953732.032889301</v>
      </c>
      <c r="AG409" s="350">
        <v>9946366.578283187</v>
      </c>
      <c r="AH409" s="350">
        <v>14976785.648843624</v>
      </c>
      <c r="AI409" s="350">
        <v>20045156.03892168</v>
      </c>
      <c r="AJ409" s="350">
        <v>25152208.678802807</v>
      </c>
      <c r="AK409" s="348">
        <v>75074248.977740601</v>
      </c>
      <c r="AL409" s="369"/>
      <c r="AM409" s="350">
        <v>5977321.1928591058</v>
      </c>
      <c r="AN409" s="350">
        <v>12969647.114733646</v>
      </c>
      <c r="AO409" s="350">
        <v>19782533.265740942</v>
      </c>
      <c r="AP409" s="350">
        <v>26411975.064903505</v>
      </c>
      <c r="AQ409" s="350">
        <v>32856013.082300991</v>
      </c>
      <c r="AR409" s="348">
        <v>97997489.720538199</v>
      </c>
      <c r="AS409" s="369"/>
      <c r="AT409" s="350">
        <f t="shared" si="195"/>
        <v>1023589.1599698048</v>
      </c>
      <c r="AU409" s="350">
        <f t="shared" si="178"/>
        <v>3023280.5364504587</v>
      </c>
      <c r="AV409" s="350">
        <f t="shared" si="179"/>
        <v>4805747.6168973185</v>
      </c>
      <c r="AW409" s="350">
        <f t="shared" si="180"/>
        <v>6366819.0259818248</v>
      </c>
      <c r="AX409" s="350">
        <f t="shared" si="181"/>
        <v>7703804.4034981839</v>
      </c>
      <c r="AY409" s="350">
        <f t="shared" si="182"/>
        <v>22923240.742797598</v>
      </c>
      <c r="AZ409" s="365"/>
      <c r="BA409" s="377">
        <f t="shared" si="183"/>
        <v>0</v>
      </c>
      <c r="BB409" s="377">
        <f t="shared" si="184"/>
        <v>0</v>
      </c>
      <c r="BC409" s="377">
        <f t="shared" si="185"/>
        <v>0</v>
      </c>
      <c r="BD409" s="377">
        <f t="shared" si="186"/>
        <v>0</v>
      </c>
      <c r="BE409" s="377">
        <f t="shared" si="187"/>
        <v>0</v>
      </c>
      <c r="BF409" s="377">
        <f t="shared" si="188"/>
        <v>0</v>
      </c>
      <c r="BG409" s="328"/>
    </row>
    <row r="410" spans="2:59">
      <c r="B410" s="332">
        <v>395</v>
      </c>
      <c r="C410" s="350">
        <v>9319202.2717048768</v>
      </c>
      <c r="D410" s="350">
        <v>17516295.36817041</v>
      </c>
      <c r="E410" s="350">
        <v>25775083.702151328</v>
      </c>
      <c r="F410" s="350">
        <v>34096150.816392541</v>
      </c>
      <c r="G410" s="350">
        <v>42480831.526496865</v>
      </c>
      <c r="H410" s="348">
        <v>129187563.68491602</v>
      </c>
      <c r="I410" s="369"/>
      <c r="J410" s="350">
        <v>10662699.347274516</v>
      </c>
      <c r="K410" s="350">
        <v>21480517.723144718</v>
      </c>
      <c r="L410" s="350">
        <v>32033860.719406251</v>
      </c>
      <c r="M410" s="350">
        <v>42315070.501904048</v>
      </c>
      <c r="N410" s="350">
        <v>52319174.684018523</v>
      </c>
      <c r="O410" s="348">
        <v>158811322.97574806</v>
      </c>
      <c r="P410" s="369"/>
      <c r="Q410" s="350">
        <f t="shared" si="189"/>
        <v>1343497.075569639</v>
      </c>
      <c r="R410" s="350">
        <f t="shared" si="190"/>
        <v>3964222.3549743071</v>
      </c>
      <c r="S410" s="350">
        <f t="shared" si="191"/>
        <v>6258777.0172549225</v>
      </c>
      <c r="T410" s="350">
        <f t="shared" si="192"/>
        <v>8218919.6855115071</v>
      </c>
      <c r="U410" s="350">
        <f t="shared" si="193"/>
        <v>9838343.1575216576</v>
      </c>
      <c r="V410" s="350">
        <f t="shared" si="194"/>
        <v>29623759.290832043</v>
      </c>
      <c r="W410" s="365"/>
      <c r="X410" s="377">
        <f t="shared" si="172"/>
        <v>0</v>
      </c>
      <c r="Y410" s="377">
        <f t="shared" si="173"/>
        <v>0</v>
      </c>
      <c r="Z410" s="377">
        <f t="shared" si="174"/>
        <v>0</v>
      </c>
      <c r="AA410" s="377">
        <f t="shared" si="175"/>
        <v>0</v>
      </c>
      <c r="AB410" s="377">
        <f t="shared" si="176"/>
        <v>0</v>
      </c>
      <c r="AC410" s="377">
        <f t="shared" si="177"/>
        <v>0</v>
      </c>
      <c r="AD410" s="376"/>
      <c r="AE410" s="332">
        <v>395</v>
      </c>
      <c r="AF410" s="350">
        <v>6379303.716654256</v>
      </c>
      <c r="AG410" s="350">
        <v>12808705.206252227</v>
      </c>
      <c r="AH410" s="350">
        <v>19286764.75006602</v>
      </c>
      <c r="AI410" s="350">
        <v>25813697.142076544</v>
      </c>
      <c r="AJ410" s="350">
        <v>32390443.657721315</v>
      </c>
      <c r="AK410" s="348">
        <v>96678914.472770363</v>
      </c>
      <c r="AL410" s="369"/>
      <c r="AM410" s="350">
        <v>7471377.41678329</v>
      </c>
      <c r="AN410" s="350">
        <v>16031526.848787066</v>
      </c>
      <c r="AO410" s="350">
        <v>24353826.61205969</v>
      </c>
      <c r="AP410" s="350">
        <v>32433183.642226726</v>
      </c>
      <c r="AQ410" s="350">
        <v>40266845.66264382</v>
      </c>
      <c r="AR410" s="348">
        <v>120556760.1825006</v>
      </c>
      <c r="AS410" s="369"/>
      <c r="AT410" s="350">
        <f t="shared" si="195"/>
        <v>1092073.700129034</v>
      </c>
      <c r="AU410" s="350">
        <f t="shared" si="178"/>
        <v>3222821.642534839</v>
      </c>
      <c r="AV410" s="350">
        <f t="shared" si="179"/>
        <v>5067061.8619936705</v>
      </c>
      <c r="AW410" s="350">
        <f t="shared" si="180"/>
        <v>6619486.5001501814</v>
      </c>
      <c r="AX410" s="350">
        <f t="shared" si="181"/>
        <v>7876402.0049225055</v>
      </c>
      <c r="AY410" s="350">
        <f t="shared" si="182"/>
        <v>23877845.709730238</v>
      </c>
      <c r="AZ410" s="365"/>
      <c r="BA410" s="377">
        <f t="shared" si="183"/>
        <v>0</v>
      </c>
      <c r="BB410" s="377">
        <f t="shared" si="184"/>
        <v>0</v>
      </c>
      <c r="BC410" s="377">
        <f t="shared" si="185"/>
        <v>0</v>
      </c>
      <c r="BD410" s="377">
        <f t="shared" si="186"/>
        <v>0</v>
      </c>
      <c r="BE410" s="377">
        <f t="shared" si="187"/>
        <v>0</v>
      </c>
      <c r="BF410" s="377">
        <f t="shared" si="188"/>
        <v>0</v>
      </c>
      <c r="BG410" s="328"/>
    </row>
    <row r="411" spans="2:59">
      <c r="B411" s="332">
        <v>396</v>
      </c>
      <c r="C411" s="350">
        <v>7671880.4492156468</v>
      </c>
      <c r="D411" s="350">
        <v>14419949.368802661</v>
      </c>
      <c r="E411" s="350">
        <v>21218807.460411407</v>
      </c>
      <c r="F411" s="350">
        <v>28068935.128123328</v>
      </c>
      <c r="G411" s="350">
        <v>34971431.23519136</v>
      </c>
      <c r="H411" s="348">
        <v>106351003.64174441</v>
      </c>
      <c r="I411" s="369"/>
      <c r="J411" s="350">
        <v>8860250.6078361906</v>
      </c>
      <c r="K411" s="350">
        <v>17927688.29590831</v>
      </c>
      <c r="L411" s="350">
        <v>26780261.070108015</v>
      </c>
      <c r="M411" s="350">
        <v>35411632.614471413</v>
      </c>
      <c r="N411" s="350">
        <v>43817783.558573447</v>
      </c>
      <c r="O411" s="348">
        <v>132797616.14689738</v>
      </c>
      <c r="P411" s="369"/>
      <c r="Q411" s="350">
        <f t="shared" si="189"/>
        <v>1188370.1586205438</v>
      </c>
      <c r="R411" s="350">
        <f t="shared" si="190"/>
        <v>3507738.9271056484</v>
      </c>
      <c r="S411" s="350">
        <f t="shared" si="191"/>
        <v>5561453.609696608</v>
      </c>
      <c r="T411" s="350">
        <f t="shared" si="192"/>
        <v>7342697.4863480851</v>
      </c>
      <c r="U411" s="350">
        <f t="shared" si="193"/>
        <v>8846352.3233820871</v>
      </c>
      <c r="V411" s="350">
        <f t="shared" si="194"/>
        <v>26446612.505152971</v>
      </c>
      <c r="W411" s="365"/>
      <c r="X411" s="377">
        <f t="shared" si="172"/>
        <v>0</v>
      </c>
      <c r="Y411" s="377">
        <f t="shared" si="173"/>
        <v>0</v>
      </c>
      <c r="Z411" s="377">
        <f t="shared" si="174"/>
        <v>0</v>
      </c>
      <c r="AA411" s="377">
        <f t="shared" si="175"/>
        <v>0</v>
      </c>
      <c r="AB411" s="377">
        <f t="shared" si="176"/>
        <v>0</v>
      </c>
      <c r="AC411" s="377">
        <f t="shared" si="177"/>
        <v>0</v>
      </c>
      <c r="AD411" s="376"/>
      <c r="AE411" s="332">
        <v>396</v>
      </c>
      <c r="AF411" s="350">
        <v>6236770.9876452573</v>
      </c>
      <c r="AG411" s="350">
        <v>12522520.414116886</v>
      </c>
      <c r="AH411" s="350">
        <v>18855840.728310362</v>
      </c>
      <c r="AI411" s="350">
        <v>25236941.925066493</v>
      </c>
      <c r="AJ411" s="350">
        <v>31666744.248913649</v>
      </c>
      <c r="AK411" s="348">
        <v>94518818.304052651</v>
      </c>
      <c r="AL411" s="369"/>
      <c r="AM411" s="350">
        <v>7193982.5654465985</v>
      </c>
      <c r="AN411" s="350">
        <v>15345736.936568793</v>
      </c>
      <c r="AO411" s="350">
        <v>23261647.542488709</v>
      </c>
      <c r="AP411" s="350">
        <v>30936766.355857104</v>
      </c>
      <c r="AQ411" s="350">
        <v>38368290.722085394</v>
      </c>
      <c r="AR411" s="348">
        <v>115106424.1224466</v>
      </c>
      <c r="AS411" s="369"/>
      <c r="AT411" s="350">
        <f t="shared" si="195"/>
        <v>957211.57780134119</v>
      </c>
      <c r="AU411" s="350">
        <f t="shared" si="178"/>
        <v>2823216.5224519074</v>
      </c>
      <c r="AV411" s="350">
        <f t="shared" si="179"/>
        <v>4405806.8141783476</v>
      </c>
      <c r="AW411" s="350">
        <f t="shared" si="180"/>
        <v>5699824.4307906106</v>
      </c>
      <c r="AX411" s="350">
        <f t="shared" si="181"/>
        <v>6701546.4731717445</v>
      </c>
      <c r="AY411" s="350">
        <f t="shared" si="182"/>
        <v>20587605.818393946</v>
      </c>
      <c r="AZ411" s="365"/>
      <c r="BA411" s="377">
        <f t="shared" si="183"/>
        <v>0</v>
      </c>
      <c r="BB411" s="377">
        <f t="shared" si="184"/>
        <v>0</v>
      </c>
      <c r="BC411" s="377">
        <f t="shared" si="185"/>
        <v>0</v>
      </c>
      <c r="BD411" s="377">
        <f t="shared" si="186"/>
        <v>0</v>
      </c>
      <c r="BE411" s="377">
        <f t="shared" si="187"/>
        <v>0</v>
      </c>
      <c r="BF411" s="377">
        <f t="shared" si="188"/>
        <v>0</v>
      </c>
      <c r="BG411" s="328"/>
    </row>
    <row r="412" spans="2:59">
      <c r="B412" s="332">
        <v>397</v>
      </c>
      <c r="C412" s="350">
        <v>9504700.3484363407</v>
      </c>
      <c r="D412" s="350">
        <v>17970308.759245001</v>
      </c>
      <c r="E412" s="350">
        <v>26499667.800277449</v>
      </c>
      <c r="F412" s="350">
        <v>35093348.853030764</v>
      </c>
      <c r="G412" s="350">
        <v>43752716.849793546</v>
      </c>
      <c r="H412" s="348">
        <v>132820742.6107831</v>
      </c>
      <c r="I412" s="369"/>
      <c r="J412" s="350">
        <v>11166376.221161187</v>
      </c>
      <c r="K412" s="350">
        <v>22877492.851971813</v>
      </c>
      <c r="L412" s="350">
        <v>34319669.494278222</v>
      </c>
      <c r="M412" s="350">
        <v>45485047.982568406</v>
      </c>
      <c r="N412" s="350">
        <v>56368922.68918547</v>
      </c>
      <c r="O412" s="348">
        <v>170217509.2391651</v>
      </c>
      <c r="P412" s="369"/>
      <c r="Q412" s="350">
        <f t="shared" si="189"/>
        <v>1661675.872724846</v>
      </c>
      <c r="R412" s="350">
        <f t="shared" si="190"/>
        <v>4907184.0927268118</v>
      </c>
      <c r="S412" s="350">
        <f t="shared" si="191"/>
        <v>7820001.6940007731</v>
      </c>
      <c r="T412" s="350">
        <f t="shared" si="192"/>
        <v>10391699.129537642</v>
      </c>
      <c r="U412" s="350">
        <f t="shared" si="193"/>
        <v>12616205.839391924</v>
      </c>
      <c r="V412" s="350">
        <f t="shared" si="194"/>
        <v>37396766.628381997</v>
      </c>
      <c r="W412" s="365"/>
      <c r="X412" s="377">
        <f t="shared" si="172"/>
        <v>0</v>
      </c>
      <c r="Y412" s="377">
        <f t="shared" si="173"/>
        <v>0</v>
      </c>
      <c r="Z412" s="377">
        <f t="shared" si="174"/>
        <v>0</v>
      </c>
      <c r="AA412" s="377">
        <f t="shared" si="175"/>
        <v>0</v>
      </c>
      <c r="AB412" s="377">
        <f t="shared" si="176"/>
        <v>0</v>
      </c>
      <c r="AC412" s="377">
        <f t="shared" si="177"/>
        <v>0</v>
      </c>
      <c r="AD412" s="376"/>
      <c r="AE412" s="332">
        <v>397</v>
      </c>
      <c r="AF412" s="350">
        <v>5392102.8890754152</v>
      </c>
      <c r="AG412" s="350">
        <v>10826550.892637355</v>
      </c>
      <c r="AH412" s="350">
        <v>16302127.089238446</v>
      </c>
      <c r="AI412" s="350">
        <v>21819013.033370599</v>
      </c>
      <c r="AJ412" s="350">
        <v>27378004.337569512</v>
      </c>
      <c r="AK412" s="348">
        <v>81717798.241891325</v>
      </c>
      <c r="AL412" s="369"/>
      <c r="AM412" s="350">
        <v>6487992.2176654087</v>
      </c>
      <c r="AN412" s="350">
        <v>14063156.570778489</v>
      </c>
      <c r="AO412" s="350">
        <v>21442454.477930795</v>
      </c>
      <c r="AP412" s="350">
        <v>28621532.150923744</v>
      </c>
      <c r="AQ412" s="350">
        <v>35598238.250190035</v>
      </c>
      <c r="AR412" s="348">
        <v>106213373.66748847</v>
      </c>
      <c r="AS412" s="369"/>
      <c r="AT412" s="350">
        <f t="shared" si="195"/>
        <v>1095889.3285899935</v>
      </c>
      <c r="AU412" s="350">
        <f t="shared" si="178"/>
        <v>3236605.6781411339</v>
      </c>
      <c r="AV412" s="350">
        <f t="shared" si="179"/>
        <v>5140327.3886923492</v>
      </c>
      <c r="AW412" s="350">
        <f t="shared" si="180"/>
        <v>6802519.1175531447</v>
      </c>
      <c r="AX412" s="350">
        <f t="shared" si="181"/>
        <v>8220233.9126205221</v>
      </c>
      <c r="AY412" s="350">
        <f t="shared" si="182"/>
        <v>24495575.425597146</v>
      </c>
      <c r="AZ412" s="365"/>
      <c r="BA412" s="377">
        <f t="shared" si="183"/>
        <v>0</v>
      </c>
      <c r="BB412" s="377">
        <f t="shared" si="184"/>
        <v>0</v>
      </c>
      <c r="BC412" s="377">
        <f t="shared" si="185"/>
        <v>0</v>
      </c>
      <c r="BD412" s="377">
        <f t="shared" si="186"/>
        <v>0</v>
      </c>
      <c r="BE412" s="377">
        <f t="shared" si="187"/>
        <v>0</v>
      </c>
      <c r="BF412" s="377">
        <f t="shared" si="188"/>
        <v>0</v>
      </c>
      <c r="BG412" s="328"/>
    </row>
    <row r="413" spans="2:59">
      <c r="B413" s="332">
        <v>398</v>
      </c>
      <c r="C413" s="350">
        <v>7718586.9365804978</v>
      </c>
      <c r="D413" s="350">
        <v>14524951.6011783</v>
      </c>
      <c r="E413" s="350">
        <v>21382549.822851546</v>
      </c>
      <c r="F413" s="350">
        <v>28291861.045558311</v>
      </c>
      <c r="G413" s="350">
        <v>35253991.402026221</v>
      </c>
      <c r="H413" s="348">
        <v>107171940.80819488</v>
      </c>
      <c r="I413" s="369"/>
      <c r="J413" s="350">
        <v>8994708.8005141579</v>
      </c>
      <c r="K413" s="350">
        <v>18292776.34333368</v>
      </c>
      <c r="L413" s="350">
        <v>27376193.987720989</v>
      </c>
      <c r="M413" s="350">
        <v>36238538.967494577</v>
      </c>
      <c r="N413" s="350">
        <v>44875828.899717987</v>
      </c>
      <c r="O413" s="348">
        <v>135778046.99878138</v>
      </c>
      <c r="P413" s="369"/>
      <c r="Q413" s="350">
        <f t="shared" si="189"/>
        <v>1276121.8639336601</v>
      </c>
      <c r="R413" s="350">
        <f t="shared" si="190"/>
        <v>3767824.7421553805</v>
      </c>
      <c r="S413" s="350">
        <f t="shared" si="191"/>
        <v>5993644.1648694426</v>
      </c>
      <c r="T413" s="350">
        <f t="shared" si="192"/>
        <v>7946677.9219362661</v>
      </c>
      <c r="U413" s="350">
        <f t="shared" si="193"/>
        <v>9621837.4976917654</v>
      </c>
      <c r="V413" s="350">
        <f t="shared" si="194"/>
        <v>28606106.190586507</v>
      </c>
      <c r="W413" s="365"/>
      <c r="X413" s="377">
        <f t="shared" si="172"/>
        <v>0</v>
      </c>
      <c r="Y413" s="377">
        <f t="shared" si="173"/>
        <v>0</v>
      </c>
      <c r="Z413" s="377">
        <f t="shared" si="174"/>
        <v>0</v>
      </c>
      <c r="AA413" s="377">
        <f t="shared" si="175"/>
        <v>0</v>
      </c>
      <c r="AB413" s="377">
        <f t="shared" si="176"/>
        <v>0</v>
      </c>
      <c r="AC413" s="377">
        <f t="shared" si="177"/>
        <v>0</v>
      </c>
      <c r="AD413" s="376"/>
      <c r="AE413" s="332">
        <v>398</v>
      </c>
      <c r="AF413" s="350">
        <v>9915087.3919651527</v>
      </c>
      <c r="AG413" s="350">
        <v>19908039.676235553</v>
      </c>
      <c r="AH413" s="350">
        <v>29976619.1576581</v>
      </c>
      <c r="AI413" s="350">
        <v>40121159.68161571</v>
      </c>
      <c r="AJ413" s="350">
        <v>50343124.233512022</v>
      </c>
      <c r="AK413" s="348">
        <v>150264030.14098653</v>
      </c>
      <c r="AL413" s="369"/>
      <c r="AM413" s="350">
        <v>11582373.845885534</v>
      </c>
      <c r="AN413" s="350">
        <v>24827933.973303035</v>
      </c>
      <c r="AO413" s="350">
        <v>37702913.358957052</v>
      </c>
      <c r="AP413" s="350">
        <v>50199404.571258664</v>
      </c>
      <c r="AQ413" s="350">
        <v>62313099.398272835</v>
      </c>
      <c r="AR413" s="348">
        <v>186625725.14767712</v>
      </c>
      <c r="AS413" s="369"/>
      <c r="AT413" s="350">
        <f t="shared" si="195"/>
        <v>1667286.4539203811</v>
      </c>
      <c r="AU413" s="350">
        <f t="shared" si="178"/>
        <v>4919894.297067482</v>
      </c>
      <c r="AV413" s="350">
        <f t="shared" si="179"/>
        <v>7726294.2012989521</v>
      </c>
      <c r="AW413" s="350">
        <f t="shared" si="180"/>
        <v>10078244.889642954</v>
      </c>
      <c r="AX413" s="350">
        <f t="shared" si="181"/>
        <v>11969975.164760813</v>
      </c>
      <c r="AY413" s="350">
        <f t="shared" si="182"/>
        <v>36361695.006690592</v>
      </c>
      <c r="AZ413" s="365"/>
      <c r="BA413" s="377">
        <f t="shared" si="183"/>
        <v>0</v>
      </c>
      <c r="BB413" s="377">
        <f t="shared" si="184"/>
        <v>0</v>
      </c>
      <c r="BC413" s="377">
        <f t="shared" si="185"/>
        <v>0</v>
      </c>
      <c r="BD413" s="377">
        <f t="shared" si="186"/>
        <v>0</v>
      </c>
      <c r="BE413" s="377">
        <f t="shared" si="187"/>
        <v>0</v>
      </c>
      <c r="BF413" s="377">
        <f t="shared" si="188"/>
        <v>0</v>
      </c>
      <c r="BG413" s="328"/>
    </row>
    <row r="414" spans="2:59">
      <c r="B414" s="332">
        <v>399</v>
      </c>
      <c r="C414" s="350">
        <v>6053414.9699944183</v>
      </c>
      <c r="D414" s="350">
        <v>11364668.143666325</v>
      </c>
      <c r="E414" s="350">
        <v>16715892.006674796</v>
      </c>
      <c r="F414" s="350">
        <v>22107468.604385845</v>
      </c>
      <c r="G414" s="350">
        <v>27540264.537324682</v>
      </c>
      <c r="H414" s="348">
        <v>83781708.262046069</v>
      </c>
      <c r="I414" s="369"/>
      <c r="J414" s="350">
        <v>6996259.6529488945</v>
      </c>
      <c r="K414" s="350">
        <v>14147786.392510995</v>
      </c>
      <c r="L414" s="350">
        <v>21131256.264033921</v>
      </c>
      <c r="M414" s="350">
        <v>27941648.266031124</v>
      </c>
      <c r="N414" s="350">
        <v>34575771.179865032</v>
      </c>
      <c r="O414" s="348">
        <v>104792721.75538996</v>
      </c>
      <c r="P414" s="369"/>
      <c r="Q414" s="350">
        <f t="shared" si="189"/>
        <v>942844.68295447621</v>
      </c>
      <c r="R414" s="350">
        <f t="shared" si="190"/>
        <v>2783118.2488446701</v>
      </c>
      <c r="S414" s="350">
        <f t="shared" si="191"/>
        <v>4415364.2573591247</v>
      </c>
      <c r="T414" s="350">
        <f t="shared" si="192"/>
        <v>5834179.6616452783</v>
      </c>
      <c r="U414" s="350">
        <f t="shared" si="193"/>
        <v>7035506.6425403506</v>
      </c>
      <c r="V414" s="350">
        <f t="shared" si="194"/>
        <v>21011013.49334389</v>
      </c>
      <c r="W414" s="365"/>
      <c r="X414" s="377">
        <f t="shared" si="172"/>
        <v>0</v>
      </c>
      <c r="Y414" s="377">
        <f t="shared" si="173"/>
        <v>0</v>
      </c>
      <c r="Z414" s="377">
        <f t="shared" si="174"/>
        <v>0</v>
      </c>
      <c r="AA414" s="377">
        <f t="shared" si="175"/>
        <v>0</v>
      </c>
      <c r="AB414" s="377">
        <f t="shared" si="176"/>
        <v>0</v>
      </c>
      <c r="AC414" s="377">
        <f t="shared" si="177"/>
        <v>0</v>
      </c>
      <c r="AD414" s="376"/>
      <c r="AE414" s="332">
        <v>399</v>
      </c>
      <c r="AF414" s="350">
        <v>5384942.0514256777</v>
      </c>
      <c r="AG414" s="350">
        <v>10812172.982044093</v>
      </c>
      <c r="AH414" s="350">
        <v>16280477.486507768</v>
      </c>
      <c r="AI414" s="350">
        <v>21790036.878200039</v>
      </c>
      <c r="AJ414" s="350">
        <v>27341645.713064715</v>
      </c>
      <c r="AK414" s="348">
        <v>81609275.111242294</v>
      </c>
      <c r="AL414" s="369"/>
      <c r="AM414" s="350">
        <v>6469711.6399398642</v>
      </c>
      <c r="AN414" s="350">
        <v>14015818.678580288</v>
      </c>
      <c r="AO414" s="350">
        <v>21366029.935402654</v>
      </c>
      <c r="AP414" s="350">
        <v>28516000.137583401</v>
      </c>
      <c r="AQ414" s="350">
        <v>35463571.014839187</v>
      </c>
      <c r="AR414" s="348">
        <v>105831131.4063454</v>
      </c>
      <c r="AS414" s="369"/>
      <c r="AT414" s="350">
        <f t="shared" si="195"/>
        <v>1084769.5885141864</v>
      </c>
      <c r="AU414" s="350">
        <f t="shared" si="178"/>
        <v>3203645.6965361945</v>
      </c>
      <c r="AV414" s="350">
        <f t="shared" si="179"/>
        <v>5085552.4488948863</v>
      </c>
      <c r="AW414" s="350">
        <f t="shared" si="180"/>
        <v>6725963.2593833618</v>
      </c>
      <c r="AX414" s="350">
        <f t="shared" si="181"/>
        <v>8121925.301774472</v>
      </c>
      <c r="AY414" s="350">
        <f t="shared" si="182"/>
        <v>24221856.295103103</v>
      </c>
      <c r="AZ414" s="365"/>
      <c r="BA414" s="377">
        <f t="shared" si="183"/>
        <v>0</v>
      </c>
      <c r="BB414" s="377">
        <f t="shared" si="184"/>
        <v>0</v>
      </c>
      <c r="BC414" s="377">
        <f t="shared" si="185"/>
        <v>0</v>
      </c>
      <c r="BD414" s="377">
        <f t="shared" si="186"/>
        <v>0</v>
      </c>
      <c r="BE414" s="377">
        <f t="shared" si="187"/>
        <v>0</v>
      </c>
      <c r="BF414" s="377">
        <f t="shared" si="188"/>
        <v>0</v>
      </c>
      <c r="BG414" s="328"/>
    </row>
    <row r="415" spans="2:59">
      <c r="B415" s="332">
        <v>400</v>
      </c>
      <c r="C415" s="350">
        <v>9398007.1425087713</v>
      </c>
      <c r="D415" s="350">
        <v>17748572.809885778</v>
      </c>
      <c r="E415" s="350">
        <v>26162016.316136613</v>
      </c>
      <c r="F415" s="350">
        <v>34638907.145625815</v>
      </c>
      <c r="G415" s="350">
        <v>43180594.234985188</v>
      </c>
      <c r="H415" s="348">
        <v>131128097.64914216</v>
      </c>
      <c r="I415" s="369"/>
      <c r="J415" s="350">
        <v>10638719.876918046</v>
      </c>
      <c r="K415" s="350">
        <v>21407589.495034367</v>
      </c>
      <c r="L415" s="350">
        <v>31900657.520735409</v>
      </c>
      <c r="M415" s="350">
        <v>42110236.525505058</v>
      </c>
      <c r="N415" s="350">
        <v>52031227.149667777</v>
      </c>
      <c r="O415" s="348">
        <v>158088430.56786066</v>
      </c>
      <c r="P415" s="369"/>
      <c r="Q415" s="350">
        <f t="shared" si="189"/>
        <v>1240712.7344092745</v>
      </c>
      <c r="R415" s="350">
        <f t="shared" si="190"/>
        <v>3659016.6851485893</v>
      </c>
      <c r="S415" s="350">
        <f t="shared" si="191"/>
        <v>5738641.2045987956</v>
      </c>
      <c r="T415" s="350">
        <f t="shared" si="192"/>
        <v>7471329.3798792437</v>
      </c>
      <c r="U415" s="350">
        <f t="shared" si="193"/>
        <v>8850632.9146825895</v>
      </c>
      <c r="V415" s="350">
        <f t="shared" si="194"/>
        <v>26960332.918718502</v>
      </c>
      <c r="W415" s="365"/>
      <c r="X415" s="377">
        <f t="shared" si="172"/>
        <v>0</v>
      </c>
      <c r="Y415" s="377">
        <f t="shared" si="173"/>
        <v>0</v>
      </c>
      <c r="Z415" s="377">
        <f t="shared" si="174"/>
        <v>0</v>
      </c>
      <c r="AA415" s="377">
        <f t="shared" si="175"/>
        <v>0</v>
      </c>
      <c r="AB415" s="377">
        <f t="shared" si="176"/>
        <v>0</v>
      </c>
      <c r="AC415" s="377">
        <f t="shared" si="177"/>
        <v>0</v>
      </c>
      <c r="AD415" s="376"/>
      <c r="AE415" s="332">
        <v>400</v>
      </c>
      <c r="AF415" s="350">
        <v>4769643.5198310325</v>
      </c>
      <c r="AG415" s="350">
        <v>9576743.8733060136</v>
      </c>
      <c r="AH415" s="350">
        <v>14420224.619263673</v>
      </c>
      <c r="AI415" s="350">
        <v>19300246.353713334</v>
      </c>
      <c r="AJ415" s="350">
        <v>24217512.844415601</v>
      </c>
      <c r="AK415" s="348">
        <v>72284371.210529655</v>
      </c>
      <c r="AL415" s="369"/>
      <c r="AM415" s="350">
        <v>5661019.4348873515</v>
      </c>
      <c r="AN415" s="350">
        <v>12208378.971688453</v>
      </c>
      <c r="AO415" s="350">
        <v>18580146.430601463</v>
      </c>
      <c r="AP415" s="350">
        <v>24772492.683406819</v>
      </c>
      <c r="AQ415" s="350">
        <v>30783435.738445818</v>
      </c>
      <c r="AR415" s="348">
        <v>92005473.25902991</v>
      </c>
      <c r="AS415" s="369"/>
      <c r="AT415" s="350">
        <f t="shared" si="195"/>
        <v>891375.91505631898</v>
      </c>
      <c r="AU415" s="350">
        <f t="shared" si="178"/>
        <v>2631635.0983824395</v>
      </c>
      <c r="AV415" s="350">
        <f t="shared" si="179"/>
        <v>4159921.8113377895</v>
      </c>
      <c r="AW415" s="350">
        <f t="shared" si="180"/>
        <v>5472246.3296934851</v>
      </c>
      <c r="AX415" s="350">
        <f t="shared" si="181"/>
        <v>6565922.8940302171</v>
      </c>
      <c r="AY415" s="350">
        <f t="shared" si="182"/>
        <v>19721102.048500255</v>
      </c>
      <c r="AZ415" s="365"/>
      <c r="BA415" s="377">
        <f t="shared" si="183"/>
        <v>0</v>
      </c>
      <c r="BB415" s="377">
        <f t="shared" si="184"/>
        <v>0</v>
      </c>
      <c r="BC415" s="377">
        <f t="shared" si="185"/>
        <v>0</v>
      </c>
      <c r="BD415" s="377">
        <f t="shared" si="186"/>
        <v>0</v>
      </c>
      <c r="BE415" s="377">
        <f t="shared" si="187"/>
        <v>0</v>
      </c>
      <c r="BF415" s="377">
        <f t="shared" si="188"/>
        <v>0</v>
      </c>
      <c r="BG415" s="328"/>
    </row>
    <row r="416" spans="2:59">
      <c r="B416" s="332">
        <v>401</v>
      </c>
      <c r="C416" s="350">
        <v>10831985.31228696</v>
      </c>
      <c r="D416" s="350">
        <v>20606838.200317122</v>
      </c>
      <c r="E416" s="350">
        <v>30455342.03517513</v>
      </c>
      <c r="F416" s="350">
        <v>40378119.312527142</v>
      </c>
      <c r="G416" s="350">
        <v>50376729.849075355</v>
      </c>
      <c r="H416" s="348">
        <v>152649014.7093817</v>
      </c>
      <c r="I416" s="369"/>
      <c r="J416" s="350">
        <v>12030402.162137207</v>
      </c>
      <c r="K416" s="350">
        <v>24136877.146314494</v>
      </c>
      <c r="L416" s="350">
        <v>35921838.942425147</v>
      </c>
      <c r="M416" s="350">
        <v>47375933.395091638</v>
      </c>
      <c r="N416" s="350">
        <v>58492517.534489423</v>
      </c>
      <c r="O416" s="348">
        <v>177957569.18045789</v>
      </c>
      <c r="P416" s="369"/>
      <c r="Q416" s="350">
        <f t="shared" si="189"/>
        <v>1198416.8498502467</v>
      </c>
      <c r="R416" s="350">
        <f t="shared" si="190"/>
        <v>3530038.9459973723</v>
      </c>
      <c r="S416" s="350">
        <f t="shared" si="191"/>
        <v>5466496.9072500169</v>
      </c>
      <c r="T416" s="350">
        <f t="shared" si="192"/>
        <v>6997814.0825644955</v>
      </c>
      <c r="U416" s="350">
        <f t="shared" si="193"/>
        <v>8115787.6854140684</v>
      </c>
      <c r="V416" s="350">
        <f t="shared" si="194"/>
        <v>25308554.47107619</v>
      </c>
      <c r="W416" s="365"/>
      <c r="X416" s="377">
        <f t="shared" si="172"/>
        <v>0</v>
      </c>
      <c r="Y416" s="377">
        <f t="shared" si="173"/>
        <v>0</v>
      </c>
      <c r="Z416" s="377">
        <f t="shared" si="174"/>
        <v>0</v>
      </c>
      <c r="AA416" s="377">
        <f t="shared" si="175"/>
        <v>0</v>
      </c>
      <c r="AB416" s="377">
        <f t="shared" si="176"/>
        <v>0</v>
      </c>
      <c r="AC416" s="377">
        <f t="shared" si="177"/>
        <v>0</v>
      </c>
      <c r="AD416" s="376"/>
      <c r="AE416" s="332">
        <v>401</v>
      </c>
      <c r="AF416" s="350">
        <v>6707732.5717798294</v>
      </c>
      <c r="AG416" s="350">
        <v>13468142.124978632</v>
      </c>
      <c r="AH416" s="350">
        <v>20279714.819115654</v>
      </c>
      <c r="AI416" s="350">
        <v>27142676.506516788</v>
      </c>
      <c r="AJ416" s="350">
        <v>34058016.922769442</v>
      </c>
      <c r="AK416" s="348">
        <v>101656282.94516034</v>
      </c>
      <c r="AL416" s="369"/>
      <c r="AM416" s="350">
        <v>7791256.9943434037</v>
      </c>
      <c r="AN416" s="350">
        <v>16664788.048653465</v>
      </c>
      <c r="AO416" s="350">
        <v>25286284.128596656</v>
      </c>
      <c r="AP416" s="350">
        <v>33650408.281261958</v>
      </c>
      <c r="AQ416" s="350">
        <v>41754200.933268547</v>
      </c>
      <c r="AR416" s="348">
        <v>125146938.38612403</v>
      </c>
      <c r="AS416" s="369"/>
      <c r="AT416" s="350">
        <f t="shared" si="195"/>
        <v>1083524.4225635743</v>
      </c>
      <c r="AU416" s="350">
        <f t="shared" si="178"/>
        <v>3196645.923674833</v>
      </c>
      <c r="AV416" s="350">
        <f t="shared" si="179"/>
        <v>5006569.3094810024</v>
      </c>
      <c r="AW416" s="350">
        <f t="shared" si="180"/>
        <v>6507731.77474517</v>
      </c>
      <c r="AX416" s="350">
        <f t="shared" si="181"/>
        <v>7696184.0104991049</v>
      </c>
      <c r="AY416" s="350">
        <f t="shared" si="182"/>
        <v>23490655.440963686</v>
      </c>
      <c r="AZ416" s="365"/>
      <c r="BA416" s="377">
        <f t="shared" si="183"/>
        <v>0</v>
      </c>
      <c r="BB416" s="377">
        <f t="shared" si="184"/>
        <v>0</v>
      </c>
      <c r="BC416" s="377">
        <f t="shared" si="185"/>
        <v>0</v>
      </c>
      <c r="BD416" s="377">
        <f t="shared" si="186"/>
        <v>0</v>
      </c>
      <c r="BE416" s="377">
        <f t="shared" si="187"/>
        <v>0</v>
      </c>
      <c r="BF416" s="377">
        <f t="shared" si="188"/>
        <v>0</v>
      </c>
      <c r="BG416" s="328"/>
    </row>
    <row r="417" spans="2:59">
      <c r="B417" s="332">
        <v>402</v>
      </c>
      <c r="C417" s="350">
        <v>7475434.3823580146</v>
      </c>
      <c r="D417" s="350">
        <v>14050365.111123081</v>
      </c>
      <c r="E417" s="350">
        <v>20674781.77820608</v>
      </c>
      <c r="F417" s="350">
        <v>27349152.564832851</v>
      </c>
      <c r="G417" s="350">
        <v>34074548.185087383</v>
      </c>
      <c r="H417" s="348">
        <v>103624282.02160741</v>
      </c>
      <c r="I417" s="369"/>
      <c r="J417" s="350">
        <v>8662566.2224465553</v>
      </c>
      <c r="K417" s="350">
        <v>17554854.346045185</v>
      </c>
      <c r="L417" s="350">
        <v>26236504.056880951</v>
      </c>
      <c r="M417" s="350">
        <v>34701416.392769836</v>
      </c>
      <c r="N417" s="350">
        <v>42945791.027735502</v>
      </c>
      <c r="O417" s="348">
        <v>130101132.04587802</v>
      </c>
      <c r="P417" s="369"/>
      <c r="Q417" s="350">
        <f t="shared" si="189"/>
        <v>1187131.8400885407</v>
      </c>
      <c r="R417" s="350">
        <f t="shared" si="190"/>
        <v>3504489.2349221036</v>
      </c>
      <c r="S417" s="350">
        <f t="shared" si="191"/>
        <v>5561722.2786748707</v>
      </c>
      <c r="T417" s="350">
        <f t="shared" si="192"/>
        <v>7352263.8279369846</v>
      </c>
      <c r="U417" s="350">
        <f t="shared" si="193"/>
        <v>8871242.8426481187</v>
      </c>
      <c r="V417" s="350">
        <f t="shared" si="194"/>
        <v>26476850.024270609</v>
      </c>
      <c r="W417" s="365"/>
      <c r="X417" s="377">
        <f t="shared" si="172"/>
        <v>0</v>
      </c>
      <c r="Y417" s="377">
        <f t="shared" si="173"/>
        <v>0</v>
      </c>
      <c r="Z417" s="377">
        <f t="shared" si="174"/>
        <v>0</v>
      </c>
      <c r="AA417" s="377">
        <f t="shared" si="175"/>
        <v>0</v>
      </c>
      <c r="AB417" s="377">
        <f t="shared" si="176"/>
        <v>0</v>
      </c>
      <c r="AC417" s="377">
        <f t="shared" si="177"/>
        <v>0</v>
      </c>
      <c r="AD417" s="376"/>
      <c r="AE417" s="332">
        <v>402</v>
      </c>
      <c r="AF417" s="350">
        <v>7459956.8623131402</v>
      </c>
      <c r="AG417" s="350">
        <v>14978498.053207844</v>
      </c>
      <c r="AH417" s="350">
        <v>22553939.965807721</v>
      </c>
      <c r="AI417" s="350">
        <v>30186533.780163616</v>
      </c>
      <c r="AJ417" s="350">
        <v>37877380.223638773</v>
      </c>
      <c r="AK417" s="348">
        <v>113056308.88513109</v>
      </c>
      <c r="AL417" s="369"/>
      <c r="AM417" s="350">
        <v>8731231.2252964657</v>
      </c>
      <c r="AN417" s="350">
        <v>18730074.605757706</v>
      </c>
      <c r="AO417" s="350">
        <v>28450603.011286996</v>
      </c>
      <c r="AP417" s="350">
        <v>37886862.252582498</v>
      </c>
      <c r="AQ417" s="350">
        <v>47035627.947263911</v>
      </c>
      <c r="AR417" s="348">
        <v>140834399.04218757</v>
      </c>
      <c r="AS417" s="369"/>
      <c r="AT417" s="350">
        <f t="shared" si="195"/>
        <v>1271274.3629833255</v>
      </c>
      <c r="AU417" s="350">
        <f t="shared" si="178"/>
        <v>3751576.5525498614</v>
      </c>
      <c r="AV417" s="350">
        <f t="shared" si="179"/>
        <v>5896663.0454792753</v>
      </c>
      <c r="AW417" s="350">
        <f t="shared" si="180"/>
        <v>7700328.472418882</v>
      </c>
      <c r="AX417" s="350">
        <f t="shared" si="181"/>
        <v>9158247.7236251384</v>
      </c>
      <c r="AY417" s="350">
        <f t="shared" si="182"/>
        <v>27778090.157056481</v>
      </c>
      <c r="AZ417" s="365"/>
      <c r="BA417" s="377">
        <f t="shared" si="183"/>
        <v>0</v>
      </c>
      <c r="BB417" s="377">
        <f t="shared" si="184"/>
        <v>0</v>
      </c>
      <c r="BC417" s="377">
        <f t="shared" si="185"/>
        <v>0</v>
      </c>
      <c r="BD417" s="377">
        <f t="shared" si="186"/>
        <v>0</v>
      </c>
      <c r="BE417" s="377">
        <f t="shared" si="187"/>
        <v>0</v>
      </c>
      <c r="BF417" s="377">
        <f t="shared" si="188"/>
        <v>0</v>
      </c>
      <c r="BG417" s="328"/>
    </row>
    <row r="418" spans="2:59">
      <c r="B418" s="332">
        <v>403</v>
      </c>
      <c r="C418" s="350">
        <v>9749052.3441738002</v>
      </c>
      <c r="D418" s="350">
        <v>18227343.315779977</v>
      </c>
      <c r="E418" s="350">
        <v>26769414.299400691</v>
      </c>
      <c r="F418" s="350">
        <v>35375897.621568874</v>
      </c>
      <c r="G418" s="350">
        <v>44048186.40403752</v>
      </c>
      <c r="H418" s="348">
        <v>134169893.98496087</v>
      </c>
      <c r="I418" s="369"/>
      <c r="J418" s="350">
        <v>11097255.680388058</v>
      </c>
      <c r="K418" s="350">
        <v>22204815.805777699</v>
      </c>
      <c r="L418" s="350">
        <v>33027654.501546852</v>
      </c>
      <c r="M418" s="350">
        <v>43558273.749838933</v>
      </c>
      <c r="N418" s="350">
        <v>53791898.371692732</v>
      </c>
      <c r="O418" s="348">
        <v>163679898.10924429</v>
      </c>
      <c r="P418" s="369"/>
      <c r="Q418" s="350">
        <f t="shared" si="189"/>
        <v>1348203.3362142574</v>
      </c>
      <c r="R418" s="350">
        <f t="shared" si="190"/>
        <v>3977472.4899977222</v>
      </c>
      <c r="S418" s="350">
        <f t="shared" si="191"/>
        <v>6258240.2021461613</v>
      </c>
      <c r="T418" s="350">
        <f t="shared" si="192"/>
        <v>8182376.1282700598</v>
      </c>
      <c r="U418" s="350">
        <f t="shared" si="193"/>
        <v>9743711.9676552117</v>
      </c>
      <c r="V418" s="350">
        <f t="shared" si="194"/>
        <v>29510004.124283418</v>
      </c>
      <c r="W418" s="365"/>
      <c r="X418" s="377">
        <f t="shared" si="172"/>
        <v>0</v>
      </c>
      <c r="Y418" s="377">
        <f t="shared" si="173"/>
        <v>0</v>
      </c>
      <c r="Z418" s="377">
        <f t="shared" si="174"/>
        <v>0</v>
      </c>
      <c r="AA418" s="377">
        <f t="shared" si="175"/>
        <v>0</v>
      </c>
      <c r="AB418" s="377">
        <f t="shared" si="176"/>
        <v>0</v>
      </c>
      <c r="AC418" s="377">
        <f t="shared" si="177"/>
        <v>0</v>
      </c>
      <c r="AD418" s="376"/>
      <c r="AE418" s="332">
        <v>403</v>
      </c>
      <c r="AF418" s="350">
        <v>8613895.0663734078</v>
      </c>
      <c r="AG418" s="350">
        <v>17295436.53717643</v>
      </c>
      <c r="AH418" s="350">
        <v>26042680.377981804</v>
      </c>
      <c r="AI418" s="350">
        <v>34855916.622450665</v>
      </c>
      <c r="AJ418" s="350">
        <v>43736416.263187766</v>
      </c>
      <c r="AK418" s="348">
        <v>130544344.86717007</v>
      </c>
      <c r="AL418" s="369"/>
      <c r="AM418" s="350">
        <v>9843879.760637613</v>
      </c>
      <c r="AN418" s="350">
        <v>20921675.211707376</v>
      </c>
      <c r="AO418" s="350">
        <v>31670978.476959541</v>
      </c>
      <c r="AP418" s="350">
        <v>42084981.644574285</v>
      </c>
      <c r="AQ418" s="350">
        <v>52159720.597600885</v>
      </c>
      <c r="AR418" s="348">
        <v>156681235.69147968</v>
      </c>
      <c r="AS418" s="369"/>
      <c r="AT418" s="350">
        <f t="shared" si="195"/>
        <v>1229984.6942642052</v>
      </c>
      <c r="AU418" s="350">
        <f t="shared" si="178"/>
        <v>3626238.6745309457</v>
      </c>
      <c r="AV418" s="350">
        <f t="shared" si="179"/>
        <v>5628298.0989777371</v>
      </c>
      <c r="AW418" s="350">
        <f t="shared" si="180"/>
        <v>7229065.0221236199</v>
      </c>
      <c r="AX418" s="350">
        <f t="shared" si="181"/>
        <v>8423304.3344131187</v>
      </c>
      <c r="AY418" s="350">
        <f t="shared" si="182"/>
        <v>26136890.824309617</v>
      </c>
      <c r="AZ418" s="365"/>
      <c r="BA418" s="377">
        <f t="shared" si="183"/>
        <v>0</v>
      </c>
      <c r="BB418" s="377">
        <f t="shared" si="184"/>
        <v>0</v>
      </c>
      <c r="BC418" s="377">
        <f t="shared" si="185"/>
        <v>0</v>
      </c>
      <c r="BD418" s="377">
        <f t="shared" si="186"/>
        <v>0</v>
      </c>
      <c r="BE418" s="377">
        <f t="shared" si="187"/>
        <v>0</v>
      </c>
      <c r="BF418" s="377">
        <f t="shared" si="188"/>
        <v>0</v>
      </c>
      <c r="BG418" s="328"/>
    </row>
    <row r="419" spans="2:59">
      <c r="B419" s="332">
        <v>404</v>
      </c>
      <c r="C419" s="350">
        <v>7951072.0289156567</v>
      </c>
      <c r="D419" s="350">
        <v>14946323.643910235</v>
      </c>
      <c r="E419" s="350">
        <v>21994225.371301491</v>
      </c>
      <c r="F419" s="350">
        <v>29095274.734453216</v>
      </c>
      <c r="G419" s="350">
        <v>36250610.64016033</v>
      </c>
      <c r="H419" s="348">
        <v>110237506.41874093</v>
      </c>
      <c r="I419" s="369"/>
      <c r="J419" s="350">
        <v>9259587.4097084664</v>
      </c>
      <c r="K419" s="350">
        <v>18809760.350874115</v>
      </c>
      <c r="L419" s="350">
        <v>28137856.3690577</v>
      </c>
      <c r="M419" s="350">
        <v>37237342.058977336</v>
      </c>
      <c r="N419" s="350">
        <v>46104187.76370436</v>
      </c>
      <c r="O419" s="348">
        <v>139548733.95232198</v>
      </c>
      <c r="P419" s="369"/>
      <c r="Q419" s="350">
        <f t="shared" si="189"/>
        <v>1308515.3807928097</v>
      </c>
      <c r="R419" s="350">
        <f t="shared" si="190"/>
        <v>3863436.70696388</v>
      </c>
      <c r="S419" s="350">
        <f t="shared" si="191"/>
        <v>6143630.9977562092</v>
      </c>
      <c r="T419" s="350">
        <f t="shared" si="192"/>
        <v>8142067.3245241195</v>
      </c>
      <c r="U419" s="350">
        <f t="shared" si="193"/>
        <v>9853577.1235440299</v>
      </c>
      <c r="V419" s="350">
        <f t="shared" si="194"/>
        <v>29311227.533581048</v>
      </c>
      <c r="W419" s="365"/>
      <c r="X419" s="377">
        <f t="shared" si="172"/>
        <v>0</v>
      </c>
      <c r="Y419" s="377">
        <f t="shared" si="173"/>
        <v>0</v>
      </c>
      <c r="Z419" s="377">
        <f t="shared" si="174"/>
        <v>0</v>
      </c>
      <c r="AA419" s="377">
        <f t="shared" si="175"/>
        <v>0</v>
      </c>
      <c r="AB419" s="377">
        <f t="shared" si="176"/>
        <v>0</v>
      </c>
      <c r="AC419" s="377">
        <f t="shared" si="177"/>
        <v>0</v>
      </c>
      <c r="AD419" s="376"/>
      <c r="AE419" s="332">
        <v>404</v>
      </c>
      <c r="AF419" s="350">
        <v>5481663.8375859335</v>
      </c>
      <c r="AG419" s="350">
        <v>11006376.127242304</v>
      </c>
      <c r="AH419" s="350">
        <v>16572899.734880893</v>
      </c>
      <c r="AI419" s="350">
        <v>22181419.230550401</v>
      </c>
      <c r="AJ419" s="350">
        <v>27832743.441633288</v>
      </c>
      <c r="AK419" s="348">
        <v>83075102.371892825</v>
      </c>
      <c r="AL419" s="369"/>
      <c r="AM419" s="350">
        <v>6333111.1868689824</v>
      </c>
      <c r="AN419" s="350">
        <v>13517814.773964472</v>
      </c>
      <c r="AO419" s="350">
        <v>20495532.361553468</v>
      </c>
      <c r="AP419" s="350">
        <v>27261912.132089578</v>
      </c>
      <c r="AQ419" s="350">
        <v>33814501.015883096</v>
      </c>
      <c r="AR419" s="348">
        <v>101422871.47035959</v>
      </c>
      <c r="AS419" s="369"/>
      <c r="AT419" s="350">
        <f t="shared" si="195"/>
        <v>851447.34928304888</v>
      </c>
      <c r="AU419" s="350">
        <f t="shared" si="178"/>
        <v>2511438.6467221677</v>
      </c>
      <c r="AV419" s="350">
        <f t="shared" si="179"/>
        <v>3922632.6266725753</v>
      </c>
      <c r="AW419" s="350">
        <f t="shared" si="180"/>
        <v>5080492.9015391767</v>
      </c>
      <c r="AX419" s="350">
        <f t="shared" si="181"/>
        <v>5981757.5742498077</v>
      </c>
      <c r="AY419" s="350">
        <f t="shared" si="182"/>
        <v>18347769.098466769</v>
      </c>
      <c r="AZ419" s="365"/>
      <c r="BA419" s="377">
        <f t="shared" si="183"/>
        <v>0</v>
      </c>
      <c r="BB419" s="377">
        <f t="shared" si="184"/>
        <v>0</v>
      </c>
      <c r="BC419" s="377">
        <f t="shared" si="185"/>
        <v>0</v>
      </c>
      <c r="BD419" s="377">
        <f t="shared" si="186"/>
        <v>0</v>
      </c>
      <c r="BE419" s="377">
        <f t="shared" si="187"/>
        <v>0</v>
      </c>
      <c r="BF419" s="377">
        <f t="shared" si="188"/>
        <v>0</v>
      </c>
      <c r="BG419" s="328"/>
    </row>
    <row r="420" spans="2:59">
      <c r="B420" s="332">
        <v>405</v>
      </c>
      <c r="C420" s="350">
        <v>11071051.414319368</v>
      </c>
      <c r="D420" s="350">
        <v>21009622.456931844</v>
      </c>
      <c r="E420" s="350">
        <v>31023061.45568952</v>
      </c>
      <c r="F420" s="350">
        <v>41112016.384396195</v>
      </c>
      <c r="G420" s="350">
        <v>51278079.734088659</v>
      </c>
      <c r="H420" s="348">
        <v>155493831.44542557</v>
      </c>
      <c r="I420" s="369"/>
      <c r="J420" s="350">
        <v>12464272.478882961</v>
      </c>
      <c r="K420" s="350">
        <v>25116990.69123257</v>
      </c>
      <c r="L420" s="350">
        <v>37433565.798306331</v>
      </c>
      <c r="M420" s="350">
        <v>49405030.088724464</v>
      </c>
      <c r="N420" s="350">
        <v>61025412.756648213</v>
      </c>
      <c r="O420" s="348">
        <v>185445271.81379455</v>
      </c>
      <c r="P420" s="369"/>
      <c r="Q420" s="350">
        <f t="shared" si="189"/>
        <v>1393221.0645635929</v>
      </c>
      <c r="R420" s="350">
        <f t="shared" si="190"/>
        <v>4107368.2343007252</v>
      </c>
      <c r="S420" s="350">
        <f t="shared" si="191"/>
        <v>6410504.3426168114</v>
      </c>
      <c r="T420" s="350">
        <f t="shared" si="192"/>
        <v>8293013.7043282688</v>
      </c>
      <c r="U420" s="350">
        <f t="shared" si="193"/>
        <v>9747333.0225595534</v>
      </c>
      <c r="V420" s="350">
        <f t="shared" si="194"/>
        <v>29951440.368368983</v>
      </c>
      <c r="W420" s="365"/>
      <c r="X420" s="377">
        <f t="shared" si="172"/>
        <v>0</v>
      </c>
      <c r="Y420" s="377">
        <f t="shared" si="173"/>
        <v>0</v>
      </c>
      <c r="Z420" s="377">
        <f t="shared" si="174"/>
        <v>0</v>
      </c>
      <c r="AA420" s="377">
        <f t="shared" si="175"/>
        <v>0</v>
      </c>
      <c r="AB420" s="377">
        <f t="shared" si="176"/>
        <v>0</v>
      </c>
      <c r="AC420" s="377">
        <f t="shared" si="177"/>
        <v>0</v>
      </c>
      <c r="AD420" s="376"/>
      <c r="AE420" s="332">
        <v>405</v>
      </c>
      <c r="AF420" s="350">
        <v>5791094.3667475311</v>
      </c>
      <c r="AG420" s="350">
        <v>11627667.19690848</v>
      </c>
      <c r="AH420" s="350">
        <v>17508411.522295546</v>
      </c>
      <c r="AI420" s="350">
        <v>23433522.331620365</v>
      </c>
      <c r="AJ420" s="350">
        <v>29403854.109184969</v>
      </c>
      <c r="AK420" s="348">
        <v>87764549.526756883</v>
      </c>
      <c r="AL420" s="369"/>
      <c r="AM420" s="350">
        <v>6899025.8218660932</v>
      </c>
      <c r="AN420" s="350">
        <v>14898988.807410112</v>
      </c>
      <c r="AO420" s="350">
        <v>22686524.074039608</v>
      </c>
      <c r="AP420" s="350">
        <v>30256975.202273518</v>
      </c>
      <c r="AQ420" s="350">
        <v>37607961.732821211</v>
      </c>
      <c r="AR420" s="348">
        <v>112349475.63841054</v>
      </c>
      <c r="AS420" s="369"/>
      <c r="AT420" s="350">
        <f t="shared" si="195"/>
        <v>1107931.4551185621</v>
      </c>
      <c r="AU420" s="350">
        <f t="shared" si="178"/>
        <v>3271321.6105016321</v>
      </c>
      <c r="AV420" s="350">
        <f t="shared" si="179"/>
        <v>5178112.5517440625</v>
      </c>
      <c r="AW420" s="350">
        <f t="shared" si="180"/>
        <v>6823452.8706531525</v>
      </c>
      <c r="AX420" s="350">
        <f t="shared" si="181"/>
        <v>8204107.623636242</v>
      </c>
      <c r="AY420" s="350">
        <f t="shared" si="182"/>
        <v>24584926.111653656</v>
      </c>
      <c r="AZ420" s="365"/>
      <c r="BA420" s="377">
        <f t="shared" si="183"/>
        <v>0</v>
      </c>
      <c r="BB420" s="377">
        <f t="shared" si="184"/>
        <v>0</v>
      </c>
      <c r="BC420" s="377">
        <f t="shared" si="185"/>
        <v>0</v>
      </c>
      <c r="BD420" s="377">
        <f t="shared" si="186"/>
        <v>0</v>
      </c>
      <c r="BE420" s="377">
        <f t="shared" si="187"/>
        <v>0</v>
      </c>
      <c r="BF420" s="377">
        <f t="shared" si="188"/>
        <v>0</v>
      </c>
      <c r="BG420" s="328"/>
    </row>
    <row r="421" spans="2:59">
      <c r="B421" s="332">
        <v>406</v>
      </c>
      <c r="C421" s="350">
        <v>7701547.5847641714</v>
      </c>
      <c r="D421" s="350">
        <v>14337318.768962249</v>
      </c>
      <c r="E421" s="350">
        <v>21022988.706592731</v>
      </c>
      <c r="F421" s="350">
        <v>27759070.892689027</v>
      </c>
      <c r="G421" s="350">
        <v>34546663.780067943</v>
      </c>
      <c r="H421" s="348">
        <v>105367589.73307613</v>
      </c>
      <c r="I421" s="369"/>
      <c r="J421" s="350">
        <v>8683010.1074121017</v>
      </c>
      <c r="K421" s="350">
        <v>17231699.102819312</v>
      </c>
      <c r="L421" s="350">
        <v>25559555.333234388</v>
      </c>
      <c r="M421" s="350">
        <v>33660590.686466865</v>
      </c>
      <c r="N421" s="350">
        <v>41530835.705868199</v>
      </c>
      <c r="O421" s="348">
        <v>126665690.93580087</v>
      </c>
      <c r="P421" s="369"/>
      <c r="Q421" s="350">
        <f t="shared" si="189"/>
        <v>981462.52264793031</v>
      </c>
      <c r="R421" s="350">
        <f t="shared" si="190"/>
        <v>2894380.3338570632</v>
      </c>
      <c r="S421" s="350">
        <f t="shared" si="191"/>
        <v>4536566.6266416572</v>
      </c>
      <c r="T421" s="350">
        <f t="shared" si="192"/>
        <v>5901519.7937778383</v>
      </c>
      <c r="U421" s="350">
        <f t="shared" si="193"/>
        <v>6984171.9258002564</v>
      </c>
      <c r="V421" s="350">
        <f t="shared" si="194"/>
        <v>21298101.20272474</v>
      </c>
      <c r="W421" s="365"/>
      <c r="X421" s="377">
        <f t="shared" si="172"/>
        <v>0</v>
      </c>
      <c r="Y421" s="377">
        <f t="shared" si="173"/>
        <v>0</v>
      </c>
      <c r="Z421" s="377">
        <f t="shared" si="174"/>
        <v>0</v>
      </c>
      <c r="AA421" s="377">
        <f t="shared" si="175"/>
        <v>0</v>
      </c>
      <c r="AB421" s="377">
        <f t="shared" si="176"/>
        <v>0</v>
      </c>
      <c r="AC421" s="377">
        <f t="shared" si="177"/>
        <v>0</v>
      </c>
      <c r="AD421" s="376"/>
      <c r="AE421" s="332">
        <v>406</v>
      </c>
      <c r="AF421" s="350">
        <v>6192513.6636489052</v>
      </c>
      <c r="AG421" s="350">
        <v>12433658.20572149</v>
      </c>
      <c r="AH421" s="350">
        <v>18722036.063366026</v>
      </c>
      <c r="AI421" s="350">
        <v>25057855.741259627</v>
      </c>
      <c r="AJ421" s="350">
        <v>31442030.953698859</v>
      </c>
      <c r="AK421" s="348">
        <v>93848094.627694905</v>
      </c>
      <c r="AL421" s="369"/>
      <c r="AM421" s="350">
        <v>7104891.4749851665</v>
      </c>
      <c r="AN421" s="350">
        <v>15124021.585801652</v>
      </c>
      <c r="AO421" s="350">
        <v>22907842.177821942</v>
      </c>
      <c r="AP421" s="350">
        <v>30451451.095313676</v>
      </c>
      <c r="AQ421" s="350">
        <v>37752027.045036182</v>
      </c>
      <c r="AR421" s="348">
        <v>113340233.37895863</v>
      </c>
      <c r="AS421" s="369"/>
      <c r="AT421" s="350">
        <f t="shared" si="195"/>
        <v>912377.81133626122</v>
      </c>
      <c r="AU421" s="350">
        <f t="shared" si="178"/>
        <v>2690363.3800801616</v>
      </c>
      <c r="AV421" s="350">
        <f t="shared" si="179"/>
        <v>4185806.114455916</v>
      </c>
      <c r="AW421" s="350">
        <f t="shared" si="180"/>
        <v>5393595.3540540487</v>
      </c>
      <c r="AX421" s="350">
        <f t="shared" si="181"/>
        <v>6309996.0913373232</v>
      </c>
      <c r="AY421" s="350">
        <f t="shared" si="182"/>
        <v>19492138.751263723</v>
      </c>
      <c r="AZ421" s="365"/>
      <c r="BA421" s="377">
        <f t="shared" si="183"/>
        <v>0</v>
      </c>
      <c r="BB421" s="377">
        <f t="shared" si="184"/>
        <v>0</v>
      </c>
      <c r="BC421" s="377">
        <f t="shared" si="185"/>
        <v>0</v>
      </c>
      <c r="BD421" s="377">
        <f t="shared" si="186"/>
        <v>0</v>
      </c>
      <c r="BE421" s="377">
        <f t="shared" si="187"/>
        <v>0</v>
      </c>
      <c r="BF421" s="377">
        <f t="shared" si="188"/>
        <v>0</v>
      </c>
      <c r="BG421" s="328"/>
    </row>
    <row r="422" spans="2:59">
      <c r="B422" s="332">
        <v>407</v>
      </c>
      <c r="C422" s="350">
        <v>5837289.5224119313</v>
      </c>
      <c r="D422" s="350">
        <v>10943840.973372538</v>
      </c>
      <c r="E422" s="350">
        <v>16088817.661134435</v>
      </c>
      <c r="F422" s="350">
        <v>21272591.392800838</v>
      </c>
      <c r="G422" s="350">
        <v>26495997.321066067</v>
      </c>
      <c r="H422" s="348">
        <v>80638536.870785803</v>
      </c>
      <c r="I422" s="369"/>
      <c r="J422" s="350">
        <v>7073035.0192198362</v>
      </c>
      <c r="K422" s="350">
        <v>14596122.796468172</v>
      </c>
      <c r="L422" s="350">
        <v>21974782.725428674</v>
      </c>
      <c r="M422" s="350">
        <v>29203809.42662362</v>
      </c>
      <c r="N422" s="350">
        <v>36280169.529115513</v>
      </c>
      <c r="O422" s="348">
        <v>109127919.49685581</v>
      </c>
      <c r="P422" s="369"/>
      <c r="Q422" s="350">
        <f t="shared" si="189"/>
        <v>1235745.4968079049</v>
      </c>
      <c r="R422" s="350">
        <f t="shared" si="190"/>
        <v>3652281.8230956346</v>
      </c>
      <c r="S422" s="350">
        <f t="shared" si="191"/>
        <v>5885965.0642942395</v>
      </c>
      <c r="T422" s="350">
        <f t="shared" si="192"/>
        <v>7931218.0338227823</v>
      </c>
      <c r="U422" s="350">
        <f t="shared" si="193"/>
        <v>9784172.2080494463</v>
      </c>
      <c r="V422" s="350">
        <f t="shared" si="194"/>
        <v>28489382.626070008</v>
      </c>
      <c r="W422" s="365"/>
      <c r="X422" s="377">
        <f t="shared" si="172"/>
        <v>0</v>
      </c>
      <c r="Y422" s="377">
        <f t="shared" si="173"/>
        <v>0</v>
      </c>
      <c r="Z422" s="377">
        <f t="shared" si="174"/>
        <v>0</v>
      </c>
      <c r="AA422" s="377">
        <f t="shared" si="175"/>
        <v>0</v>
      </c>
      <c r="AB422" s="377">
        <f t="shared" si="176"/>
        <v>0</v>
      </c>
      <c r="AC422" s="377">
        <f t="shared" si="177"/>
        <v>0</v>
      </c>
      <c r="AD422" s="376"/>
      <c r="AE422" s="332">
        <v>407</v>
      </c>
      <c r="AF422" s="350">
        <v>7325143.7324415334</v>
      </c>
      <c r="AG422" s="350">
        <v>14707813.082691461</v>
      </c>
      <c r="AH422" s="350">
        <v>22146354.869292289</v>
      </c>
      <c r="AI422" s="350">
        <v>29641015.733077079</v>
      </c>
      <c r="AJ422" s="350">
        <v>37192876.509537891</v>
      </c>
      <c r="AK422" s="348">
        <v>111013203.92704025</v>
      </c>
      <c r="AL422" s="369"/>
      <c r="AM422" s="350">
        <v>8296591.553622935</v>
      </c>
      <c r="AN422" s="350">
        <v>17570529.190604493</v>
      </c>
      <c r="AO422" s="350">
        <v>26562889.617857337</v>
      </c>
      <c r="AP422" s="350">
        <v>35267904.551816218</v>
      </c>
      <c r="AQ422" s="350">
        <v>43682127.492952287</v>
      </c>
      <c r="AR422" s="348">
        <v>131380042.40685326</v>
      </c>
      <c r="AS422" s="369"/>
      <c r="AT422" s="350">
        <f t="shared" si="195"/>
        <v>971447.82118140161</v>
      </c>
      <c r="AU422" s="350">
        <f t="shared" si="178"/>
        <v>2862716.1079130322</v>
      </c>
      <c r="AV422" s="350">
        <f t="shared" si="179"/>
        <v>4416534.748565048</v>
      </c>
      <c r="AW422" s="350">
        <f t="shared" si="180"/>
        <v>5626888.8187391385</v>
      </c>
      <c r="AX422" s="350">
        <f t="shared" si="181"/>
        <v>6489250.9834143966</v>
      </c>
      <c r="AY422" s="350">
        <f t="shared" si="182"/>
        <v>20366838.47981301</v>
      </c>
      <c r="AZ422" s="365"/>
      <c r="BA422" s="377">
        <f t="shared" si="183"/>
        <v>0</v>
      </c>
      <c r="BB422" s="377">
        <f t="shared" si="184"/>
        <v>0</v>
      </c>
      <c r="BC422" s="377">
        <f t="shared" si="185"/>
        <v>0</v>
      </c>
      <c r="BD422" s="377">
        <f t="shared" si="186"/>
        <v>0</v>
      </c>
      <c r="BE422" s="377">
        <f t="shared" si="187"/>
        <v>0</v>
      </c>
      <c r="BF422" s="377">
        <f t="shared" si="188"/>
        <v>0</v>
      </c>
      <c r="BG422" s="328"/>
    </row>
    <row r="423" spans="2:59">
      <c r="B423" s="332">
        <v>408</v>
      </c>
      <c r="C423" s="350">
        <v>8135759.9948769994</v>
      </c>
      <c r="D423" s="350">
        <v>15420126.52247797</v>
      </c>
      <c r="E423" s="350">
        <v>22759360.560175955</v>
      </c>
      <c r="F423" s="350">
        <v>30153942.609505463</v>
      </c>
      <c r="G423" s="350">
        <v>37605042.295502774</v>
      </c>
      <c r="H423" s="348">
        <v>114074231.98253915</v>
      </c>
      <c r="I423" s="369"/>
      <c r="J423" s="350">
        <v>9216209.3896906171</v>
      </c>
      <c r="K423" s="350">
        <v>18606458.742465083</v>
      </c>
      <c r="L423" s="350">
        <v>27749274.307995949</v>
      </c>
      <c r="M423" s="350">
        <v>36638190.024893776</v>
      </c>
      <c r="N423" s="350">
        <v>45269014.537795924</v>
      </c>
      <c r="O423" s="348">
        <v>137479147.00284135</v>
      </c>
      <c r="P423" s="369"/>
      <c r="Q423" s="350">
        <f t="shared" si="189"/>
        <v>1080449.3948136177</v>
      </c>
      <c r="R423" s="350">
        <f t="shared" si="190"/>
        <v>3186332.219987113</v>
      </c>
      <c r="S423" s="350">
        <f t="shared" si="191"/>
        <v>4989913.7478199936</v>
      </c>
      <c r="T423" s="350">
        <f t="shared" si="192"/>
        <v>6484247.4153883122</v>
      </c>
      <c r="U423" s="350">
        <f t="shared" si="193"/>
        <v>7663972.2422931492</v>
      </c>
      <c r="V423" s="350">
        <f t="shared" si="194"/>
        <v>23404915.020302206</v>
      </c>
      <c r="W423" s="365"/>
      <c r="X423" s="377">
        <f t="shared" si="172"/>
        <v>0</v>
      </c>
      <c r="Y423" s="377">
        <f t="shared" si="173"/>
        <v>0</v>
      </c>
      <c r="Z423" s="377">
        <f t="shared" si="174"/>
        <v>0</v>
      </c>
      <c r="AA423" s="377">
        <f t="shared" si="175"/>
        <v>0</v>
      </c>
      <c r="AB423" s="377">
        <f t="shared" si="176"/>
        <v>0</v>
      </c>
      <c r="AC423" s="377">
        <f t="shared" si="177"/>
        <v>0</v>
      </c>
      <c r="AD423" s="376"/>
      <c r="AE423" s="332">
        <v>408</v>
      </c>
      <c r="AF423" s="350">
        <v>4946854.9130908381</v>
      </c>
      <c r="AG423" s="350">
        <v>9932558.3314777222</v>
      </c>
      <c r="AH423" s="350">
        <v>14955993.819891399</v>
      </c>
      <c r="AI423" s="350">
        <v>20017327.94112727</v>
      </c>
      <c r="AJ423" s="350">
        <v>25117290.610741869</v>
      </c>
      <c r="AK423" s="348">
        <v>74970025.616329104</v>
      </c>
      <c r="AL423" s="369"/>
      <c r="AM423" s="350">
        <v>5912632.8216717448</v>
      </c>
      <c r="AN423" s="350">
        <v>12784404.865663491</v>
      </c>
      <c r="AO423" s="350">
        <v>19475297.344461884</v>
      </c>
      <c r="AP423" s="350">
        <v>25981327.185780432</v>
      </c>
      <c r="AQ423" s="350">
        <v>32300480.569831349</v>
      </c>
      <c r="AR423" s="348">
        <v>96454142.787408918</v>
      </c>
      <c r="AS423" s="369"/>
      <c r="AT423" s="350">
        <f t="shared" si="195"/>
        <v>965777.90858090669</v>
      </c>
      <c r="AU423" s="350">
        <f t="shared" si="178"/>
        <v>2851846.534185769</v>
      </c>
      <c r="AV423" s="350">
        <f t="shared" si="179"/>
        <v>4519303.5245704856</v>
      </c>
      <c r="AW423" s="350">
        <f t="shared" si="180"/>
        <v>5963999.2446531616</v>
      </c>
      <c r="AX423" s="350">
        <f t="shared" si="181"/>
        <v>7183189.9590894803</v>
      </c>
      <c r="AY423" s="350">
        <f t="shared" si="182"/>
        <v>21484117.171079814</v>
      </c>
      <c r="AZ423" s="365"/>
      <c r="BA423" s="377">
        <f t="shared" si="183"/>
        <v>0</v>
      </c>
      <c r="BB423" s="377">
        <f t="shared" si="184"/>
        <v>0</v>
      </c>
      <c r="BC423" s="377">
        <f t="shared" si="185"/>
        <v>0</v>
      </c>
      <c r="BD423" s="377">
        <f t="shared" si="186"/>
        <v>0</v>
      </c>
      <c r="BE423" s="377">
        <f t="shared" si="187"/>
        <v>0</v>
      </c>
      <c r="BF423" s="377">
        <f t="shared" si="188"/>
        <v>0</v>
      </c>
      <c r="BG423" s="328"/>
    </row>
    <row r="424" spans="2:59">
      <c r="B424" s="332">
        <v>409</v>
      </c>
      <c r="C424" s="350">
        <v>7731817.5647747824</v>
      </c>
      <c r="D424" s="350">
        <v>14480414.322360037</v>
      </c>
      <c r="E424" s="350">
        <v>21279787.173748732</v>
      </c>
      <c r="F424" s="350">
        <v>28130432.055195756</v>
      </c>
      <c r="G424" s="350">
        <v>35033454.65757639</v>
      </c>
      <c r="H424" s="348">
        <v>106655905.77365568</v>
      </c>
      <c r="I424" s="369"/>
      <c r="J424" s="350">
        <v>8936168.4599110205</v>
      </c>
      <c r="K424" s="350">
        <v>18035551.061444327</v>
      </c>
      <c r="L424" s="350">
        <v>26920484.727778316</v>
      </c>
      <c r="M424" s="350">
        <v>35584649.376471356</v>
      </c>
      <c r="N424" s="350">
        <v>44024054.002421096</v>
      </c>
      <c r="O424" s="348">
        <v>133500907.62802611</v>
      </c>
      <c r="P424" s="369"/>
      <c r="Q424" s="350">
        <f t="shared" si="189"/>
        <v>1204350.8951362381</v>
      </c>
      <c r="R424" s="350">
        <f t="shared" si="190"/>
        <v>3555136.7390842903</v>
      </c>
      <c r="S424" s="350">
        <f t="shared" si="191"/>
        <v>5640697.5540295839</v>
      </c>
      <c r="T424" s="350">
        <f t="shared" si="192"/>
        <v>7454217.3212755993</v>
      </c>
      <c r="U424" s="350">
        <f t="shared" si="193"/>
        <v>8990599.3448447064</v>
      </c>
      <c r="V424" s="350">
        <f t="shared" si="194"/>
        <v>26845001.85437043</v>
      </c>
      <c r="W424" s="365"/>
      <c r="X424" s="377">
        <f t="shared" si="172"/>
        <v>0</v>
      </c>
      <c r="Y424" s="377">
        <f t="shared" si="173"/>
        <v>0</v>
      </c>
      <c r="Z424" s="377">
        <f t="shared" si="174"/>
        <v>0</v>
      </c>
      <c r="AA424" s="377">
        <f t="shared" si="175"/>
        <v>0</v>
      </c>
      <c r="AB424" s="377">
        <f t="shared" si="176"/>
        <v>0</v>
      </c>
      <c r="AC424" s="377">
        <f t="shared" si="177"/>
        <v>0</v>
      </c>
      <c r="AD424" s="376"/>
      <c r="AE424" s="332">
        <v>409</v>
      </c>
      <c r="AF424" s="350">
        <v>5890094.2359757032</v>
      </c>
      <c r="AG424" s="350">
        <v>11826444.398421975</v>
      </c>
      <c r="AH424" s="350">
        <v>17807721.176279612</v>
      </c>
      <c r="AI424" s="350">
        <v>23834122.891629685</v>
      </c>
      <c r="AJ424" s="350">
        <v>29906518.636347298</v>
      </c>
      <c r="AK424" s="348">
        <v>89264901.338654265</v>
      </c>
      <c r="AL424" s="369"/>
      <c r="AM424" s="350">
        <v>7155239.3452016991</v>
      </c>
      <c r="AN424" s="350">
        <v>15563768.040778629</v>
      </c>
      <c r="AO424" s="350">
        <v>23760378.855374083</v>
      </c>
      <c r="AP424" s="350">
        <v>31740296.658289231</v>
      </c>
      <c r="AQ424" s="350">
        <v>39501240.334316231</v>
      </c>
      <c r="AR424" s="348">
        <v>117720923.23395988</v>
      </c>
      <c r="AS424" s="369"/>
      <c r="AT424" s="350">
        <f t="shared" si="195"/>
        <v>1265145.1092259958</v>
      </c>
      <c r="AU424" s="350">
        <f t="shared" si="178"/>
        <v>3737323.6423566546</v>
      </c>
      <c r="AV424" s="350">
        <f t="shared" si="179"/>
        <v>5952657.679094471</v>
      </c>
      <c r="AW424" s="350">
        <f t="shared" si="180"/>
        <v>7906173.7666595466</v>
      </c>
      <c r="AX424" s="350">
        <f t="shared" si="181"/>
        <v>9594721.6979689337</v>
      </c>
      <c r="AY424" s="350">
        <f t="shared" si="182"/>
        <v>28456021.895305619</v>
      </c>
      <c r="AZ424" s="365"/>
      <c r="BA424" s="377">
        <f t="shared" si="183"/>
        <v>0</v>
      </c>
      <c r="BB424" s="377">
        <f t="shared" si="184"/>
        <v>0</v>
      </c>
      <c r="BC424" s="377">
        <f t="shared" si="185"/>
        <v>0</v>
      </c>
      <c r="BD424" s="377">
        <f t="shared" si="186"/>
        <v>0</v>
      </c>
      <c r="BE424" s="377">
        <f t="shared" si="187"/>
        <v>0</v>
      </c>
      <c r="BF424" s="377">
        <f t="shared" si="188"/>
        <v>0</v>
      </c>
      <c r="BG424" s="328"/>
    </row>
    <row r="425" spans="2:59">
      <c r="B425" s="332">
        <v>410</v>
      </c>
      <c r="C425" s="350">
        <v>6016190.0734223546</v>
      </c>
      <c r="D425" s="350">
        <v>11468255.467224933</v>
      </c>
      <c r="E425" s="350">
        <v>16961408.069907282</v>
      </c>
      <c r="F425" s="350">
        <v>22495988.427019019</v>
      </c>
      <c r="G425" s="350">
        <v>28072863.650929883</v>
      </c>
      <c r="H425" s="348">
        <v>85014705.688503474</v>
      </c>
      <c r="I425" s="369"/>
      <c r="J425" s="350">
        <v>6623095.6592247272</v>
      </c>
      <c r="K425" s="350">
        <v>13254709.858035196</v>
      </c>
      <c r="L425" s="350">
        <v>19700785.572104797</v>
      </c>
      <c r="M425" s="350">
        <v>25956290.610614482</v>
      </c>
      <c r="N425" s="350">
        <v>32017635.81296958</v>
      </c>
      <c r="O425" s="348">
        <v>97552517.512948781</v>
      </c>
      <c r="P425" s="369"/>
      <c r="Q425" s="350">
        <f t="shared" si="189"/>
        <v>606905.58580237255</v>
      </c>
      <c r="R425" s="350">
        <f t="shared" si="190"/>
        <v>1786454.3908102624</v>
      </c>
      <c r="S425" s="350">
        <f t="shared" si="191"/>
        <v>2739377.5021975152</v>
      </c>
      <c r="T425" s="350">
        <f t="shared" si="192"/>
        <v>3460302.1835954636</v>
      </c>
      <c r="U425" s="350">
        <f t="shared" si="193"/>
        <v>3944772.1620396972</v>
      </c>
      <c r="V425" s="350">
        <f t="shared" si="194"/>
        <v>12537811.824445307</v>
      </c>
      <c r="W425" s="365"/>
      <c r="X425" s="377">
        <f t="shared" si="172"/>
        <v>0</v>
      </c>
      <c r="Y425" s="377">
        <f t="shared" si="173"/>
        <v>0</v>
      </c>
      <c r="Z425" s="377">
        <f t="shared" si="174"/>
        <v>0</v>
      </c>
      <c r="AA425" s="377">
        <f t="shared" si="175"/>
        <v>0</v>
      </c>
      <c r="AB425" s="377">
        <f t="shared" si="176"/>
        <v>0</v>
      </c>
      <c r="AC425" s="377">
        <f t="shared" si="177"/>
        <v>0</v>
      </c>
      <c r="AD425" s="376"/>
      <c r="AE425" s="332">
        <v>410</v>
      </c>
      <c r="AF425" s="350">
        <v>6275782.1027350295</v>
      </c>
      <c r="AG425" s="350">
        <v>12600849.005315259</v>
      </c>
      <c r="AH425" s="350">
        <v>18973784.352378599</v>
      </c>
      <c r="AI425" s="350">
        <v>25394799.45228738</v>
      </c>
      <c r="AJ425" s="350">
        <v>31864820.305716105</v>
      </c>
      <c r="AK425" s="348">
        <v>95110035.218432367</v>
      </c>
      <c r="AL425" s="369"/>
      <c r="AM425" s="350">
        <v>7642308.2551086955</v>
      </c>
      <c r="AN425" s="350">
        <v>16637874.830944348</v>
      </c>
      <c r="AO425" s="350">
        <v>25408202.211382497</v>
      </c>
      <c r="AP425" s="350">
        <v>33948197.343180776</v>
      </c>
      <c r="AQ425" s="350">
        <v>42255448.516994797</v>
      </c>
      <c r="AR425" s="348">
        <v>125892031.1576111</v>
      </c>
      <c r="AS425" s="369"/>
      <c r="AT425" s="350">
        <f t="shared" si="195"/>
        <v>1366526.1523736659</v>
      </c>
      <c r="AU425" s="350">
        <f t="shared" si="178"/>
        <v>4037025.825629089</v>
      </c>
      <c r="AV425" s="350">
        <f t="shared" si="179"/>
        <v>6434417.8590038978</v>
      </c>
      <c r="AW425" s="350">
        <f t="shared" si="180"/>
        <v>8553397.890893396</v>
      </c>
      <c r="AX425" s="350">
        <f t="shared" si="181"/>
        <v>10390628.211278692</v>
      </c>
      <c r="AY425" s="350">
        <f t="shared" si="182"/>
        <v>30781995.939178735</v>
      </c>
      <c r="AZ425" s="365"/>
      <c r="BA425" s="377">
        <f t="shared" si="183"/>
        <v>0</v>
      </c>
      <c r="BB425" s="377">
        <f t="shared" si="184"/>
        <v>0</v>
      </c>
      <c r="BC425" s="377">
        <f t="shared" si="185"/>
        <v>0</v>
      </c>
      <c r="BD425" s="377">
        <f t="shared" si="186"/>
        <v>0</v>
      </c>
      <c r="BE425" s="377">
        <f t="shared" si="187"/>
        <v>0</v>
      </c>
      <c r="BF425" s="377">
        <f t="shared" si="188"/>
        <v>0</v>
      </c>
      <c r="BG425" s="328"/>
    </row>
    <row r="426" spans="2:59">
      <c r="B426" s="332">
        <v>411</v>
      </c>
      <c r="C426" s="350">
        <v>7145891.5702288439</v>
      </c>
      <c r="D426" s="350">
        <v>13422368.270638265</v>
      </c>
      <c r="E426" s="350">
        <v>19746081.795204423</v>
      </c>
      <c r="F426" s="350">
        <v>26117481.628936205</v>
      </c>
      <c r="G426" s="350">
        <v>32537590.995312508</v>
      </c>
      <c r="H426" s="348">
        <v>98969414.260320246</v>
      </c>
      <c r="I426" s="369"/>
      <c r="J426" s="350">
        <v>8072301.0217413222</v>
      </c>
      <c r="K426" s="350">
        <v>16154358.071497437</v>
      </c>
      <c r="L426" s="350">
        <v>24029198.459416114</v>
      </c>
      <c r="M426" s="350">
        <v>31691051.179931253</v>
      </c>
      <c r="N426" s="350">
        <v>39136069.883456007</v>
      </c>
      <c r="O426" s="348">
        <v>119082978.61604214</v>
      </c>
      <c r="P426" s="369"/>
      <c r="Q426" s="350">
        <f t="shared" si="189"/>
        <v>926409.45151247829</v>
      </c>
      <c r="R426" s="350">
        <f t="shared" si="190"/>
        <v>2731989.8008591719</v>
      </c>
      <c r="S426" s="350">
        <f t="shared" si="191"/>
        <v>4283116.6642116904</v>
      </c>
      <c r="T426" s="350">
        <f t="shared" si="192"/>
        <v>5573569.5509950481</v>
      </c>
      <c r="U426" s="350">
        <f t="shared" si="193"/>
        <v>6598478.8881434985</v>
      </c>
      <c r="V426" s="350">
        <f t="shared" si="194"/>
        <v>20113564.355721891</v>
      </c>
      <c r="W426" s="365"/>
      <c r="X426" s="377">
        <f t="shared" si="172"/>
        <v>0</v>
      </c>
      <c r="Y426" s="377">
        <f t="shared" si="173"/>
        <v>0</v>
      </c>
      <c r="Z426" s="377">
        <f t="shared" si="174"/>
        <v>0</v>
      </c>
      <c r="AA426" s="377">
        <f t="shared" si="175"/>
        <v>0</v>
      </c>
      <c r="AB426" s="377">
        <f t="shared" si="176"/>
        <v>0</v>
      </c>
      <c r="AC426" s="377">
        <f t="shared" si="177"/>
        <v>0</v>
      </c>
      <c r="AD426" s="376"/>
      <c r="AE426" s="332">
        <v>411</v>
      </c>
      <c r="AF426" s="350">
        <v>6031649.1470695715</v>
      </c>
      <c r="AG426" s="350">
        <v>12110665.875754226</v>
      </c>
      <c r="AH426" s="350">
        <v>18235688.928051088</v>
      </c>
      <c r="AI426" s="350">
        <v>24406921.392257761</v>
      </c>
      <c r="AJ426" s="350">
        <v>30625253.246880054</v>
      </c>
      <c r="AK426" s="348">
        <v>91410178.590012699</v>
      </c>
      <c r="AL426" s="369"/>
      <c r="AM426" s="350">
        <v>7158525.3507401058</v>
      </c>
      <c r="AN426" s="350">
        <v>15437570.660292599</v>
      </c>
      <c r="AO426" s="350">
        <v>23494553.295903713</v>
      </c>
      <c r="AP426" s="350">
        <v>31324631.074754164</v>
      </c>
      <c r="AQ426" s="350">
        <v>38925297.233277895</v>
      </c>
      <c r="AR426" s="348">
        <v>116340577.61496848</v>
      </c>
      <c r="AS426" s="369"/>
      <c r="AT426" s="350">
        <f t="shared" si="195"/>
        <v>1126876.2036705343</v>
      </c>
      <c r="AU426" s="350">
        <f t="shared" si="178"/>
        <v>3326904.7845383734</v>
      </c>
      <c r="AV426" s="350">
        <f t="shared" si="179"/>
        <v>5258864.3678526245</v>
      </c>
      <c r="AW426" s="350">
        <f t="shared" si="180"/>
        <v>6917709.6824964024</v>
      </c>
      <c r="AX426" s="350">
        <f t="shared" si="181"/>
        <v>8300043.9863978401</v>
      </c>
      <c r="AY426" s="350">
        <f t="shared" si="182"/>
        <v>24930399.024955779</v>
      </c>
      <c r="AZ426" s="365"/>
      <c r="BA426" s="377">
        <f t="shared" si="183"/>
        <v>0</v>
      </c>
      <c r="BB426" s="377">
        <f t="shared" si="184"/>
        <v>0</v>
      </c>
      <c r="BC426" s="377">
        <f t="shared" si="185"/>
        <v>0</v>
      </c>
      <c r="BD426" s="377">
        <f t="shared" si="186"/>
        <v>0</v>
      </c>
      <c r="BE426" s="377">
        <f t="shared" si="187"/>
        <v>0</v>
      </c>
      <c r="BF426" s="377">
        <f t="shared" si="188"/>
        <v>0</v>
      </c>
      <c r="BG426" s="328"/>
    </row>
    <row r="427" spans="2:59">
      <c r="B427" s="332">
        <v>412</v>
      </c>
      <c r="C427" s="350">
        <v>6653269.3086913098</v>
      </c>
      <c r="D427" s="350">
        <v>12515776.641508639</v>
      </c>
      <c r="E427" s="350">
        <v>18422411.384644136</v>
      </c>
      <c r="F427" s="350">
        <v>24373587.812350862</v>
      </c>
      <c r="G427" s="350">
        <v>30370259.239521425</v>
      </c>
      <c r="H427" s="348">
        <v>92335304.386716366</v>
      </c>
      <c r="I427" s="369"/>
      <c r="J427" s="350">
        <v>7669768.5217876052</v>
      </c>
      <c r="K427" s="350">
        <v>15515975.401905417</v>
      </c>
      <c r="L427" s="350">
        <v>23181743.430696569</v>
      </c>
      <c r="M427" s="350">
        <v>30661300.103789091</v>
      </c>
      <c r="N427" s="350">
        <v>37950856.503009744</v>
      </c>
      <c r="O427" s="348">
        <v>114979643.96118844</v>
      </c>
      <c r="P427" s="369"/>
      <c r="Q427" s="350">
        <f t="shared" si="189"/>
        <v>1016499.2130962955</v>
      </c>
      <c r="R427" s="350">
        <f t="shared" si="190"/>
        <v>3000198.7603967786</v>
      </c>
      <c r="S427" s="350">
        <f t="shared" si="191"/>
        <v>4759332.0460524336</v>
      </c>
      <c r="T427" s="350">
        <f t="shared" si="192"/>
        <v>6287712.2914382294</v>
      </c>
      <c r="U427" s="350">
        <f t="shared" si="193"/>
        <v>7580597.2634883188</v>
      </c>
      <c r="V427" s="350">
        <f t="shared" si="194"/>
        <v>22644339.57447207</v>
      </c>
      <c r="W427" s="365"/>
      <c r="X427" s="377">
        <f t="shared" si="172"/>
        <v>0</v>
      </c>
      <c r="Y427" s="377">
        <f t="shared" si="173"/>
        <v>0</v>
      </c>
      <c r="Z427" s="377">
        <f t="shared" si="174"/>
        <v>0</v>
      </c>
      <c r="AA427" s="377">
        <f t="shared" si="175"/>
        <v>0</v>
      </c>
      <c r="AB427" s="377">
        <f t="shared" si="176"/>
        <v>0</v>
      </c>
      <c r="AC427" s="377">
        <f t="shared" si="177"/>
        <v>0</v>
      </c>
      <c r="AD427" s="376"/>
      <c r="AE427" s="332">
        <v>412</v>
      </c>
      <c r="AF427" s="350">
        <v>6066857.6731669502</v>
      </c>
      <c r="AG427" s="350">
        <v>12181359.426580254</v>
      </c>
      <c r="AH427" s="350">
        <v>18342136.056170084</v>
      </c>
      <c r="AI427" s="350">
        <v>24549391.835720718</v>
      </c>
      <c r="AJ427" s="350">
        <v>30804021.938806619</v>
      </c>
      <c r="AK427" s="348">
        <v>91943766.930444628</v>
      </c>
      <c r="AL427" s="369"/>
      <c r="AM427" s="350">
        <v>7871262.9421177823</v>
      </c>
      <c r="AN427" s="350">
        <v>17517528.437717777</v>
      </c>
      <c r="AO427" s="350">
        <v>26960530.212335248</v>
      </c>
      <c r="AP427" s="350">
        <v>36195208.048018262</v>
      </c>
      <c r="AQ427" s="350">
        <v>45219720.064704135</v>
      </c>
      <c r="AR427" s="348">
        <v>133764249.7048932</v>
      </c>
      <c r="AS427" s="369"/>
      <c r="AT427" s="350">
        <f t="shared" si="195"/>
        <v>1804405.2689508321</v>
      </c>
      <c r="AU427" s="350">
        <f t="shared" si="178"/>
        <v>5336169.0111375228</v>
      </c>
      <c r="AV427" s="350">
        <f t="shared" si="179"/>
        <v>8618394.156165164</v>
      </c>
      <c r="AW427" s="350">
        <f t="shared" si="180"/>
        <v>11645816.212297544</v>
      </c>
      <c r="AX427" s="350">
        <f t="shared" si="181"/>
        <v>14415698.125897516</v>
      </c>
      <c r="AY427" s="350">
        <f t="shared" si="182"/>
        <v>41820482.774448574</v>
      </c>
      <c r="AZ427" s="365"/>
      <c r="BA427" s="377">
        <f t="shared" si="183"/>
        <v>0</v>
      </c>
      <c r="BB427" s="377">
        <f t="shared" si="184"/>
        <v>0</v>
      </c>
      <c r="BC427" s="377">
        <f t="shared" si="185"/>
        <v>0</v>
      </c>
      <c r="BD427" s="377">
        <f t="shared" si="186"/>
        <v>0</v>
      </c>
      <c r="BE427" s="377">
        <f t="shared" si="187"/>
        <v>0</v>
      </c>
      <c r="BF427" s="377">
        <f t="shared" si="188"/>
        <v>0</v>
      </c>
      <c r="BG427" s="328"/>
    </row>
    <row r="428" spans="2:59">
      <c r="B428" s="332">
        <v>413</v>
      </c>
      <c r="C428" s="350">
        <v>6495674.3181413785</v>
      </c>
      <c r="D428" s="350">
        <v>12186768.973129839</v>
      </c>
      <c r="E428" s="350">
        <v>17920690.191308916</v>
      </c>
      <c r="F428" s="350">
        <v>23697849.779781871</v>
      </c>
      <c r="G428" s="350">
        <v>29519177.376497403</v>
      </c>
      <c r="H428" s="348">
        <v>89820160.638859406</v>
      </c>
      <c r="I428" s="369"/>
      <c r="J428" s="350">
        <v>7325663.3206537347</v>
      </c>
      <c r="K428" s="350">
        <v>14634249.81756271</v>
      </c>
      <c r="L428" s="350">
        <v>21747990.573573388</v>
      </c>
      <c r="M428" s="350">
        <v>28661927.767737027</v>
      </c>
      <c r="N428" s="350">
        <v>35372843.707536243</v>
      </c>
      <c r="O428" s="348">
        <v>107742675.1870631</v>
      </c>
      <c r="P428" s="369"/>
      <c r="Q428" s="350">
        <f t="shared" si="189"/>
        <v>829989.00251235627</v>
      </c>
      <c r="R428" s="350">
        <f t="shared" si="190"/>
        <v>2447480.8444328718</v>
      </c>
      <c r="S428" s="350">
        <f t="shared" si="191"/>
        <v>3827300.3822644725</v>
      </c>
      <c r="T428" s="350">
        <f t="shared" si="192"/>
        <v>4964077.9879551567</v>
      </c>
      <c r="U428" s="350">
        <f t="shared" si="193"/>
        <v>5853666.3310388401</v>
      </c>
      <c r="V428" s="350">
        <f t="shared" si="194"/>
        <v>17922514.548203692</v>
      </c>
      <c r="W428" s="365"/>
      <c r="X428" s="377">
        <f t="shared" si="172"/>
        <v>0</v>
      </c>
      <c r="Y428" s="377">
        <f t="shared" si="173"/>
        <v>0</v>
      </c>
      <c r="Z428" s="377">
        <f t="shared" si="174"/>
        <v>0</v>
      </c>
      <c r="AA428" s="377">
        <f t="shared" si="175"/>
        <v>0</v>
      </c>
      <c r="AB428" s="377">
        <f t="shared" si="176"/>
        <v>0</v>
      </c>
      <c r="AC428" s="377">
        <f t="shared" si="177"/>
        <v>0</v>
      </c>
      <c r="AD428" s="376"/>
      <c r="AE428" s="332">
        <v>413</v>
      </c>
      <c r="AF428" s="350">
        <v>6979239.8589062598</v>
      </c>
      <c r="AG428" s="350">
        <v>14013288.892810473</v>
      </c>
      <c r="AH428" s="350">
        <v>21100571.98587279</v>
      </c>
      <c r="AI428" s="350">
        <v>28241324.132189684</v>
      </c>
      <c r="AJ428" s="350">
        <v>35436575.128639229</v>
      </c>
      <c r="AK428" s="348">
        <v>105770999.99841842</v>
      </c>
      <c r="AL428" s="369"/>
      <c r="AM428" s="350">
        <v>8086552.3973958753</v>
      </c>
      <c r="AN428" s="350">
        <v>17279804.614608131</v>
      </c>
      <c r="AO428" s="350">
        <v>26210219.211923756</v>
      </c>
      <c r="AP428" s="350">
        <v>34872248.890248045</v>
      </c>
      <c r="AQ428" s="350">
        <v>43262793.956615403</v>
      </c>
      <c r="AR428" s="348">
        <v>129711619.07079121</v>
      </c>
      <c r="AS428" s="369"/>
      <c r="AT428" s="350">
        <f t="shared" si="195"/>
        <v>1107312.5384896155</v>
      </c>
      <c r="AU428" s="350">
        <f t="shared" si="178"/>
        <v>3266515.7217976581</v>
      </c>
      <c r="AV428" s="350">
        <f t="shared" si="179"/>
        <v>5109647.2260509655</v>
      </c>
      <c r="AW428" s="350">
        <f t="shared" si="180"/>
        <v>6630924.7580583617</v>
      </c>
      <c r="AX428" s="350">
        <f t="shared" si="181"/>
        <v>7826218.8279761747</v>
      </c>
      <c r="AY428" s="350">
        <f t="shared" si="182"/>
        <v>23940619.072372794</v>
      </c>
      <c r="AZ428" s="365"/>
      <c r="BA428" s="377">
        <f t="shared" si="183"/>
        <v>0</v>
      </c>
      <c r="BB428" s="377">
        <f t="shared" si="184"/>
        <v>0</v>
      </c>
      <c r="BC428" s="377">
        <f t="shared" si="185"/>
        <v>0</v>
      </c>
      <c r="BD428" s="377">
        <f t="shared" si="186"/>
        <v>0</v>
      </c>
      <c r="BE428" s="377">
        <f t="shared" si="187"/>
        <v>0</v>
      </c>
      <c r="BF428" s="377">
        <f t="shared" si="188"/>
        <v>0</v>
      </c>
      <c r="BG428" s="328"/>
    </row>
    <row r="429" spans="2:59">
      <c r="B429" s="332">
        <v>414</v>
      </c>
      <c r="C429" s="350">
        <v>8505222.2505311947</v>
      </c>
      <c r="D429" s="350">
        <v>16067817.780940535</v>
      </c>
      <c r="E429" s="350">
        <v>23687359.633813165</v>
      </c>
      <c r="F429" s="350">
        <v>31364361.995514113</v>
      </c>
      <c r="G429" s="350">
        <v>39100045.836209655</v>
      </c>
      <c r="H429" s="348">
        <v>118724807.49700867</v>
      </c>
      <c r="I429" s="369"/>
      <c r="J429" s="350">
        <v>9830255.6257508695</v>
      </c>
      <c r="K429" s="350">
        <v>19978827.077867486</v>
      </c>
      <c r="L429" s="350">
        <v>29882236.721690118</v>
      </c>
      <c r="M429" s="350">
        <v>39533503.472106494</v>
      </c>
      <c r="N429" s="350">
        <v>48928253.820471719</v>
      </c>
      <c r="O429" s="348">
        <v>148153076.71788669</v>
      </c>
      <c r="P429" s="369"/>
      <c r="Q429" s="350">
        <f t="shared" si="189"/>
        <v>1325033.3752196748</v>
      </c>
      <c r="R429" s="350">
        <f t="shared" si="190"/>
        <v>3911009.296926951</v>
      </c>
      <c r="S429" s="350">
        <f t="shared" si="191"/>
        <v>6194877.0878769532</v>
      </c>
      <c r="T429" s="350">
        <f t="shared" si="192"/>
        <v>8169141.4765923806</v>
      </c>
      <c r="U429" s="350">
        <f t="shared" si="193"/>
        <v>9828207.9842620641</v>
      </c>
      <c r="V429" s="350">
        <f t="shared" si="194"/>
        <v>29428269.22087802</v>
      </c>
      <c r="W429" s="365"/>
      <c r="X429" s="377">
        <f t="shared" si="172"/>
        <v>0</v>
      </c>
      <c r="Y429" s="377">
        <f t="shared" si="173"/>
        <v>0</v>
      </c>
      <c r="Z429" s="377">
        <f t="shared" si="174"/>
        <v>0</v>
      </c>
      <c r="AA429" s="377">
        <f t="shared" si="175"/>
        <v>0</v>
      </c>
      <c r="AB429" s="377">
        <f t="shared" si="176"/>
        <v>0</v>
      </c>
      <c r="AC429" s="377">
        <f t="shared" si="177"/>
        <v>0</v>
      </c>
      <c r="AD429" s="376"/>
      <c r="AE429" s="332">
        <v>414</v>
      </c>
      <c r="AF429" s="350">
        <v>5605470.3049483094</v>
      </c>
      <c r="AG429" s="350">
        <v>11254961.335520152</v>
      </c>
      <c r="AH429" s="350">
        <v>16947208.016256653</v>
      </c>
      <c r="AI429" s="350">
        <v>22682399.085825089</v>
      </c>
      <c r="AJ429" s="350">
        <v>28461361.639430225</v>
      </c>
      <c r="AK429" s="348">
        <v>84951400.381980434</v>
      </c>
      <c r="AL429" s="369"/>
      <c r="AM429" s="350">
        <v>7274054.9494173126</v>
      </c>
      <c r="AN429" s="350">
        <v>16189479.727252416</v>
      </c>
      <c r="AO429" s="350">
        <v>24917141.172737166</v>
      </c>
      <c r="AP429" s="350">
        <v>33452363.50241103</v>
      </c>
      <c r="AQ429" s="350">
        <v>41793446.335233212</v>
      </c>
      <c r="AR429" s="348">
        <v>123626485.68705115</v>
      </c>
      <c r="AS429" s="369"/>
      <c r="AT429" s="350">
        <f t="shared" si="195"/>
        <v>1668584.6444690032</v>
      </c>
      <c r="AU429" s="350">
        <f t="shared" si="178"/>
        <v>4934518.3917322643</v>
      </c>
      <c r="AV429" s="350">
        <f t="shared" si="179"/>
        <v>7969933.1564805135</v>
      </c>
      <c r="AW429" s="350">
        <f t="shared" si="180"/>
        <v>10769964.416585941</v>
      </c>
      <c r="AX429" s="350">
        <f t="shared" si="181"/>
        <v>13332084.695802987</v>
      </c>
      <c r="AY429" s="350">
        <f t="shared" si="182"/>
        <v>38675085.305070713</v>
      </c>
      <c r="AZ429" s="365"/>
      <c r="BA429" s="377">
        <f t="shared" si="183"/>
        <v>0</v>
      </c>
      <c r="BB429" s="377">
        <f t="shared" si="184"/>
        <v>0</v>
      </c>
      <c r="BC429" s="377">
        <f t="shared" si="185"/>
        <v>0</v>
      </c>
      <c r="BD429" s="377">
        <f t="shared" si="186"/>
        <v>0</v>
      </c>
      <c r="BE429" s="377">
        <f t="shared" si="187"/>
        <v>0</v>
      </c>
      <c r="BF429" s="377">
        <f t="shared" si="188"/>
        <v>0</v>
      </c>
      <c r="BG429" s="328"/>
    </row>
    <row r="430" spans="2:59">
      <c r="B430" s="332">
        <v>415</v>
      </c>
      <c r="C430" s="350">
        <v>7024115.6679198183</v>
      </c>
      <c r="D430" s="350">
        <v>13244174.77212834</v>
      </c>
      <c r="E430" s="350">
        <v>19511062.636677966</v>
      </c>
      <c r="F430" s="350">
        <v>25825209.680053145</v>
      </c>
      <c r="G430" s="350">
        <v>32187623.390366316</v>
      </c>
      <c r="H430" s="348">
        <v>97792186.147145584</v>
      </c>
      <c r="I430" s="369"/>
      <c r="J430" s="350">
        <v>8398511.1840717643</v>
      </c>
      <c r="K430" s="350">
        <v>17304901.855030298</v>
      </c>
      <c r="L430" s="350">
        <v>26020688.580385879</v>
      </c>
      <c r="M430" s="350">
        <v>34539968.200889416</v>
      </c>
      <c r="N430" s="350">
        <v>42859342.992666781</v>
      </c>
      <c r="O430" s="348">
        <v>129123412.81304413</v>
      </c>
      <c r="P430" s="369"/>
      <c r="Q430" s="350">
        <f t="shared" si="189"/>
        <v>1374395.516151946</v>
      </c>
      <c r="R430" s="350">
        <f t="shared" si="190"/>
        <v>4060727.0829019584</v>
      </c>
      <c r="S430" s="350">
        <f t="shared" si="191"/>
        <v>6509625.9437079132</v>
      </c>
      <c r="T430" s="350">
        <f t="shared" si="192"/>
        <v>8714758.5208362713</v>
      </c>
      <c r="U430" s="350">
        <f t="shared" si="193"/>
        <v>10671719.602300465</v>
      </c>
      <c r="V430" s="350">
        <f t="shared" si="194"/>
        <v>31331226.665898547</v>
      </c>
      <c r="W430" s="365"/>
      <c r="X430" s="377">
        <f t="shared" si="172"/>
        <v>0</v>
      </c>
      <c r="Y430" s="377">
        <f t="shared" si="173"/>
        <v>0</v>
      </c>
      <c r="Z430" s="377">
        <f t="shared" si="174"/>
        <v>0</v>
      </c>
      <c r="AA430" s="377">
        <f t="shared" si="175"/>
        <v>0</v>
      </c>
      <c r="AB430" s="377">
        <f t="shared" si="176"/>
        <v>0</v>
      </c>
      <c r="AC430" s="377">
        <f t="shared" si="177"/>
        <v>0</v>
      </c>
      <c r="AD430" s="376"/>
      <c r="AE430" s="332">
        <v>415</v>
      </c>
      <c r="AF430" s="350">
        <v>6911480.4285674589</v>
      </c>
      <c r="AG430" s="350">
        <v>13877237.905633382</v>
      </c>
      <c r="AH430" s="350">
        <v>20895712.60770411</v>
      </c>
      <c r="AI430" s="350">
        <v>27967137.247386087</v>
      </c>
      <c r="AJ430" s="350">
        <v>35092531.623555996</v>
      </c>
      <c r="AK430" s="348">
        <v>104744099.81284702</v>
      </c>
      <c r="AL430" s="369"/>
      <c r="AM430" s="350">
        <v>8168204.6455595456</v>
      </c>
      <c r="AN430" s="350">
        <v>17587034.188978761</v>
      </c>
      <c r="AO430" s="350">
        <v>26750374.83739192</v>
      </c>
      <c r="AP430" s="350">
        <v>35652687.849006727</v>
      </c>
      <c r="AQ430" s="350">
        <v>44291065.831703261</v>
      </c>
      <c r="AR430" s="348">
        <v>132449367.35264021</v>
      </c>
      <c r="AS430" s="369"/>
      <c r="AT430" s="350">
        <f t="shared" si="195"/>
        <v>1256724.2169920867</v>
      </c>
      <c r="AU430" s="350">
        <f t="shared" si="178"/>
        <v>3709796.2833453789</v>
      </c>
      <c r="AV430" s="350">
        <f t="shared" si="179"/>
        <v>5854662.2296878099</v>
      </c>
      <c r="AW430" s="350">
        <f t="shared" si="180"/>
        <v>7685550.6016206406</v>
      </c>
      <c r="AX430" s="350">
        <f t="shared" si="181"/>
        <v>9198534.208147265</v>
      </c>
      <c r="AY430" s="350">
        <f t="shared" si="182"/>
        <v>27705267.539793193</v>
      </c>
      <c r="AZ430" s="365"/>
      <c r="BA430" s="377">
        <f t="shared" si="183"/>
        <v>0</v>
      </c>
      <c r="BB430" s="377">
        <f t="shared" si="184"/>
        <v>0</v>
      </c>
      <c r="BC430" s="377">
        <f t="shared" si="185"/>
        <v>0</v>
      </c>
      <c r="BD430" s="377">
        <f t="shared" si="186"/>
        <v>0</v>
      </c>
      <c r="BE430" s="377">
        <f t="shared" si="187"/>
        <v>0</v>
      </c>
      <c r="BF430" s="377">
        <f t="shared" si="188"/>
        <v>0</v>
      </c>
      <c r="BG430" s="328"/>
    </row>
    <row r="431" spans="2:59">
      <c r="B431" s="332">
        <v>416</v>
      </c>
      <c r="C431" s="350">
        <v>9048977.7569711395</v>
      </c>
      <c r="D431" s="350">
        <v>16898040.847031225</v>
      </c>
      <c r="E431" s="350">
        <v>24806143.686135985</v>
      </c>
      <c r="F431" s="350">
        <v>32773877.799119126</v>
      </c>
      <c r="G431" s="350">
        <v>40802535.581275061</v>
      </c>
      <c r="H431" s="348">
        <v>124329575.67053254</v>
      </c>
      <c r="I431" s="369"/>
      <c r="J431" s="350">
        <v>10498104.946846601</v>
      </c>
      <c r="K431" s="350">
        <v>21176402.015282463</v>
      </c>
      <c r="L431" s="350">
        <v>31605694.301889304</v>
      </c>
      <c r="M431" s="350">
        <v>41778672.177092388</v>
      </c>
      <c r="N431" s="350">
        <v>51690790.827913962</v>
      </c>
      <c r="O431" s="348">
        <v>156749664.26902473</v>
      </c>
      <c r="P431" s="369"/>
      <c r="Q431" s="350">
        <f t="shared" si="189"/>
        <v>1449127.1898754612</v>
      </c>
      <c r="R431" s="350">
        <f t="shared" si="190"/>
        <v>4278361.1682512388</v>
      </c>
      <c r="S431" s="350">
        <f t="shared" si="191"/>
        <v>6799550.6157533191</v>
      </c>
      <c r="T431" s="350">
        <f t="shared" si="192"/>
        <v>9004794.3779732622</v>
      </c>
      <c r="U431" s="350">
        <f t="shared" si="193"/>
        <v>10888255.246638902</v>
      </c>
      <c r="V431" s="350">
        <f t="shared" si="194"/>
        <v>32420088.59849219</v>
      </c>
      <c r="W431" s="365"/>
      <c r="X431" s="377">
        <f t="shared" si="172"/>
        <v>0</v>
      </c>
      <c r="Y431" s="377">
        <f t="shared" si="173"/>
        <v>0</v>
      </c>
      <c r="Z431" s="377">
        <f t="shared" si="174"/>
        <v>0</v>
      </c>
      <c r="AA431" s="377">
        <f t="shared" si="175"/>
        <v>0</v>
      </c>
      <c r="AB431" s="377">
        <f t="shared" si="176"/>
        <v>0</v>
      </c>
      <c r="AC431" s="377">
        <f t="shared" si="177"/>
        <v>0</v>
      </c>
      <c r="AD431" s="376"/>
      <c r="AE431" s="332">
        <v>416</v>
      </c>
      <c r="AF431" s="350">
        <v>7227685.0328983795</v>
      </c>
      <c r="AG431" s="350">
        <v>14512130.323619494</v>
      </c>
      <c r="AH431" s="350">
        <v>21851704.685757525</v>
      </c>
      <c r="AI431" s="350">
        <v>29246651.478667971</v>
      </c>
      <c r="AJ431" s="350">
        <v>36698037.157671615</v>
      </c>
      <c r="AK431" s="348">
        <v>109536208.67861499</v>
      </c>
      <c r="AL431" s="369"/>
      <c r="AM431" s="350">
        <v>8183754.3343988704</v>
      </c>
      <c r="AN431" s="350">
        <v>17329481.904884942</v>
      </c>
      <c r="AO431" s="350">
        <v>26197305.070970699</v>
      </c>
      <c r="AP431" s="350">
        <v>34781532.988264799</v>
      </c>
      <c r="AQ431" s="350">
        <v>43078762.526775159</v>
      </c>
      <c r="AR431" s="348">
        <v>129570836.82529446</v>
      </c>
      <c r="AS431" s="369"/>
      <c r="AT431" s="350">
        <f t="shared" si="195"/>
        <v>956069.30150049087</v>
      </c>
      <c r="AU431" s="350">
        <f t="shared" si="178"/>
        <v>2817351.5812654477</v>
      </c>
      <c r="AV431" s="350">
        <f t="shared" si="179"/>
        <v>4345600.3852131739</v>
      </c>
      <c r="AW431" s="350">
        <f t="shared" si="180"/>
        <v>5534881.5095968284</v>
      </c>
      <c r="AX431" s="350">
        <f t="shared" si="181"/>
        <v>6380725.3691035435</v>
      </c>
      <c r="AY431" s="350">
        <f t="shared" si="182"/>
        <v>20034628.146679476</v>
      </c>
      <c r="AZ431" s="365"/>
      <c r="BA431" s="377">
        <f t="shared" si="183"/>
        <v>0</v>
      </c>
      <c r="BB431" s="377">
        <f t="shared" si="184"/>
        <v>0</v>
      </c>
      <c r="BC431" s="377">
        <f t="shared" si="185"/>
        <v>0</v>
      </c>
      <c r="BD431" s="377">
        <f t="shared" si="186"/>
        <v>0</v>
      </c>
      <c r="BE431" s="377">
        <f t="shared" si="187"/>
        <v>0</v>
      </c>
      <c r="BF431" s="377">
        <f t="shared" si="188"/>
        <v>0</v>
      </c>
      <c r="BG431" s="328"/>
    </row>
    <row r="432" spans="2:59">
      <c r="B432" s="332">
        <v>417</v>
      </c>
      <c r="C432" s="350">
        <v>7179130.5753465332</v>
      </c>
      <c r="D432" s="350">
        <v>13438801.411661241</v>
      </c>
      <c r="E432" s="350">
        <v>19745567.541281391</v>
      </c>
      <c r="F432" s="350">
        <v>26099890.921719037</v>
      </c>
      <c r="G432" s="350">
        <v>32502797.987094123</v>
      </c>
      <c r="H432" s="348">
        <v>98966188.437102333</v>
      </c>
      <c r="I432" s="369"/>
      <c r="J432" s="350">
        <v>8056957.2615233194</v>
      </c>
      <c r="K432" s="350">
        <v>16026745.835868169</v>
      </c>
      <c r="L432" s="350">
        <v>23793045.837855723</v>
      </c>
      <c r="M432" s="350">
        <v>31349942.451294184</v>
      </c>
      <c r="N432" s="350">
        <v>38693365.760169439</v>
      </c>
      <c r="O432" s="348">
        <v>117920057.14671084</v>
      </c>
      <c r="P432" s="369"/>
      <c r="Q432" s="350">
        <f t="shared" si="189"/>
        <v>877826.6861767862</v>
      </c>
      <c r="R432" s="350">
        <f t="shared" si="190"/>
        <v>2587944.4242069274</v>
      </c>
      <c r="S432" s="350">
        <f t="shared" si="191"/>
        <v>4047478.2965743318</v>
      </c>
      <c r="T432" s="350">
        <f t="shared" si="192"/>
        <v>5250051.5295751467</v>
      </c>
      <c r="U432" s="350">
        <f t="shared" si="193"/>
        <v>6190567.7730753161</v>
      </c>
      <c r="V432" s="350">
        <f t="shared" si="194"/>
        <v>18953868.70960851</v>
      </c>
      <c r="W432" s="365"/>
      <c r="X432" s="377">
        <f t="shared" si="172"/>
        <v>0</v>
      </c>
      <c r="Y432" s="377">
        <f t="shared" si="173"/>
        <v>0</v>
      </c>
      <c r="Z432" s="377">
        <f t="shared" si="174"/>
        <v>0</v>
      </c>
      <c r="AA432" s="377">
        <f t="shared" si="175"/>
        <v>0</v>
      </c>
      <c r="AB432" s="377">
        <f t="shared" si="176"/>
        <v>0</v>
      </c>
      <c r="AC432" s="377">
        <f t="shared" si="177"/>
        <v>0</v>
      </c>
      <c r="AD432" s="376"/>
      <c r="AE432" s="332">
        <v>417</v>
      </c>
      <c r="AF432" s="350">
        <v>7050764.5194188021</v>
      </c>
      <c r="AG432" s="350">
        <v>14156899.909337355</v>
      </c>
      <c r="AH432" s="350">
        <v>21316814.911810365</v>
      </c>
      <c r="AI432" s="350">
        <v>28530746.929201297</v>
      </c>
      <c r="AJ432" s="350">
        <v>35799736.311954744</v>
      </c>
      <c r="AK432" s="348">
        <v>106854962.58172256</v>
      </c>
      <c r="AL432" s="369"/>
      <c r="AM432" s="350">
        <v>8386940.9980598167</v>
      </c>
      <c r="AN432" s="350">
        <v>18101980.058963068</v>
      </c>
      <c r="AO432" s="350">
        <v>27558002.559052356</v>
      </c>
      <c r="AP432" s="350">
        <v>36749342.827803887</v>
      </c>
      <c r="AQ432" s="350">
        <v>45673089.698664382</v>
      </c>
      <c r="AR432" s="348">
        <v>136469356.14254349</v>
      </c>
      <c r="AS432" s="369"/>
      <c r="AT432" s="350">
        <f t="shared" si="195"/>
        <v>1336176.4786410145</v>
      </c>
      <c r="AU432" s="350">
        <f t="shared" si="178"/>
        <v>3945080.149625713</v>
      </c>
      <c r="AV432" s="350">
        <f t="shared" si="179"/>
        <v>6241187.647241991</v>
      </c>
      <c r="AW432" s="350">
        <f t="shared" si="180"/>
        <v>8218595.89860259</v>
      </c>
      <c r="AX432" s="350">
        <f t="shared" si="181"/>
        <v>9873353.3867096379</v>
      </c>
      <c r="AY432" s="350">
        <f t="shared" si="182"/>
        <v>29614393.560820937</v>
      </c>
      <c r="AZ432" s="365"/>
      <c r="BA432" s="377">
        <f t="shared" si="183"/>
        <v>0</v>
      </c>
      <c r="BB432" s="377">
        <f t="shared" si="184"/>
        <v>0</v>
      </c>
      <c r="BC432" s="377">
        <f t="shared" si="185"/>
        <v>0</v>
      </c>
      <c r="BD432" s="377">
        <f t="shared" si="186"/>
        <v>0</v>
      </c>
      <c r="BE432" s="377">
        <f t="shared" si="187"/>
        <v>0</v>
      </c>
      <c r="BF432" s="377">
        <f t="shared" si="188"/>
        <v>0</v>
      </c>
      <c r="BG432" s="328"/>
    </row>
    <row r="433" spans="2:59">
      <c r="B433" s="332">
        <v>418</v>
      </c>
      <c r="C433" s="350">
        <v>10956526.629398026</v>
      </c>
      <c r="D433" s="350">
        <v>20505449.408329472</v>
      </c>
      <c r="E433" s="350">
        <v>30126213.077986192</v>
      </c>
      <c r="F433" s="350">
        <v>39819523.644576222</v>
      </c>
      <c r="G433" s="350">
        <v>49586947.467592895</v>
      </c>
      <c r="H433" s="348">
        <v>150994660.2278828</v>
      </c>
      <c r="I433" s="369"/>
      <c r="J433" s="350">
        <v>12563534.323180821</v>
      </c>
      <c r="K433" s="350">
        <v>25247827.824361097</v>
      </c>
      <c r="L433" s="350">
        <v>37621411.179528855</v>
      </c>
      <c r="M433" s="350">
        <v>49675524.04681839</v>
      </c>
      <c r="N433" s="350">
        <v>61404579.771855503</v>
      </c>
      <c r="O433" s="348">
        <v>186512877.14574468</v>
      </c>
      <c r="P433" s="369"/>
      <c r="Q433" s="350">
        <f t="shared" si="189"/>
        <v>1607007.6937827952</v>
      </c>
      <c r="R433" s="350">
        <f t="shared" si="190"/>
        <v>4742378.4160316251</v>
      </c>
      <c r="S433" s="350">
        <f t="shared" si="191"/>
        <v>7495198.1015426628</v>
      </c>
      <c r="T433" s="350">
        <f t="shared" si="192"/>
        <v>9856000.4022421688</v>
      </c>
      <c r="U433" s="350">
        <f t="shared" si="193"/>
        <v>11817632.304262608</v>
      </c>
      <c r="V433" s="350">
        <f t="shared" si="194"/>
        <v>35518216.917861879</v>
      </c>
      <c r="W433" s="365"/>
      <c r="X433" s="377">
        <f t="shared" si="172"/>
        <v>0</v>
      </c>
      <c r="Y433" s="377">
        <f t="shared" si="173"/>
        <v>0</v>
      </c>
      <c r="Z433" s="377">
        <f t="shared" si="174"/>
        <v>0</v>
      </c>
      <c r="AA433" s="377">
        <f t="shared" si="175"/>
        <v>0</v>
      </c>
      <c r="AB433" s="377">
        <f t="shared" si="176"/>
        <v>0</v>
      </c>
      <c r="AC433" s="377">
        <f t="shared" si="177"/>
        <v>0</v>
      </c>
      <c r="AD433" s="376"/>
      <c r="AE433" s="332">
        <v>418</v>
      </c>
      <c r="AF433" s="350">
        <v>7928931.6414931454</v>
      </c>
      <c r="AG433" s="350">
        <v>15920130.551438289</v>
      </c>
      <c r="AH433" s="350">
        <v>23971807.281976625</v>
      </c>
      <c r="AI433" s="350">
        <v>32084228.803747475</v>
      </c>
      <c r="AJ433" s="350">
        <v>40258565.042017192</v>
      </c>
      <c r="AK433" s="348">
        <v>120163663.32067272</v>
      </c>
      <c r="AL433" s="369"/>
      <c r="AM433" s="350">
        <v>9494952.705934627</v>
      </c>
      <c r="AN433" s="350">
        <v>20544666.829761926</v>
      </c>
      <c r="AO433" s="350">
        <v>31305003.680556446</v>
      </c>
      <c r="AP433" s="350">
        <v>41769573.994124725</v>
      </c>
      <c r="AQ433" s="350">
        <v>51935168.254951745</v>
      </c>
      <c r="AR433" s="348">
        <v>155049365.46532947</v>
      </c>
      <c r="AS433" s="369"/>
      <c r="AT433" s="350">
        <f t="shared" si="195"/>
        <v>1566021.0644414816</v>
      </c>
      <c r="AU433" s="350">
        <f t="shared" si="178"/>
        <v>4624536.2783236373</v>
      </c>
      <c r="AV433" s="350">
        <f t="shared" si="179"/>
        <v>7333196.398579821</v>
      </c>
      <c r="AW433" s="350">
        <f t="shared" si="180"/>
        <v>9685345.1903772503</v>
      </c>
      <c r="AX433" s="350">
        <f t="shared" si="181"/>
        <v>11676603.212934554</v>
      </c>
      <c r="AY433" s="350">
        <f t="shared" si="182"/>
        <v>34885702.144656748</v>
      </c>
      <c r="AZ433" s="365"/>
      <c r="BA433" s="377">
        <f t="shared" si="183"/>
        <v>0</v>
      </c>
      <c r="BB433" s="377">
        <f t="shared" si="184"/>
        <v>0</v>
      </c>
      <c r="BC433" s="377">
        <f t="shared" si="185"/>
        <v>0</v>
      </c>
      <c r="BD433" s="377">
        <f t="shared" si="186"/>
        <v>0</v>
      </c>
      <c r="BE433" s="377">
        <f t="shared" si="187"/>
        <v>0</v>
      </c>
      <c r="BF433" s="377">
        <f t="shared" si="188"/>
        <v>0</v>
      </c>
      <c r="BG433" s="328"/>
    </row>
    <row r="434" spans="2:59">
      <c r="B434" s="332">
        <v>419</v>
      </c>
      <c r="C434" s="350">
        <v>8348236.9291085592</v>
      </c>
      <c r="D434" s="350">
        <v>15702402.583278224</v>
      </c>
      <c r="E434" s="350">
        <v>23111922.835143149</v>
      </c>
      <c r="F434" s="350">
        <v>30577317.917379379</v>
      </c>
      <c r="G434" s="350">
        <v>38099783.946092345</v>
      </c>
      <c r="H434" s="348">
        <v>115839664.21100166</v>
      </c>
      <c r="I434" s="369"/>
      <c r="J434" s="350">
        <v>9327152.711383611</v>
      </c>
      <c r="K434" s="350">
        <v>18587449.72608684</v>
      </c>
      <c r="L434" s="350">
        <v>27600772.643786259</v>
      </c>
      <c r="M434" s="350">
        <v>36360418.235796519</v>
      </c>
      <c r="N434" s="350">
        <v>44861805.431689695</v>
      </c>
      <c r="O434" s="348">
        <v>136737598.74874294</v>
      </c>
      <c r="P434" s="369"/>
      <c r="Q434" s="350">
        <f t="shared" si="189"/>
        <v>978915.78227505181</v>
      </c>
      <c r="R434" s="350">
        <f t="shared" si="190"/>
        <v>2885047.1428086162</v>
      </c>
      <c r="S434" s="350">
        <f t="shared" si="191"/>
        <v>4488849.8086431101</v>
      </c>
      <c r="T434" s="350">
        <f t="shared" si="192"/>
        <v>5783100.3184171394</v>
      </c>
      <c r="U434" s="350">
        <f t="shared" si="193"/>
        <v>6762021.4855973497</v>
      </c>
      <c r="V434" s="350">
        <f t="shared" si="194"/>
        <v>20897934.537741274</v>
      </c>
      <c r="W434" s="365"/>
      <c r="X434" s="377">
        <f t="shared" si="172"/>
        <v>0</v>
      </c>
      <c r="Y434" s="377">
        <f t="shared" si="173"/>
        <v>0</v>
      </c>
      <c r="Z434" s="377">
        <f t="shared" si="174"/>
        <v>0</v>
      </c>
      <c r="AA434" s="377">
        <f t="shared" si="175"/>
        <v>0</v>
      </c>
      <c r="AB434" s="377">
        <f t="shared" si="176"/>
        <v>0</v>
      </c>
      <c r="AC434" s="377">
        <f t="shared" si="177"/>
        <v>0</v>
      </c>
      <c r="AD434" s="376"/>
      <c r="AE434" s="332">
        <v>419</v>
      </c>
      <c r="AF434" s="350">
        <v>6471303.5806144867</v>
      </c>
      <c r="AG434" s="350">
        <v>12993427.424980501</v>
      </c>
      <c r="AH434" s="350">
        <v>19564911.051300544</v>
      </c>
      <c r="AI434" s="350">
        <v>26185972.351231687</v>
      </c>
      <c r="AJ434" s="350">
        <v>32857566.17492367</v>
      </c>
      <c r="AK434" s="348">
        <v>98073180.583050892</v>
      </c>
      <c r="AL434" s="369"/>
      <c r="AM434" s="350">
        <v>7534179.3674351713</v>
      </c>
      <c r="AN434" s="350">
        <v>16129426.631092202</v>
      </c>
      <c r="AO434" s="350">
        <v>24482047.861391854</v>
      </c>
      <c r="AP434" s="350">
        <v>32586889.256531034</v>
      </c>
      <c r="AQ434" s="350">
        <v>40441113.326431625</v>
      </c>
      <c r="AR434" s="348">
        <v>121173656.44288188</v>
      </c>
      <c r="AS434" s="369"/>
      <c r="AT434" s="350">
        <f t="shared" si="195"/>
        <v>1062875.7868206846</v>
      </c>
      <c r="AU434" s="350">
        <f t="shared" si="178"/>
        <v>3135999.2061117012</v>
      </c>
      <c r="AV434" s="350">
        <f t="shared" si="179"/>
        <v>4917136.8100913092</v>
      </c>
      <c r="AW434" s="350">
        <f t="shared" si="180"/>
        <v>6400916.9052993469</v>
      </c>
      <c r="AX434" s="350">
        <f t="shared" si="181"/>
        <v>7583547.151507955</v>
      </c>
      <c r="AY434" s="350">
        <f t="shared" si="182"/>
        <v>23100475.85983099</v>
      </c>
      <c r="AZ434" s="365"/>
      <c r="BA434" s="377">
        <f t="shared" si="183"/>
        <v>0</v>
      </c>
      <c r="BB434" s="377">
        <f t="shared" si="184"/>
        <v>0</v>
      </c>
      <c r="BC434" s="377">
        <f t="shared" si="185"/>
        <v>0</v>
      </c>
      <c r="BD434" s="377">
        <f t="shared" si="186"/>
        <v>0</v>
      </c>
      <c r="BE434" s="377">
        <f t="shared" si="187"/>
        <v>0</v>
      </c>
      <c r="BF434" s="377">
        <f t="shared" si="188"/>
        <v>0</v>
      </c>
      <c r="BG434" s="328"/>
    </row>
    <row r="435" spans="2:59">
      <c r="B435" s="332">
        <v>420</v>
      </c>
      <c r="C435" s="350">
        <v>7082816.7613400789</v>
      </c>
      <c r="D435" s="350">
        <v>13239530.683090933</v>
      </c>
      <c r="E435" s="350">
        <v>19442559.036293682</v>
      </c>
      <c r="F435" s="350">
        <v>25692361.864083767</v>
      </c>
      <c r="G435" s="350">
        <v>31989951.191130511</v>
      </c>
      <c r="H435" s="348">
        <v>97447219.535938978</v>
      </c>
      <c r="I435" s="369"/>
      <c r="J435" s="350">
        <v>7905234.2106247637</v>
      </c>
      <c r="K435" s="350">
        <v>15663403.402703796</v>
      </c>
      <c r="L435" s="350">
        <v>23215426.398614608</v>
      </c>
      <c r="M435" s="350">
        <v>30555694.961170785</v>
      </c>
      <c r="N435" s="350">
        <v>37680366.541591689</v>
      </c>
      <c r="O435" s="348">
        <v>115020125.51470564</v>
      </c>
      <c r="P435" s="369"/>
      <c r="Q435" s="350">
        <f t="shared" si="189"/>
        <v>822417.44928468484</v>
      </c>
      <c r="R435" s="350">
        <f t="shared" si="190"/>
        <v>2423872.7196128629</v>
      </c>
      <c r="S435" s="350">
        <f t="shared" si="191"/>
        <v>3772867.362320926</v>
      </c>
      <c r="T435" s="350">
        <f t="shared" si="192"/>
        <v>4863333.0970870182</v>
      </c>
      <c r="U435" s="350">
        <f t="shared" si="193"/>
        <v>5690415.3504611775</v>
      </c>
      <c r="V435" s="350">
        <f t="shared" si="194"/>
        <v>17572905.978766665</v>
      </c>
      <c r="W435" s="365"/>
      <c r="X435" s="377">
        <f t="shared" si="172"/>
        <v>0</v>
      </c>
      <c r="Y435" s="377">
        <f t="shared" si="173"/>
        <v>0</v>
      </c>
      <c r="Z435" s="377">
        <f t="shared" si="174"/>
        <v>0</v>
      </c>
      <c r="AA435" s="377">
        <f t="shared" si="175"/>
        <v>0</v>
      </c>
      <c r="AB435" s="377">
        <f t="shared" si="176"/>
        <v>0</v>
      </c>
      <c r="AC435" s="377">
        <f t="shared" si="177"/>
        <v>0</v>
      </c>
      <c r="AD435" s="376"/>
      <c r="AE435" s="332">
        <v>420</v>
      </c>
      <c r="AF435" s="350">
        <v>6496432.5418127738</v>
      </c>
      <c r="AG435" s="350">
        <v>13043882.689445794</v>
      </c>
      <c r="AH435" s="350">
        <v>19640884.289850015</v>
      </c>
      <c r="AI435" s="350">
        <v>26287656.080785759</v>
      </c>
      <c r="AJ435" s="350">
        <v>32985156.620217137</v>
      </c>
      <c r="AK435" s="348">
        <v>98454012.222111478</v>
      </c>
      <c r="AL435" s="369"/>
      <c r="AM435" s="350">
        <v>7548268.8211579397</v>
      </c>
      <c r="AN435" s="350">
        <v>16147079.1357872</v>
      </c>
      <c r="AO435" s="350">
        <v>24501867.016375341</v>
      </c>
      <c r="AP435" s="350">
        <v>32607462.937932223</v>
      </c>
      <c r="AQ435" s="350">
        <v>40461003.031602755</v>
      </c>
      <c r="AR435" s="348">
        <v>121265680.94285546</v>
      </c>
      <c r="AS435" s="369"/>
      <c r="AT435" s="350">
        <f t="shared" si="195"/>
        <v>1051836.2793451659</v>
      </c>
      <c r="AU435" s="350">
        <f t="shared" si="178"/>
        <v>3103196.4463414066</v>
      </c>
      <c r="AV435" s="350">
        <f t="shared" si="179"/>
        <v>4860982.7265253253</v>
      </c>
      <c r="AW435" s="350">
        <f t="shared" si="180"/>
        <v>6319806.8571464643</v>
      </c>
      <c r="AX435" s="350">
        <f t="shared" si="181"/>
        <v>7475846.4113856182</v>
      </c>
      <c r="AY435" s="350">
        <f t="shared" si="182"/>
        <v>22811668.720743984</v>
      </c>
      <c r="AZ435" s="365"/>
      <c r="BA435" s="377">
        <f t="shared" si="183"/>
        <v>0</v>
      </c>
      <c r="BB435" s="377">
        <f t="shared" si="184"/>
        <v>0</v>
      </c>
      <c r="BC435" s="377">
        <f t="shared" si="185"/>
        <v>0</v>
      </c>
      <c r="BD435" s="377">
        <f t="shared" si="186"/>
        <v>0</v>
      </c>
      <c r="BE435" s="377">
        <f t="shared" si="187"/>
        <v>0</v>
      </c>
      <c r="BF435" s="377">
        <f t="shared" si="188"/>
        <v>0</v>
      </c>
      <c r="BG435" s="328"/>
    </row>
    <row r="436" spans="2:59">
      <c r="B436" s="332">
        <v>421</v>
      </c>
      <c r="C436" s="350">
        <v>6346593.3007000815</v>
      </c>
      <c r="D436" s="350">
        <v>11902578.311251679</v>
      </c>
      <c r="E436" s="350">
        <v>17500371.685292352</v>
      </c>
      <c r="F436" s="350">
        <v>23140376.792936221</v>
      </c>
      <c r="G436" s="350">
        <v>28823501.784855757</v>
      </c>
      <c r="H436" s="348">
        <v>87713421.875036091</v>
      </c>
      <c r="I436" s="369"/>
      <c r="J436" s="350">
        <v>7368215.489784576</v>
      </c>
      <c r="K436" s="350">
        <v>14918713.393042285</v>
      </c>
      <c r="L436" s="350">
        <v>22291777.694375247</v>
      </c>
      <c r="M436" s="350">
        <v>29482246.719213143</v>
      </c>
      <c r="N436" s="350">
        <v>36486920.557375088</v>
      </c>
      <c r="O436" s="348">
        <v>110547873.85379034</v>
      </c>
      <c r="P436" s="369"/>
      <c r="Q436" s="350">
        <f t="shared" si="189"/>
        <v>1021622.1890844945</v>
      </c>
      <c r="R436" s="350">
        <f t="shared" si="190"/>
        <v>3016135.0817906056</v>
      </c>
      <c r="S436" s="350">
        <f t="shared" si="191"/>
        <v>4791406.0090828948</v>
      </c>
      <c r="T436" s="350">
        <f t="shared" si="192"/>
        <v>6341869.9262769222</v>
      </c>
      <c r="U436" s="350">
        <f t="shared" si="193"/>
        <v>7663418.7725193314</v>
      </c>
      <c r="V436" s="350">
        <f t="shared" si="194"/>
        <v>22834451.978754252</v>
      </c>
      <c r="W436" s="365"/>
      <c r="X436" s="377">
        <f t="shared" si="172"/>
        <v>0</v>
      </c>
      <c r="Y436" s="377">
        <f t="shared" si="173"/>
        <v>0</v>
      </c>
      <c r="Z436" s="377">
        <f t="shared" si="174"/>
        <v>0</v>
      </c>
      <c r="AA436" s="377">
        <f t="shared" si="175"/>
        <v>0</v>
      </c>
      <c r="AB436" s="377">
        <f t="shared" si="176"/>
        <v>0</v>
      </c>
      <c r="AC436" s="377">
        <f t="shared" si="177"/>
        <v>0</v>
      </c>
      <c r="AD436" s="376"/>
      <c r="AE436" s="332">
        <v>421</v>
      </c>
      <c r="AF436" s="350">
        <v>5670053.0084024975</v>
      </c>
      <c r="AG436" s="350">
        <v>11384633.921543594</v>
      </c>
      <c r="AH436" s="350">
        <v>17142463.088560607</v>
      </c>
      <c r="AI436" s="350">
        <v>22943731.422649041</v>
      </c>
      <c r="AJ436" s="350">
        <v>28789275.548284426</v>
      </c>
      <c r="AK436" s="348">
        <v>85930156.989440173</v>
      </c>
      <c r="AL436" s="369"/>
      <c r="AM436" s="350">
        <v>6635143.2616038062</v>
      </c>
      <c r="AN436" s="350">
        <v>14232633.076568544</v>
      </c>
      <c r="AO436" s="350">
        <v>21618550.612930752</v>
      </c>
      <c r="AP436" s="350">
        <v>28788370.62747119</v>
      </c>
      <c r="AQ436" s="350">
        <v>35739641.203739159</v>
      </c>
      <c r="AR436" s="348">
        <v>107014338.78231347</v>
      </c>
      <c r="AS436" s="369"/>
      <c r="AT436" s="350">
        <f t="shared" si="195"/>
        <v>965090.25320130866</v>
      </c>
      <c r="AU436" s="350">
        <f t="shared" si="178"/>
        <v>2847999.1550249495</v>
      </c>
      <c r="AV436" s="350">
        <f t="shared" si="179"/>
        <v>4476087.5243701451</v>
      </c>
      <c r="AW436" s="350">
        <f t="shared" si="180"/>
        <v>5844639.2048221491</v>
      </c>
      <c r="AX436" s="350">
        <f t="shared" si="181"/>
        <v>6950365.6554547325</v>
      </c>
      <c r="AY436" s="350">
        <f t="shared" si="182"/>
        <v>21084181.792873293</v>
      </c>
      <c r="AZ436" s="365"/>
      <c r="BA436" s="377">
        <f t="shared" si="183"/>
        <v>0</v>
      </c>
      <c r="BB436" s="377">
        <f t="shared" si="184"/>
        <v>0</v>
      </c>
      <c r="BC436" s="377">
        <f t="shared" si="185"/>
        <v>0</v>
      </c>
      <c r="BD436" s="377">
        <f t="shared" si="186"/>
        <v>0</v>
      </c>
      <c r="BE436" s="377">
        <f t="shared" si="187"/>
        <v>0</v>
      </c>
      <c r="BF436" s="377">
        <f t="shared" si="188"/>
        <v>0</v>
      </c>
      <c r="BG436" s="328"/>
    </row>
    <row r="437" spans="2:59">
      <c r="B437" s="332">
        <v>422</v>
      </c>
      <c r="C437" s="350">
        <v>8781770.9649651926</v>
      </c>
      <c r="D437" s="350">
        <v>16346153.800498953</v>
      </c>
      <c r="E437" s="350">
        <v>23967417.525972921</v>
      </c>
      <c r="F437" s="350">
        <v>31646148.139179442</v>
      </c>
      <c r="G437" s="350">
        <v>39383598.090982035</v>
      </c>
      <c r="H437" s="348">
        <v>120125088.52159855</v>
      </c>
      <c r="I437" s="369"/>
      <c r="J437" s="350">
        <v>9969929.3876627237</v>
      </c>
      <c r="K437" s="350">
        <v>19851238.824340783</v>
      </c>
      <c r="L437" s="350">
        <v>29485632.126017861</v>
      </c>
      <c r="M437" s="350">
        <v>38866148.854126289</v>
      </c>
      <c r="N437" s="350">
        <v>47988214.84894114</v>
      </c>
      <c r="O437" s="348">
        <v>146161164.04108879</v>
      </c>
      <c r="P437" s="369"/>
      <c r="Q437" s="350">
        <f t="shared" si="189"/>
        <v>1188158.4226975311</v>
      </c>
      <c r="R437" s="350">
        <f t="shared" si="190"/>
        <v>3505085.02384183</v>
      </c>
      <c r="S437" s="350">
        <f t="shared" si="191"/>
        <v>5518214.6000449397</v>
      </c>
      <c r="T437" s="350">
        <f t="shared" si="192"/>
        <v>7220000.7149468474</v>
      </c>
      <c r="U437" s="350">
        <f t="shared" si="193"/>
        <v>8604616.7579591051</v>
      </c>
      <c r="V437" s="350">
        <f t="shared" si="194"/>
        <v>26036075.519490242</v>
      </c>
      <c r="W437" s="365"/>
      <c r="X437" s="377">
        <f t="shared" si="172"/>
        <v>0</v>
      </c>
      <c r="Y437" s="377">
        <f t="shared" si="173"/>
        <v>0</v>
      </c>
      <c r="Z437" s="377">
        <f t="shared" si="174"/>
        <v>0</v>
      </c>
      <c r="AA437" s="377">
        <f t="shared" si="175"/>
        <v>0</v>
      </c>
      <c r="AB437" s="377">
        <f t="shared" si="176"/>
        <v>0</v>
      </c>
      <c r="AC437" s="377">
        <f t="shared" si="177"/>
        <v>0</v>
      </c>
      <c r="AD437" s="376"/>
      <c r="AE437" s="332">
        <v>422</v>
      </c>
      <c r="AF437" s="350">
        <v>5494671.6055605328</v>
      </c>
      <c r="AG437" s="350">
        <v>11032493.815438118</v>
      </c>
      <c r="AH437" s="350">
        <v>16612226.559875065</v>
      </c>
      <c r="AI437" s="350">
        <v>22234054.846897386</v>
      </c>
      <c r="AJ437" s="350">
        <v>27898789.423202407</v>
      </c>
      <c r="AK437" s="348">
        <v>83272236.250973508</v>
      </c>
      <c r="AL437" s="369"/>
      <c r="AM437" s="350">
        <v>6288289.0917153945</v>
      </c>
      <c r="AN437" s="350">
        <v>13372393.550722864</v>
      </c>
      <c r="AO437" s="350">
        <v>20247228.305001236</v>
      </c>
      <c r="AP437" s="350">
        <v>26908448.138204716</v>
      </c>
      <c r="AQ437" s="350">
        <v>33353533.545271151</v>
      </c>
      <c r="AR437" s="348">
        <v>100169892.63091536</v>
      </c>
      <c r="AS437" s="369"/>
      <c r="AT437" s="350">
        <f t="shared" si="195"/>
        <v>793617.48615486175</v>
      </c>
      <c r="AU437" s="350">
        <f t="shared" si="178"/>
        <v>2339899.7352847457</v>
      </c>
      <c r="AV437" s="350">
        <f t="shared" si="179"/>
        <v>3635001.745126171</v>
      </c>
      <c r="AW437" s="350">
        <f t="shared" si="180"/>
        <v>4674393.2913073301</v>
      </c>
      <c r="AX437" s="350">
        <f t="shared" si="181"/>
        <v>5454744.1220687442</v>
      </c>
      <c r="AY437" s="350">
        <f t="shared" si="182"/>
        <v>16897656.379941851</v>
      </c>
      <c r="AZ437" s="365"/>
      <c r="BA437" s="377">
        <f t="shared" si="183"/>
        <v>0</v>
      </c>
      <c r="BB437" s="377">
        <f t="shared" si="184"/>
        <v>0</v>
      </c>
      <c r="BC437" s="377">
        <f t="shared" si="185"/>
        <v>0</v>
      </c>
      <c r="BD437" s="377">
        <f t="shared" si="186"/>
        <v>0</v>
      </c>
      <c r="BE437" s="377">
        <f t="shared" si="187"/>
        <v>0</v>
      </c>
      <c r="BF437" s="377">
        <f t="shared" si="188"/>
        <v>0</v>
      </c>
      <c r="BG437" s="328"/>
    </row>
    <row r="438" spans="2:59">
      <c r="B438" s="332">
        <v>423</v>
      </c>
      <c r="C438" s="350">
        <v>9384894.1819425523</v>
      </c>
      <c r="D438" s="350">
        <v>17721407.408573348</v>
      </c>
      <c r="E438" s="350">
        <v>26120691.885952447</v>
      </c>
      <c r="F438" s="350">
        <v>34583316.845711857</v>
      </c>
      <c r="G438" s="350">
        <v>43110629.261481792</v>
      </c>
      <c r="H438" s="348">
        <v>130920939.583662</v>
      </c>
      <c r="I438" s="369"/>
      <c r="J438" s="350">
        <v>10757262.271557568</v>
      </c>
      <c r="K438" s="350">
        <v>21770904.311870523</v>
      </c>
      <c r="L438" s="350">
        <v>32519447.713754367</v>
      </c>
      <c r="M438" s="350">
        <v>42994927.484406412</v>
      </c>
      <c r="N438" s="350">
        <v>53192125.480010137</v>
      </c>
      <c r="O438" s="348">
        <v>161234667.261599</v>
      </c>
      <c r="P438" s="369"/>
      <c r="Q438" s="350">
        <f t="shared" si="189"/>
        <v>1372368.0896150153</v>
      </c>
      <c r="R438" s="350">
        <f t="shared" si="190"/>
        <v>4049496.9032971747</v>
      </c>
      <c r="S438" s="350">
        <f t="shared" si="191"/>
        <v>6398755.8278019205</v>
      </c>
      <c r="T438" s="350">
        <f t="shared" si="192"/>
        <v>8411610.6386945546</v>
      </c>
      <c r="U438" s="350">
        <f t="shared" si="193"/>
        <v>10081496.218528345</v>
      </c>
      <c r="V438" s="350">
        <f t="shared" si="194"/>
        <v>30313727.677937001</v>
      </c>
      <c r="W438" s="365"/>
      <c r="X438" s="377">
        <f t="shared" si="172"/>
        <v>0</v>
      </c>
      <c r="Y438" s="377">
        <f t="shared" si="173"/>
        <v>0</v>
      </c>
      <c r="Z438" s="377">
        <f t="shared" si="174"/>
        <v>0</v>
      </c>
      <c r="AA438" s="377">
        <f t="shared" si="175"/>
        <v>0</v>
      </c>
      <c r="AB438" s="377">
        <f t="shared" si="176"/>
        <v>0</v>
      </c>
      <c r="AC438" s="377">
        <f t="shared" si="177"/>
        <v>0</v>
      </c>
      <c r="AD438" s="376"/>
      <c r="AE438" s="332">
        <v>423</v>
      </c>
      <c r="AF438" s="350">
        <v>7362678.7406353606</v>
      </c>
      <c r="AG438" s="350">
        <v>14783177.867975764</v>
      </c>
      <c r="AH438" s="350">
        <v>22259835.729442623</v>
      </c>
      <c r="AI438" s="350">
        <v>29792900.229689352</v>
      </c>
      <c r="AJ438" s="350">
        <v>37383457.742552444</v>
      </c>
      <c r="AK438" s="348">
        <v>111582050.31029554</v>
      </c>
      <c r="AL438" s="369"/>
      <c r="AM438" s="350">
        <v>8497831.1619601697</v>
      </c>
      <c r="AN438" s="350">
        <v>18131299.909741212</v>
      </c>
      <c r="AO438" s="350">
        <v>27486502.52572038</v>
      </c>
      <c r="AP438" s="350">
        <v>36557596.275063194</v>
      </c>
      <c r="AQ438" s="350">
        <v>45341277.750929885</v>
      </c>
      <c r="AR438" s="348">
        <v>136014507.62341484</v>
      </c>
      <c r="AS438" s="369"/>
      <c r="AT438" s="350">
        <f t="shared" si="195"/>
        <v>1135152.4213248091</v>
      </c>
      <c r="AU438" s="350">
        <f t="shared" si="178"/>
        <v>3348122.0417654477</v>
      </c>
      <c r="AV438" s="350">
        <f t="shared" si="179"/>
        <v>5226666.7962777577</v>
      </c>
      <c r="AW438" s="350">
        <f t="shared" si="180"/>
        <v>6764696.0453738421</v>
      </c>
      <c r="AX438" s="350">
        <f t="shared" si="181"/>
        <v>7957820.0083774403</v>
      </c>
      <c r="AY438" s="350">
        <f t="shared" si="182"/>
        <v>24432457.313119307</v>
      </c>
      <c r="AZ438" s="365"/>
      <c r="BA438" s="377">
        <f t="shared" si="183"/>
        <v>0</v>
      </c>
      <c r="BB438" s="377">
        <f t="shared" si="184"/>
        <v>0</v>
      </c>
      <c r="BC438" s="377">
        <f t="shared" si="185"/>
        <v>0</v>
      </c>
      <c r="BD438" s="377">
        <f t="shared" si="186"/>
        <v>0</v>
      </c>
      <c r="BE438" s="377">
        <f t="shared" si="187"/>
        <v>0</v>
      </c>
      <c r="BF438" s="377">
        <f t="shared" si="188"/>
        <v>0</v>
      </c>
      <c r="BG438" s="328"/>
    </row>
    <row r="439" spans="2:59">
      <c r="B439" s="332">
        <v>424</v>
      </c>
      <c r="C439" s="350">
        <v>8051305.4592039008</v>
      </c>
      <c r="D439" s="350">
        <v>15159096.019997235</v>
      </c>
      <c r="E439" s="350">
        <v>22320391.678051777</v>
      </c>
      <c r="F439" s="350">
        <v>29535690.732103009</v>
      </c>
      <c r="G439" s="350">
        <v>36806147.266361102</v>
      </c>
      <c r="H439" s="348">
        <v>111872631.15571703</v>
      </c>
      <c r="I439" s="369"/>
      <c r="J439" s="350">
        <v>9084966.8808795717</v>
      </c>
      <c r="K439" s="350">
        <v>18207109.677235451</v>
      </c>
      <c r="L439" s="350">
        <v>27096392.455749102</v>
      </c>
      <c r="M439" s="350">
        <v>35746178.86377681</v>
      </c>
      <c r="N439" s="350">
        <v>44151994.588970773</v>
      </c>
      <c r="O439" s="348">
        <v>134286642.46661171</v>
      </c>
      <c r="P439" s="369"/>
      <c r="Q439" s="350">
        <f t="shared" si="189"/>
        <v>1033661.4216756709</v>
      </c>
      <c r="R439" s="350">
        <f t="shared" si="190"/>
        <v>3048013.6572382152</v>
      </c>
      <c r="S439" s="350">
        <f t="shared" si="191"/>
        <v>4776000.7776973248</v>
      </c>
      <c r="T439" s="350">
        <f t="shared" si="192"/>
        <v>6210488.1316738017</v>
      </c>
      <c r="U439" s="350">
        <f t="shared" si="193"/>
        <v>7345847.3226096705</v>
      </c>
      <c r="V439" s="350">
        <f t="shared" si="194"/>
        <v>22414011.310894683</v>
      </c>
      <c r="W439" s="365"/>
      <c r="X439" s="377">
        <f t="shared" si="172"/>
        <v>0</v>
      </c>
      <c r="Y439" s="377">
        <f t="shared" si="173"/>
        <v>0</v>
      </c>
      <c r="Z439" s="377">
        <f t="shared" si="174"/>
        <v>0</v>
      </c>
      <c r="AA439" s="377">
        <f t="shared" si="175"/>
        <v>0</v>
      </c>
      <c r="AB439" s="377">
        <f t="shared" si="176"/>
        <v>0</v>
      </c>
      <c r="AC439" s="377">
        <f t="shared" si="177"/>
        <v>0</v>
      </c>
      <c r="AD439" s="376"/>
      <c r="AE439" s="332">
        <v>424</v>
      </c>
      <c r="AF439" s="350">
        <v>5045268.7778728828</v>
      </c>
      <c r="AG439" s="350">
        <v>10130158.922104921</v>
      </c>
      <c r="AH439" s="350">
        <v>15253531.786807884</v>
      </c>
      <c r="AI439" s="350">
        <v>20415557.248415578</v>
      </c>
      <c r="AJ439" s="350">
        <v>25616979.743591815</v>
      </c>
      <c r="AK439" s="348">
        <v>76461496.478793085</v>
      </c>
      <c r="AL439" s="369"/>
      <c r="AM439" s="350">
        <v>6333122.2782786861</v>
      </c>
      <c r="AN439" s="350">
        <v>13936941.047916569</v>
      </c>
      <c r="AO439" s="350">
        <v>21365352.610816114</v>
      </c>
      <c r="AP439" s="350">
        <v>28614208.993878234</v>
      </c>
      <c r="AQ439" s="350">
        <v>35681763.042315349</v>
      </c>
      <c r="AR439" s="348">
        <v>105931387.97320496</v>
      </c>
      <c r="AS439" s="369"/>
      <c r="AT439" s="350">
        <f t="shared" si="195"/>
        <v>1287853.5004058033</v>
      </c>
      <c r="AU439" s="350">
        <f t="shared" si="178"/>
        <v>3806782.1258116476</v>
      </c>
      <c r="AV439" s="350">
        <f t="shared" si="179"/>
        <v>6111820.8240082301</v>
      </c>
      <c r="AW439" s="350">
        <f t="shared" si="180"/>
        <v>8198651.745462656</v>
      </c>
      <c r="AX439" s="350">
        <f t="shared" si="181"/>
        <v>10064783.298723534</v>
      </c>
      <c r="AY439" s="350">
        <f t="shared" si="182"/>
        <v>29469891.494411871</v>
      </c>
      <c r="AZ439" s="365"/>
      <c r="BA439" s="377">
        <f t="shared" si="183"/>
        <v>0</v>
      </c>
      <c r="BB439" s="377">
        <f t="shared" si="184"/>
        <v>0</v>
      </c>
      <c r="BC439" s="377">
        <f t="shared" si="185"/>
        <v>0</v>
      </c>
      <c r="BD439" s="377">
        <f t="shared" si="186"/>
        <v>0</v>
      </c>
      <c r="BE439" s="377">
        <f t="shared" si="187"/>
        <v>0</v>
      </c>
      <c r="BF439" s="377">
        <f t="shared" si="188"/>
        <v>0</v>
      </c>
      <c r="BG439" s="328"/>
    </row>
    <row r="440" spans="2:59">
      <c r="B440" s="332">
        <v>425</v>
      </c>
      <c r="C440" s="350">
        <v>12070389.632188609</v>
      </c>
      <c r="D440" s="350">
        <v>22700502.327698447</v>
      </c>
      <c r="E440" s="350">
        <v>33410626.607267141</v>
      </c>
      <c r="F440" s="350">
        <v>44201515.329372436</v>
      </c>
      <c r="G440" s="350">
        <v>55074897.810950875</v>
      </c>
      <c r="H440" s="348">
        <v>167457931.70747751</v>
      </c>
      <c r="I440" s="369"/>
      <c r="J440" s="350">
        <v>13676581.065882824</v>
      </c>
      <c r="K440" s="350">
        <v>27437758.56402</v>
      </c>
      <c r="L440" s="350">
        <v>40843225.506835349</v>
      </c>
      <c r="M440" s="350">
        <v>53883389.361954011</v>
      </c>
      <c r="N440" s="350">
        <v>66551978.745587192</v>
      </c>
      <c r="O440" s="348">
        <v>202392933.24427938</v>
      </c>
      <c r="P440" s="369"/>
      <c r="Q440" s="350">
        <f t="shared" si="189"/>
        <v>1606191.4336942155</v>
      </c>
      <c r="R440" s="350">
        <f t="shared" si="190"/>
        <v>4737256.2363215536</v>
      </c>
      <c r="S440" s="350">
        <f t="shared" si="191"/>
        <v>7432598.8995682076</v>
      </c>
      <c r="T440" s="350">
        <f t="shared" si="192"/>
        <v>9681874.0325815752</v>
      </c>
      <c r="U440" s="350">
        <f t="shared" si="193"/>
        <v>11477080.934636317</v>
      </c>
      <c r="V440" s="350">
        <f t="shared" si="194"/>
        <v>34935001.536801875</v>
      </c>
      <c r="W440" s="365"/>
      <c r="X440" s="377">
        <f t="shared" si="172"/>
        <v>0</v>
      </c>
      <c r="Y440" s="377">
        <f t="shared" si="173"/>
        <v>0</v>
      </c>
      <c r="Z440" s="377">
        <f t="shared" si="174"/>
        <v>0</v>
      </c>
      <c r="AA440" s="377">
        <f t="shared" si="175"/>
        <v>0</v>
      </c>
      <c r="AB440" s="377">
        <f t="shared" si="176"/>
        <v>0</v>
      </c>
      <c r="AC440" s="377">
        <f t="shared" si="177"/>
        <v>0</v>
      </c>
      <c r="AD440" s="376"/>
      <c r="AE440" s="332">
        <v>425</v>
      </c>
      <c r="AF440" s="350">
        <v>10172956.293552</v>
      </c>
      <c r="AG440" s="350">
        <v>20425802.568393052</v>
      </c>
      <c r="AH440" s="350">
        <v>30756242.932001904</v>
      </c>
      <c r="AI440" s="350">
        <v>41164619.912321575</v>
      </c>
      <c r="AJ440" s="350">
        <v>51652434.54368297</v>
      </c>
      <c r="AK440" s="348">
        <v>154172056.24995148</v>
      </c>
      <c r="AL440" s="369"/>
      <c r="AM440" s="350">
        <v>12030498.313838698</v>
      </c>
      <c r="AN440" s="350">
        <v>25909294.33357618</v>
      </c>
      <c r="AO440" s="350">
        <v>39412271.146859385</v>
      </c>
      <c r="AP440" s="350">
        <v>52531274.120909907</v>
      </c>
      <c r="AQ440" s="350">
        <v>65262031.76539433</v>
      </c>
      <c r="AR440" s="348">
        <v>195145369.6805785</v>
      </c>
      <c r="AS440" s="369"/>
      <c r="AT440" s="350">
        <f t="shared" si="195"/>
        <v>1857542.0202866979</v>
      </c>
      <c r="AU440" s="350">
        <f t="shared" si="178"/>
        <v>5483491.7651831284</v>
      </c>
      <c r="AV440" s="350">
        <f t="shared" si="179"/>
        <v>8656028.2148574814</v>
      </c>
      <c r="AW440" s="350">
        <f t="shared" si="180"/>
        <v>11366654.208588332</v>
      </c>
      <c r="AX440" s="350">
        <f t="shared" si="181"/>
        <v>13609597.22171136</v>
      </c>
      <c r="AY440" s="350">
        <f t="shared" si="182"/>
        <v>40973313.430627018</v>
      </c>
      <c r="AZ440" s="365"/>
      <c r="BA440" s="377">
        <f t="shared" si="183"/>
        <v>0</v>
      </c>
      <c r="BB440" s="377">
        <f t="shared" si="184"/>
        <v>0</v>
      </c>
      <c r="BC440" s="377">
        <f t="shared" si="185"/>
        <v>0</v>
      </c>
      <c r="BD440" s="377">
        <f t="shared" si="186"/>
        <v>0</v>
      </c>
      <c r="BE440" s="377">
        <f t="shared" si="187"/>
        <v>0</v>
      </c>
      <c r="BF440" s="377">
        <f t="shared" si="188"/>
        <v>0</v>
      </c>
      <c r="BG440" s="328"/>
    </row>
    <row r="441" spans="2:59">
      <c r="B441" s="332">
        <v>426</v>
      </c>
      <c r="C441" s="350">
        <v>8786382.3303807229</v>
      </c>
      <c r="D441" s="350">
        <v>16615088.391058441</v>
      </c>
      <c r="E441" s="350">
        <v>24502749.792463236</v>
      </c>
      <c r="F441" s="350">
        <v>32449894.082529359</v>
      </c>
      <c r="G441" s="350">
        <v>40457783.135927908</v>
      </c>
      <c r="H441" s="348">
        <v>122811897.73235968</v>
      </c>
      <c r="I441" s="369"/>
      <c r="J441" s="350">
        <v>9995359.5367909484</v>
      </c>
      <c r="K441" s="350">
        <v>20181277.425897956</v>
      </c>
      <c r="L441" s="350">
        <v>30111947.266293384</v>
      </c>
      <c r="M441" s="350">
        <v>39780069.812474474</v>
      </c>
      <c r="N441" s="350">
        <v>49180832.14391683</v>
      </c>
      <c r="O441" s="348">
        <v>149249486.1853736</v>
      </c>
      <c r="P441" s="369"/>
      <c r="Q441" s="350">
        <f t="shared" si="189"/>
        <v>1208977.2064102255</v>
      </c>
      <c r="R441" s="350">
        <f t="shared" si="190"/>
        <v>3566189.0348395146</v>
      </c>
      <c r="S441" s="350">
        <f t="shared" si="191"/>
        <v>5609197.4738301486</v>
      </c>
      <c r="T441" s="350">
        <f t="shared" si="192"/>
        <v>7330175.7299451157</v>
      </c>
      <c r="U441" s="350">
        <f t="shared" si="193"/>
        <v>8723049.0079889223</v>
      </c>
      <c r="V441" s="350">
        <f t="shared" si="194"/>
        <v>26437588.453013927</v>
      </c>
      <c r="W441" s="365"/>
      <c r="X441" s="377">
        <f t="shared" si="172"/>
        <v>0</v>
      </c>
      <c r="Y441" s="377">
        <f t="shared" si="173"/>
        <v>0</v>
      </c>
      <c r="Z441" s="377">
        <f t="shared" si="174"/>
        <v>0</v>
      </c>
      <c r="AA441" s="377">
        <f t="shared" si="175"/>
        <v>0</v>
      </c>
      <c r="AB441" s="377">
        <f t="shared" si="176"/>
        <v>0</v>
      </c>
      <c r="AC441" s="377">
        <f t="shared" si="177"/>
        <v>0</v>
      </c>
      <c r="AD441" s="376"/>
      <c r="AE441" s="332">
        <v>426</v>
      </c>
      <c r="AF441" s="350">
        <v>5569198.0560775343</v>
      </c>
      <c r="AG441" s="350">
        <v>11182131.98554883</v>
      </c>
      <c r="AH441" s="350">
        <v>16837544.899089158</v>
      </c>
      <c r="AI441" s="350">
        <v>22535624.314063121</v>
      </c>
      <c r="AJ441" s="350">
        <v>28277191.973652992</v>
      </c>
      <c r="AK441" s="348">
        <v>84401691.228431627</v>
      </c>
      <c r="AL441" s="369"/>
      <c r="AM441" s="350">
        <v>6800020.8639885336</v>
      </c>
      <c r="AN441" s="350">
        <v>14818468.001565751</v>
      </c>
      <c r="AO441" s="350">
        <v>22637579.072330076</v>
      </c>
      <c r="AP441" s="350">
        <v>30252829.310630843</v>
      </c>
      <c r="AQ441" s="350">
        <v>37662096.92327144</v>
      </c>
      <c r="AR441" s="348">
        <v>112170994.17178664</v>
      </c>
      <c r="AS441" s="369"/>
      <c r="AT441" s="350">
        <f t="shared" si="195"/>
        <v>1230822.8079109993</v>
      </c>
      <c r="AU441" s="350">
        <f t="shared" si="178"/>
        <v>3636336.016016921</v>
      </c>
      <c r="AV441" s="350">
        <f t="shared" si="179"/>
        <v>5800034.1732409187</v>
      </c>
      <c r="AW441" s="350">
        <f t="shared" si="180"/>
        <v>7717204.9965677224</v>
      </c>
      <c r="AX441" s="350">
        <f t="shared" si="181"/>
        <v>9384904.9496184476</v>
      </c>
      <c r="AY441" s="350">
        <f t="shared" si="182"/>
        <v>27769302.943355009</v>
      </c>
      <c r="AZ441" s="365"/>
      <c r="BA441" s="377">
        <f t="shared" si="183"/>
        <v>0</v>
      </c>
      <c r="BB441" s="377">
        <f t="shared" si="184"/>
        <v>0</v>
      </c>
      <c r="BC441" s="377">
        <f t="shared" si="185"/>
        <v>0</v>
      </c>
      <c r="BD441" s="377">
        <f t="shared" si="186"/>
        <v>0</v>
      </c>
      <c r="BE441" s="377">
        <f t="shared" si="187"/>
        <v>0</v>
      </c>
      <c r="BF441" s="377">
        <f t="shared" si="188"/>
        <v>0</v>
      </c>
      <c r="BG441" s="328"/>
    </row>
    <row r="442" spans="2:59">
      <c r="B442" s="332">
        <v>427</v>
      </c>
      <c r="C442" s="350">
        <v>7132083.9625557708</v>
      </c>
      <c r="D442" s="350">
        <v>13432772.357441239</v>
      </c>
      <c r="E442" s="350">
        <v>19780891.68282748</v>
      </c>
      <c r="F442" s="350">
        <v>26176882.353923813</v>
      </c>
      <c r="G442" s="350">
        <v>32621766.840654507</v>
      </c>
      <c r="H442" s="348">
        <v>99144397.197402805</v>
      </c>
      <c r="I442" s="369"/>
      <c r="J442" s="350">
        <v>8126908.2672623796</v>
      </c>
      <c r="K442" s="350">
        <v>16367592.041799057</v>
      </c>
      <c r="L442" s="350">
        <v>24400929.071914636</v>
      </c>
      <c r="M442" s="350">
        <v>32221140.038773023</v>
      </c>
      <c r="N442" s="350">
        <v>39824469.669535697</v>
      </c>
      <c r="O442" s="348">
        <v>120941039.08928479</v>
      </c>
      <c r="P442" s="369"/>
      <c r="Q442" s="350">
        <f t="shared" si="189"/>
        <v>994824.30470660888</v>
      </c>
      <c r="R442" s="350">
        <f t="shared" si="190"/>
        <v>2934819.6843578182</v>
      </c>
      <c r="S442" s="350">
        <f t="shared" si="191"/>
        <v>4620037.3890871555</v>
      </c>
      <c r="T442" s="350">
        <f t="shared" si="192"/>
        <v>6044257.6848492101</v>
      </c>
      <c r="U442" s="350">
        <f t="shared" si="193"/>
        <v>7202702.8288811892</v>
      </c>
      <c r="V442" s="350">
        <f t="shared" si="194"/>
        <v>21796641.891881987</v>
      </c>
      <c r="W442" s="365"/>
      <c r="X442" s="377">
        <f t="shared" si="172"/>
        <v>0</v>
      </c>
      <c r="Y442" s="377">
        <f t="shared" si="173"/>
        <v>0</v>
      </c>
      <c r="Z442" s="377">
        <f t="shared" si="174"/>
        <v>0</v>
      </c>
      <c r="AA442" s="377">
        <f t="shared" si="175"/>
        <v>0</v>
      </c>
      <c r="AB442" s="377">
        <f t="shared" si="176"/>
        <v>0</v>
      </c>
      <c r="AC442" s="377">
        <f t="shared" si="177"/>
        <v>0</v>
      </c>
      <c r="AD442" s="376"/>
      <c r="AE442" s="332">
        <v>427</v>
      </c>
      <c r="AF442" s="350">
        <v>6432870.6082018819</v>
      </c>
      <c r="AG442" s="350">
        <v>12916259.659390675</v>
      </c>
      <c r="AH442" s="350">
        <v>19448715.34554781</v>
      </c>
      <c r="AI442" s="350">
        <v>26030454.264275152</v>
      </c>
      <c r="AJ442" s="350">
        <v>32662425.594882101</v>
      </c>
      <c r="AK442" s="348">
        <v>97490725.472297624</v>
      </c>
      <c r="AL442" s="369"/>
      <c r="AM442" s="350">
        <v>7333767.4212387716</v>
      </c>
      <c r="AN442" s="350">
        <v>15571972.877604539</v>
      </c>
      <c r="AO442" s="350">
        <v>23564330.989999957</v>
      </c>
      <c r="AP442" s="350">
        <v>31305762.593252026</v>
      </c>
      <c r="AQ442" s="350">
        <v>38793289.395349711</v>
      </c>
      <c r="AR442" s="348">
        <v>116569123.277445</v>
      </c>
      <c r="AS442" s="369"/>
      <c r="AT442" s="350">
        <f t="shared" si="195"/>
        <v>900896.81303688977</v>
      </c>
      <c r="AU442" s="350">
        <f t="shared" si="178"/>
        <v>2655713.2182138637</v>
      </c>
      <c r="AV442" s="350">
        <f t="shared" si="179"/>
        <v>4115615.6444521472</v>
      </c>
      <c r="AW442" s="350">
        <f t="shared" si="180"/>
        <v>5275308.3289768733</v>
      </c>
      <c r="AX442" s="350">
        <f t="shared" si="181"/>
        <v>6130863.8004676104</v>
      </c>
      <c r="AY442" s="350">
        <f t="shared" si="182"/>
        <v>19078397.80514738</v>
      </c>
      <c r="AZ442" s="365"/>
      <c r="BA442" s="377">
        <f t="shared" si="183"/>
        <v>0</v>
      </c>
      <c r="BB442" s="377">
        <f t="shared" si="184"/>
        <v>0</v>
      </c>
      <c r="BC442" s="377">
        <f t="shared" si="185"/>
        <v>0</v>
      </c>
      <c r="BD442" s="377">
        <f t="shared" si="186"/>
        <v>0</v>
      </c>
      <c r="BE442" s="377">
        <f t="shared" si="187"/>
        <v>0</v>
      </c>
      <c r="BF442" s="377">
        <f t="shared" si="188"/>
        <v>0</v>
      </c>
      <c r="BG442" s="328"/>
    </row>
    <row r="443" spans="2:59">
      <c r="B443" s="332">
        <v>428</v>
      </c>
      <c r="C443" s="350">
        <v>7757034.7409144444</v>
      </c>
      <c r="D443" s="350">
        <v>14661552.772707725</v>
      </c>
      <c r="E443" s="350">
        <v>21618064.128615506</v>
      </c>
      <c r="F443" s="350">
        <v>28627036.140591361</v>
      </c>
      <c r="G443" s="350">
        <v>35689582.614538118</v>
      </c>
      <c r="H443" s="348">
        <v>108353270.39736716</v>
      </c>
      <c r="I443" s="369"/>
      <c r="J443" s="350">
        <v>8990960.466382768</v>
      </c>
      <c r="K443" s="350">
        <v>18304009.80533094</v>
      </c>
      <c r="L443" s="350">
        <v>27389976.46951589</v>
      </c>
      <c r="M443" s="350">
        <v>36242657.516103275</v>
      </c>
      <c r="N443" s="350">
        <v>44858269.735296041</v>
      </c>
      <c r="O443" s="348">
        <v>135785873.9926289</v>
      </c>
      <c r="P443" s="369"/>
      <c r="Q443" s="350">
        <f t="shared" si="189"/>
        <v>1233925.7254683236</v>
      </c>
      <c r="R443" s="350">
        <f t="shared" si="190"/>
        <v>3642457.0326232146</v>
      </c>
      <c r="S443" s="350">
        <f t="shared" si="191"/>
        <v>5771912.3409003839</v>
      </c>
      <c r="T443" s="350">
        <f t="shared" si="192"/>
        <v>7615621.3755119145</v>
      </c>
      <c r="U443" s="350">
        <f t="shared" si="193"/>
        <v>9168687.1207579225</v>
      </c>
      <c r="V443" s="350">
        <f t="shared" si="194"/>
        <v>27432603.595261738</v>
      </c>
      <c r="W443" s="365"/>
      <c r="X443" s="377">
        <f t="shared" si="172"/>
        <v>0</v>
      </c>
      <c r="Y443" s="377">
        <f t="shared" si="173"/>
        <v>0</v>
      </c>
      <c r="Z443" s="377">
        <f t="shared" si="174"/>
        <v>0</v>
      </c>
      <c r="AA443" s="377">
        <f t="shared" si="175"/>
        <v>0</v>
      </c>
      <c r="AB443" s="377">
        <f t="shared" si="176"/>
        <v>0</v>
      </c>
      <c r="AC443" s="377">
        <f t="shared" si="177"/>
        <v>0</v>
      </c>
      <c r="AD443" s="376"/>
      <c r="AE443" s="332">
        <v>428</v>
      </c>
      <c r="AF443" s="350">
        <v>7008632.1415403076</v>
      </c>
      <c r="AG443" s="350">
        <v>14072304.280746231</v>
      </c>
      <c r="AH443" s="350">
        <v>21189434.668354958</v>
      </c>
      <c r="AI443" s="350">
        <v>28360259.28811413</v>
      </c>
      <c r="AJ443" s="350">
        <v>35585812.273775399</v>
      </c>
      <c r="AK443" s="348">
        <v>106216442.65253103</v>
      </c>
      <c r="AL443" s="369"/>
      <c r="AM443" s="350">
        <v>8150551.4226774368</v>
      </c>
      <c r="AN443" s="350">
        <v>17441379.958091445</v>
      </c>
      <c r="AO443" s="350">
        <v>26469160.777465478</v>
      </c>
      <c r="AP443" s="350">
        <v>35228314.750769377</v>
      </c>
      <c r="AQ443" s="350">
        <v>43715759.45669508</v>
      </c>
      <c r="AR443" s="348">
        <v>131005166.36569881</v>
      </c>
      <c r="AS443" s="369"/>
      <c r="AT443" s="350">
        <f t="shared" si="195"/>
        <v>1141919.2811371293</v>
      </c>
      <c r="AU443" s="350">
        <f t="shared" si="178"/>
        <v>3369075.6773452144</v>
      </c>
      <c r="AV443" s="350">
        <f t="shared" si="179"/>
        <v>5279726.1091105193</v>
      </c>
      <c r="AW443" s="350">
        <f t="shared" si="180"/>
        <v>6868055.4626552463</v>
      </c>
      <c r="AX443" s="350">
        <f t="shared" si="181"/>
        <v>8129947.1829196811</v>
      </c>
      <c r="AY443" s="350">
        <f t="shared" si="182"/>
        <v>24788723.713167787</v>
      </c>
      <c r="AZ443" s="365"/>
      <c r="BA443" s="377">
        <f t="shared" si="183"/>
        <v>0</v>
      </c>
      <c r="BB443" s="377">
        <f t="shared" si="184"/>
        <v>0</v>
      </c>
      <c r="BC443" s="377">
        <f t="shared" si="185"/>
        <v>0</v>
      </c>
      <c r="BD443" s="377">
        <f t="shared" si="186"/>
        <v>0</v>
      </c>
      <c r="BE443" s="377">
        <f t="shared" si="187"/>
        <v>0</v>
      </c>
      <c r="BF443" s="377">
        <f t="shared" si="188"/>
        <v>0</v>
      </c>
      <c r="BG443" s="328"/>
    </row>
    <row r="444" spans="2:59">
      <c r="B444" s="332">
        <v>429</v>
      </c>
      <c r="C444" s="350">
        <v>8819032.1883476749</v>
      </c>
      <c r="D444" s="350">
        <v>16468302.854723822</v>
      </c>
      <c r="E444" s="350">
        <v>24175110.342506818</v>
      </c>
      <c r="F444" s="350">
        <v>31940031.221478358</v>
      </c>
      <c r="G444" s="350">
        <v>39764325.034205414</v>
      </c>
      <c r="H444" s="348">
        <v>121166801.64126208</v>
      </c>
      <c r="I444" s="369"/>
      <c r="J444" s="350">
        <v>10126965.515429219</v>
      </c>
      <c r="K444" s="350">
        <v>20328405.654490478</v>
      </c>
      <c r="L444" s="350">
        <v>30284840.861658953</v>
      </c>
      <c r="M444" s="350">
        <v>39989136.209442779</v>
      </c>
      <c r="N444" s="350">
        <v>49436714.631473742</v>
      </c>
      <c r="O444" s="348">
        <v>150166062.87249517</v>
      </c>
      <c r="P444" s="369"/>
      <c r="Q444" s="350">
        <f t="shared" si="189"/>
        <v>1307933.3270815443</v>
      </c>
      <c r="R444" s="350">
        <f t="shared" si="190"/>
        <v>3860102.799766656</v>
      </c>
      <c r="S444" s="350">
        <f t="shared" si="191"/>
        <v>6109730.5191521347</v>
      </c>
      <c r="T444" s="350">
        <f t="shared" si="192"/>
        <v>8049104.9879644215</v>
      </c>
      <c r="U444" s="350">
        <f t="shared" si="193"/>
        <v>9672389.5972683281</v>
      </c>
      <c r="V444" s="350">
        <f t="shared" si="194"/>
        <v>28999261.23123309</v>
      </c>
      <c r="W444" s="365"/>
      <c r="X444" s="377">
        <f t="shared" si="172"/>
        <v>0</v>
      </c>
      <c r="Y444" s="377">
        <f t="shared" si="173"/>
        <v>0</v>
      </c>
      <c r="Z444" s="377">
        <f t="shared" si="174"/>
        <v>0</v>
      </c>
      <c r="AA444" s="377">
        <f t="shared" si="175"/>
        <v>0</v>
      </c>
      <c r="AB444" s="377">
        <f t="shared" si="176"/>
        <v>0</v>
      </c>
      <c r="AC444" s="377">
        <f t="shared" si="177"/>
        <v>0</v>
      </c>
      <c r="AD444" s="376"/>
      <c r="AE444" s="332">
        <v>429</v>
      </c>
      <c r="AF444" s="350">
        <v>6561037.572518073</v>
      </c>
      <c r="AG444" s="350">
        <v>13173600.105311211</v>
      </c>
      <c r="AH444" s="350">
        <v>19836206.864887625</v>
      </c>
      <c r="AI444" s="350">
        <v>26549078.764287621</v>
      </c>
      <c r="AJ444" s="350">
        <v>33313183.894040499</v>
      </c>
      <c r="AK444" s="348">
        <v>99433107.201045021</v>
      </c>
      <c r="AL444" s="369"/>
      <c r="AM444" s="350">
        <v>7868785.1640769038</v>
      </c>
      <c r="AN444" s="350">
        <v>17035592.841499452</v>
      </c>
      <c r="AO444" s="350">
        <v>25963302.695098646</v>
      </c>
      <c r="AP444" s="350">
        <v>34646624.367860414</v>
      </c>
      <c r="AQ444" s="350">
        <v>43082914.095077038</v>
      </c>
      <c r="AR444" s="348">
        <v>128597219.16361246</v>
      </c>
      <c r="AS444" s="369"/>
      <c r="AT444" s="350">
        <f t="shared" si="195"/>
        <v>1307747.5915588308</v>
      </c>
      <c r="AU444" s="350">
        <f t="shared" si="178"/>
        <v>3861992.7361882403</v>
      </c>
      <c r="AV444" s="350">
        <f t="shared" si="179"/>
        <v>6127095.830211021</v>
      </c>
      <c r="AW444" s="350">
        <f t="shared" si="180"/>
        <v>8097545.6035727933</v>
      </c>
      <c r="AX444" s="350">
        <f t="shared" si="181"/>
        <v>9769730.2010365389</v>
      </c>
      <c r="AY444" s="350">
        <f t="shared" si="182"/>
        <v>29164111.962567434</v>
      </c>
      <c r="AZ444" s="365"/>
      <c r="BA444" s="377">
        <f t="shared" si="183"/>
        <v>0</v>
      </c>
      <c r="BB444" s="377">
        <f t="shared" si="184"/>
        <v>0</v>
      </c>
      <c r="BC444" s="377">
        <f t="shared" si="185"/>
        <v>0</v>
      </c>
      <c r="BD444" s="377">
        <f t="shared" si="186"/>
        <v>0</v>
      </c>
      <c r="BE444" s="377">
        <f t="shared" si="187"/>
        <v>0</v>
      </c>
      <c r="BF444" s="377">
        <f t="shared" si="188"/>
        <v>0</v>
      </c>
      <c r="BG444" s="328"/>
    </row>
    <row r="445" spans="2:59">
      <c r="B445" s="332">
        <v>430</v>
      </c>
      <c r="C445" s="350">
        <v>8430474.3964186572</v>
      </c>
      <c r="D445" s="350">
        <v>15895474.186936403</v>
      </c>
      <c r="E445" s="350">
        <v>23416675.343138508</v>
      </c>
      <c r="F445" s="350">
        <v>30994594.558562331</v>
      </c>
      <c r="G445" s="350">
        <v>38630441.024687164</v>
      </c>
      <c r="H445" s="348">
        <v>117367659.50974306</v>
      </c>
      <c r="I445" s="369"/>
      <c r="J445" s="350">
        <v>9649711.1123430375</v>
      </c>
      <c r="K445" s="350">
        <v>19492990.562526874</v>
      </c>
      <c r="L445" s="350">
        <v>29092291.32892694</v>
      </c>
      <c r="M445" s="350">
        <v>38440754.85385111</v>
      </c>
      <c r="N445" s="350">
        <v>47533975.792520657</v>
      </c>
      <c r="O445" s="348">
        <v>144209723.6501686</v>
      </c>
      <c r="P445" s="369"/>
      <c r="Q445" s="350">
        <f t="shared" si="189"/>
        <v>1219236.7159243803</v>
      </c>
      <c r="R445" s="350">
        <f t="shared" si="190"/>
        <v>3597516.3755904716</v>
      </c>
      <c r="S445" s="350">
        <f t="shared" si="191"/>
        <v>5675615.985788431</v>
      </c>
      <c r="T445" s="350">
        <f t="shared" si="192"/>
        <v>7446160.2952887788</v>
      </c>
      <c r="U445" s="350">
        <f t="shared" si="193"/>
        <v>8903534.7678334936</v>
      </c>
      <c r="V445" s="350">
        <f t="shared" si="194"/>
        <v>26842064.140425533</v>
      </c>
      <c r="W445" s="365"/>
      <c r="X445" s="377">
        <f t="shared" si="172"/>
        <v>0</v>
      </c>
      <c r="Y445" s="377">
        <f t="shared" si="173"/>
        <v>0</v>
      </c>
      <c r="Z445" s="377">
        <f t="shared" si="174"/>
        <v>0</v>
      </c>
      <c r="AA445" s="377">
        <f t="shared" si="175"/>
        <v>0</v>
      </c>
      <c r="AB445" s="377">
        <f t="shared" si="176"/>
        <v>0</v>
      </c>
      <c r="AC445" s="377">
        <f t="shared" si="177"/>
        <v>0</v>
      </c>
      <c r="AD445" s="376"/>
      <c r="AE445" s="332">
        <v>430</v>
      </c>
      <c r="AF445" s="350">
        <v>5383439.4508541021</v>
      </c>
      <c r="AG445" s="350">
        <v>10809155.980719354</v>
      </c>
      <c r="AH445" s="350">
        <v>16275934.623364</v>
      </c>
      <c r="AI445" s="350">
        <v>21783956.641578145</v>
      </c>
      <c r="AJ445" s="350">
        <v>27334016.36959473</v>
      </c>
      <c r="AK445" s="348">
        <v>81586503.066110343</v>
      </c>
      <c r="AL445" s="369"/>
      <c r="AM445" s="350">
        <v>6445823.5403922759</v>
      </c>
      <c r="AN445" s="350">
        <v>13946416.61740483</v>
      </c>
      <c r="AO445" s="350">
        <v>21250507.187808406</v>
      </c>
      <c r="AP445" s="350">
        <v>28353757.437110469</v>
      </c>
      <c r="AQ445" s="350">
        <v>35253987.332558781</v>
      </c>
      <c r="AR445" s="348">
        <v>105250492.11527476</v>
      </c>
      <c r="AS445" s="369"/>
      <c r="AT445" s="350">
        <f t="shared" si="195"/>
        <v>1062384.0895381738</v>
      </c>
      <c r="AU445" s="350">
        <f t="shared" si="178"/>
        <v>3137260.6366854757</v>
      </c>
      <c r="AV445" s="350">
        <f t="shared" si="179"/>
        <v>4974572.564444406</v>
      </c>
      <c r="AW445" s="350">
        <f t="shared" si="180"/>
        <v>6569800.7955323234</v>
      </c>
      <c r="AX445" s="350">
        <f t="shared" si="181"/>
        <v>7919970.9629640505</v>
      </c>
      <c r="AY445" s="350">
        <f t="shared" si="182"/>
        <v>23663989.049164414</v>
      </c>
      <c r="AZ445" s="365"/>
      <c r="BA445" s="377">
        <f t="shared" si="183"/>
        <v>0</v>
      </c>
      <c r="BB445" s="377">
        <f t="shared" si="184"/>
        <v>0</v>
      </c>
      <c r="BC445" s="377">
        <f t="shared" si="185"/>
        <v>0</v>
      </c>
      <c r="BD445" s="377">
        <f t="shared" si="186"/>
        <v>0</v>
      </c>
      <c r="BE445" s="377">
        <f t="shared" si="187"/>
        <v>0</v>
      </c>
      <c r="BF445" s="377">
        <f t="shared" si="188"/>
        <v>0</v>
      </c>
      <c r="BG445" s="328"/>
    </row>
    <row r="446" spans="2:59">
      <c r="B446" s="332">
        <v>431</v>
      </c>
      <c r="C446" s="350">
        <v>9691445.9626016878</v>
      </c>
      <c r="D446" s="350">
        <v>18256891.383258954</v>
      </c>
      <c r="E446" s="350">
        <v>26886817.80852481</v>
      </c>
      <c r="F446" s="350">
        <v>35581822.852726698</v>
      </c>
      <c r="G446" s="350">
        <v>44343296.027106717</v>
      </c>
      <c r="H446" s="348">
        <v>134760274.03421885</v>
      </c>
      <c r="I446" s="369"/>
      <c r="J446" s="350">
        <v>10728311.914054459</v>
      </c>
      <c r="K446" s="350">
        <v>21310814.030390121</v>
      </c>
      <c r="L446" s="350">
        <v>31596794.576799016</v>
      </c>
      <c r="M446" s="350">
        <v>41578696.108375989</v>
      </c>
      <c r="N446" s="350">
        <v>51251312.686268397</v>
      </c>
      <c r="O446" s="348">
        <v>156465929.31588799</v>
      </c>
      <c r="P446" s="369"/>
      <c r="Q446" s="350">
        <f t="shared" si="189"/>
        <v>1036865.9514527712</v>
      </c>
      <c r="R446" s="350">
        <f t="shared" si="190"/>
        <v>3053922.6471311674</v>
      </c>
      <c r="S446" s="350">
        <f t="shared" si="191"/>
        <v>4709976.7682742067</v>
      </c>
      <c r="T446" s="350">
        <f t="shared" si="192"/>
        <v>5996873.255649291</v>
      </c>
      <c r="U446" s="350">
        <f t="shared" si="193"/>
        <v>6908016.6591616794</v>
      </c>
      <c r="V446" s="350">
        <f t="shared" si="194"/>
        <v>21705655.28166914</v>
      </c>
      <c r="W446" s="365"/>
      <c r="X446" s="377">
        <f t="shared" si="172"/>
        <v>0</v>
      </c>
      <c r="Y446" s="377">
        <f t="shared" si="173"/>
        <v>0</v>
      </c>
      <c r="Z446" s="377">
        <f t="shared" si="174"/>
        <v>0</v>
      </c>
      <c r="AA446" s="377">
        <f t="shared" si="175"/>
        <v>0</v>
      </c>
      <c r="AB446" s="377">
        <f t="shared" si="176"/>
        <v>0</v>
      </c>
      <c r="AC446" s="377">
        <f t="shared" si="177"/>
        <v>0</v>
      </c>
      <c r="AD446" s="376"/>
      <c r="AE446" s="332">
        <v>431</v>
      </c>
      <c r="AF446" s="350">
        <v>4256794.9000257971</v>
      </c>
      <c r="AG446" s="350">
        <v>8547019.144983504</v>
      </c>
      <c r="AH446" s="350">
        <v>12869712.036400283</v>
      </c>
      <c r="AI446" s="350">
        <v>17225016.902445339</v>
      </c>
      <c r="AJ446" s="350">
        <v>21613561.839327894</v>
      </c>
      <c r="AK446" s="348">
        <v>64512104.823182814</v>
      </c>
      <c r="AL446" s="369"/>
      <c r="AM446" s="350">
        <v>5129956.7171216896</v>
      </c>
      <c r="AN446" s="350">
        <v>11125918.699023331</v>
      </c>
      <c r="AO446" s="350">
        <v>16967493.907468595</v>
      </c>
      <c r="AP446" s="350">
        <v>22651242.978821374</v>
      </c>
      <c r="AQ446" s="350">
        <v>28175475.652763397</v>
      </c>
      <c r="AR446" s="348">
        <v>84050087.955198377</v>
      </c>
      <c r="AS446" s="369"/>
      <c r="AT446" s="350">
        <f t="shared" si="195"/>
        <v>873161.8170958925</v>
      </c>
      <c r="AU446" s="350">
        <f t="shared" si="178"/>
        <v>2578899.5540398266</v>
      </c>
      <c r="AV446" s="350">
        <f t="shared" si="179"/>
        <v>4097781.8710683119</v>
      </c>
      <c r="AW446" s="350">
        <f t="shared" si="180"/>
        <v>5426226.0763760358</v>
      </c>
      <c r="AX446" s="350">
        <f t="shared" si="181"/>
        <v>6561913.8134355024</v>
      </c>
      <c r="AY446" s="350">
        <f t="shared" si="182"/>
        <v>19537983.132015564</v>
      </c>
      <c r="AZ446" s="365"/>
      <c r="BA446" s="377">
        <f t="shared" si="183"/>
        <v>0</v>
      </c>
      <c r="BB446" s="377">
        <f t="shared" si="184"/>
        <v>0</v>
      </c>
      <c r="BC446" s="377">
        <f t="shared" si="185"/>
        <v>0</v>
      </c>
      <c r="BD446" s="377">
        <f t="shared" si="186"/>
        <v>0</v>
      </c>
      <c r="BE446" s="377">
        <f t="shared" si="187"/>
        <v>0</v>
      </c>
      <c r="BF446" s="377">
        <f t="shared" si="188"/>
        <v>0</v>
      </c>
      <c r="BG446" s="328"/>
    </row>
    <row r="447" spans="2:59">
      <c r="B447" s="332">
        <v>432</v>
      </c>
      <c r="C447" s="350">
        <v>9231995.9985465482</v>
      </c>
      <c r="D447" s="350">
        <v>17311618.686678156</v>
      </c>
      <c r="E447" s="350">
        <v>25452039.156374007</v>
      </c>
      <c r="F447" s="350">
        <v>33653844.689732894</v>
      </c>
      <c r="G447" s="350">
        <v>41918356.238998845</v>
      </c>
      <c r="H447" s="348">
        <v>127567854.77033044</v>
      </c>
      <c r="I447" s="369"/>
      <c r="J447" s="350">
        <v>10419474.25262906</v>
      </c>
      <c r="K447" s="350">
        <v>20813430.576482978</v>
      </c>
      <c r="L447" s="350">
        <v>30935366.353979655</v>
      </c>
      <c r="M447" s="350">
        <v>40778077.927358046</v>
      </c>
      <c r="N447" s="350">
        <v>50336835.865252241</v>
      </c>
      <c r="O447" s="348">
        <v>153283184.97570199</v>
      </c>
      <c r="P447" s="369"/>
      <c r="Q447" s="350">
        <f t="shared" si="189"/>
        <v>1187478.2540825121</v>
      </c>
      <c r="R447" s="350">
        <f t="shared" si="190"/>
        <v>3501811.8898048215</v>
      </c>
      <c r="S447" s="350">
        <f t="shared" si="191"/>
        <v>5483327.1976056471</v>
      </c>
      <c r="T447" s="350">
        <f t="shared" si="192"/>
        <v>7124233.2376251519</v>
      </c>
      <c r="U447" s="350">
        <f t="shared" si="193"/>
        <v>8418479.6262533963</v>
      </c>
      <c r="V447" s="350">
        <f t="shared" si="194"/>
        <v>25715330.205371544</v>
      </c>
      <c r="W447" s="365"/>
      <c r="X447" s="377">
        <f t="shared" si="172"/>
        <v>0</v>
      </c>
      <c r="Y447" s="377">
        <f t="shared" si="173"/>
        <v>0</v>
      </c>
      <c r="Z447" s="377">
        <f t="shared" si="174"/>
        <v>0</v>
      </c>
      <c r="AA447" s="377">
        <f t="shared" si="175"/>
        <v>0</v>
      </c>
      <c r="AB447" s="377">
        <f t="shared" si="176"/>
        <v>0</v>
      </c>
      <c r="AC447" s="377">
        <f t="shared" si="177"/>
        <v>0</v>
      </c>
      <c r="AD447" s="376"/>
      <c r="AE447" s="332">
        <v>432</v>
      </c>
      <c r="AF447" s="350">
        <v>5856846.0702242553</v>
      </c>
      <c r="AG447" s="350">
        <v>11759686.963335901</v>
      </c>
      <c r="AH447" s="350">
        <v>17707200.871917039</v>
      </c>
      <c r="AI447" s="350">
        <v>23699584.998568282</v>
      </c>
      <c r="AJ447" s="350">
        <v>29737703.529350061</v>
      </c>
      <c r="AK447" s="348">
        <v>88761022.433395535</v>
      </c>
      <c r="AL447" s="369"/>
      <c r="AM447" s="350">
        <v>6529980.9740204252</v>
      </c>
      <c r="AN447" s="350">
        <v>13741365.303479705</v>
      </c>
      <c r="AO447" s="350">
        <v>20724510.973453064</v>
      </c>
      <c r="AP447" s="350">
        <v>27474835.230288155</v>
      </c>
      <c r="AQ447" s="350">
        <v>33989477.50017722</v>
      </c>
      <c r="AR447" s="348">
        <v>102460169.98141856</v>
      </c>
      <c r="AS447" s="369"/>
      <c r="AT447" s="350">
        <f t="shared" si="195"/>
        <v>673134.90379616991</v>
      </c>
      <c r="AU447" s="350">
        <f t="shared" si="178"/>
        <v>1981678.3401438035</v>
      </c>
      <c r="AV447" s="350">
        <f t="shared" si="179"/>
        <v>3017310.1015360244</v>
      </c>
      <c r="AW447" s="350">
        <f t="shared" si="180"/>
        <v>3775250.2317198738</v>
      </c>
      <c r="AX447" s="350">
        <f t="shared" si="181"/>
        <v>4251773.9708271585</v>
      </c>
      <c r="AY447" s="350">
        <f t="shared" si="182"/>
        <v>13699147.54802303</v>
      </c>
      <c r="AZ447" s="365"/>
      <c r="BA447" s="377">
        <f t="shared" si="183"/>
        <v>0</v>
      </c>
      <c r="BB447" s="377">
        <f t="shared" si="184"/>
        <v>0</v>
      </c>
      <c r="BC447" s="377">
        <f t="shared" si="185"/>
        <v>0</v>
      </c>
      <c r="BD447" s="377">
        <f t="shared" si="186"/>
        <v>0</v>
      </c>
      <c r="BE447" s="377">
        <f t="shared" si="187"/>
        <v>0</v>
      </c>
      <c r="BF447" s="377">
        <f t="shared" si="188"/>
        <v>0</v>
      </c>
      <c r="BG447" s="328"/>
    </row>
    <row r="448" spans="2:59">
      <c r="B448" s="332">
        <v>433</v>
      </c>
      <c r="C448" s="350">
        <v>6574394.7292048149</v>
      </c>
      <c r="D448" s="350">
        <v>12241684.72348229</v>
      </c>
      <c r="E448" s="350">
        <v>17951591.717886902</v>
      </c>
      <c r="F448" s="350">
        <v>23704553.448053461</v>
      </c>
      <c r="G448" s="350">
        <v>29501507.694360733</v>
      </c>
      <c r="H448" s="348">
        <v>89973732.312988207</v>
      </c>
      <c r="I448" s="369"/>
      <c r="J448" s="350">
        <v>7486536.7657529637</v>
      </c>
      <c r="K448" s="350">
        <v>14932887.396625554</v>
      </c>
      <c r="L448" s="350">
        <v>22196561.341682024</v>
      </c>
      <c r="M448" s="350">
        <v>29272293.178480454</v>
      </c>
      <c r="N448" s="350">
        <v>36156632.314252965</v>
      </c>
      <c r="O448" s="348">
        <v>110044910.99679396</v>
      </c>
      <c r="P448" s="369"/>
      <c r="Q448" s="350">
        <f t="shared" si="189"/>
        <v>912142.03654814884</v>
      </c>
      <c r="R448" s="350">
        <f t="shared" si="190"/>
        <v>2691202.6731432639</v>
      </c>
      <c r="S448" s="350">
        <f t="shared" si="191"/>
        <v>4244969.6237951219</v>
      </c>
      <c r="T448" s="350">
        <f t="shared" si="192"/>
        <v>5567739.7304269932</v>
      </c>
      <c r="U448" s="350">
        <f t="shared" si="193"/>
        <v>6655124.6198922321</v>
      </c>
      <c r="V448" s="350">
        <f t="shared" si="194"/>
        <v>20071178.683805749</v>
      </c>
      <c r="W448" s="365"/>
      <c r="X448" s="377">
        <f t="shared" si="172"/>
        <v>0</v>
      </c>
      <c r="Y448" s="377">
        <f t="shared" si="173"/>
        <v>0</v>
      </c>
      <c r="Z448" s="377">
        <f t="shared" si="174"/>
        <v>0</v>
      </c>
      <c r="AA448" s="377">
        <f t="shared" si="175"/>
        <v>0</v>
      </c>
      <c r="AB448" s="377">
        <f t="shared" si="176"/>
        <v>0</v>
      </c>
      <c r="AC448" s="377">
        <f t="shared" si="177"/>
        <v>0</v>
      </c>
      <c r="AD448" s="376"/>
      <c r="AE448" s="332">
        <v>433</v>
      </c>
      <c r="AF448" s="350">
        <v>5968722.6923558451</v>
      </c>
      <c r="AG448" s="350">
        <v>11984318.794018885</v>
      </c>
      <c r="AH448" s="350">
        <v>18045441.248598099</v>
      </c>
      <c r="AI448" s="350">
        <v>24152291.025629502</v>
      </c>
      <c r="AJ448" s="350">
        <v>30305748.818730012</v>
      </c>
      <c r="AK448" s="348">
        <v>90456522.579332337</v>
      </c>
      <c r="AL448" s="369"/>
      <c r="AM448" s="350">
        <v>7159170.7100305073</v>
      </c>
      <c r="AN448" s="350">
        <v>15499916.226857755</v>
      </c>
      <c r="AO448" s="350">
        <v>23623171.888524294</v>
      </c>
      <c r="AP448" s="350">
        <v>31524124.723700851</v>
      </c>
      <c r="AQ448" s="350">
        <v>39200370.410957366</v>
      </c>
      <c r="AR448" s="348">
        <v>117006753.96007077</v>
      </c>
      <c r="AS448" s="369"/>
      <c r="AT448" s="350">
        <f t="shared" si="195"/>
        <v>1190448.0176746622</v>
      </c>
      <c r="AU448" s="350">
        <f t="shared" si="178"/>
        <v>3515597.4328388702</v>
      </c>
      <c r="AV448" s="350">
        <f t="shared" si="179"/>
        <v>5577730.6399261951</v>
      </c>
      <c r="AW448" s="350">
        <f t="shared" si="180"/>
        <v>7371833.6980713494</v>
      </c>
      <c r="AX448" s="350">
        <f t="shared" si="181"/>
        <v>8894621.5922273546</v>
      </c>
      <c r="AY448" s="350">
        <f t="shared" si="182"/>
        <v>26550231.380738437</v>
      </c>
      <c r="AZ448" s="365"/>
      <c r="BA448" s="377">
        <f t="shared" si="183"/>
        <v>0</v>
      </c>
      <c r="BB448" s="377">
        <f t="shared" si="184"/>
        <v>0</v>
      </c>
      <c r="BC448" s="377">
        <f t="shared" si="185"/>
        <v>0</v>
      </c>
      <c r="BD448" s="377">
        <f t="shared" si="186"/>
        <v>0</v>
      </c>
      <c r="BE448" s="377">
        <f t="shared" si="187"/>
        <v>0</v>
      </c>
      <c r="BF448" s="377">
        <f t="shared" si="188"/>
        <v>0</v>
      </c>
      <c r="BG448" s="328"/>
    </row>
    <row r="449" spans="2:59">
      <c r="B449" s="332">
        <v>434</v>
      </c>
      <c r="C449" s="350">
        <v>7182851.5891005807</v>
      </c>
      <c r="D449" s="350">
        <v>13575461.591683684</v>
      </c>
      <c r="E449" s="350">
        <v>20016209.812522046</v>
      </c>
      <c r="F449" s="350">
        <v>26505529.178299304</v>
      </c>
      <c r="G449" s="350">
        <v>33044451.022024833</v>
      </c>
      <c r="H449" s="348">
        <v>100324503.19363046</v>
      </c>
      <c r="I449" s="369"/>
      <c r="J449" s="350">
        <v>8400664.7090125363</v>
      </c>
      <c r="K449" s="350">
        <v>17171407.415206619</v>
      </c>
      <c r="L449" s="350">
        <v>25737050.694055974</v>
      </c>
      <c r="M449" s="350">
        <v>34091727.257728666</v>
      </c>
      <c r="N449" s="350">
        <v>42231903.388872519</v>
      </c>
      <c r="O449" s="348">
        <v>127632753.46487631</v>
      </c>
      <c r="P449" s="369"/>
      <c r="Q449" s="350">
        <f t="shared" si="189"/>
        <v>1217813.1199119557</v>
      </c>
      <c r="R449" s="350">
        <f t="shared" si="190"/>
        <v>3595945.8235229347</v>
      </c>
      <c r="S449" s="350">
        <f t="shared" si="191"/>
        <v>5720840.8815339282</v>
      </c>
      <c r="T449" s="350">
        <f t="shared" si="192"/>
        <v>7586198.079429362</v>
      </c>
      <c r="U449" s="350">
        <f t="shared" si="193"/>
        <v>9187452.3668476865</v>
      </c>
      <c r="V449" s="350">
        <f t="shared" si="194"/>
        <v>27308250.271245852</v>
      </c>
      <c r="W449" s="365"/>
      <c r="X449" s="377">
        <f t="shared" si="172"/>
        <v>0</v>
      </c>
      <c r="Y449" s="377">
        <f t="shared" si="173"/>
        <v>0</v>
      </c>
      <c r="Z449" s="377">
        <f t="shared" si="174"/>
        <v>0</v>
      </c>
      <c r="AA449" s="377">
        <f t="shared" si="175"/>
        <v>0</v>
      </c>
      <c r="AB449" s="377">
        <f t="shared" si="176"/>
        <v>0</v>
      </c>
      <c r="AC449" s="377">
        <f t="shared" si="177"/>
        <v>0</v>
      </c>
      <c r="AD449" s="376"/>
      <c r="AE449" s="332">
        <v>434</v>
      </c>
      <c r="AF449" s="350">
        <v>8030631.2520305011</v>
      </c>
      <c r="AG449" s="350">
        <v>16124328.437104542</v>
      </c>
      <c r="AH449" s="350">
        <v>24279279.155197937</v>
      </c>
      <c r="AI449" s="350">
        <v>32495753.801220927</v>
      </c>
      <c r="AJ449" s="350">
        <v>40774937.30636365</v>
      </c>
      <c r="AK449" s="348">
        <v>121704929.95191756</v>
      </c>
      <c r="AL449" s="369"/>
      <c r="AM449" s="350">
        <v>9393152.2288356666</v>
      </c>
      <c r="AN449" s="350">
        <v>20145088.965263519</v>
      </c>
      <c r="AO449" s="350">
        <v>30597240.275427874</v>
      </c>
      <c r="AP449" s="350">
        <v>40743198.182461619</v>
      </c>
      <c r="AQ449" s="350">
        <v>50579485.563634433</v>
      </c>
      <c r="AR449" s="348">
        <v>151458165.21562311</v>
      </c>
      <c r="AS449" s="369"/>
      <c r="AT449" s="350">
        <f t="shared" si="195"/>
        <v>1362520.9768051654</v>
      </c>
      <c r="AU449" s="350">
        <f t="shared" si="178"/>
        <v>4020760.5281589776</v>
      </c>
      <c r="AV449" s="350">
        <f t="shared" si="179"/>
        <v>6317961.1202299371</v>
      </c>
      <c r="AW449" s="350">
        <f t="shared" si="180"/>
        <v>8247444.381240692</v>
      </c>
      <c r="AX449" s="350">
        <f t="shared" si="181"/>
        <v>9804548.2572707832</v>
      </c>
      <c r="AY449" s="350">
        <f t="shared" si="182"/>
        <v>29753235.263705552</v>
      </c>
      <c r="AZ449" s="365"/>
      <c r="BA449" s="377">
        <f t="shared" si="183"/>
        <v>0</v>
      </c>
      <c r="BB449" s="377">
        <f t="shared" si="184"/>
        <v>0</v>
      </c>
      <c r="BC449" s="377">
        <f t="shared" si="185"/>
        <v>0</v>
      </c>
      <c r="BD449" s="377">
        <f t="shared" si="186"/>
        <v>0</v>
      </c>
      <c r="BE449" s="377">
        <f t="shared" si="187"/>
        <v>0</v>
      </c>
      <c r="BF449" s="377">
        <f t="shared" si="188"/>
        <v>0</v>
      </c>
      <c r="BG449" s="328"/>
    </row>
    <row r="450" spans="2:59">
      <c r="B450" s="332">
        <v>435</v>
      </c>
      <c r="C450" s="350">
        <v>7029454.1575226244</v>
      </c>
      <c r="D450" s="350">
        <v>13214194.367277499</v>
      </c>
      <c r="E450" s="350">
        <v>19445484.437941745</v>
      </c>
      <c r="F450" s="350">
        <v>25723764.153007984</v>
      </c>
      <c r="G450" s="350">
        <v>32050040.417926773</v>
      </c>
      <c r="H450" s="348">
        <v>97462937.533676624</v>
      </c>
      <c r="I450" s="369"/>
      <c r="J450" s="350">
        <v>8093106.9503110042</v>
      </c>
      <c r="K450" s="350">
        <v>16353430.678787749</v>
      </c>
      <c r="L450" s="350">
        <v>24411737.941692427</v>
      </c>
      <c r="M450" s="350">
        <v>32262387.094019737</v>
      </c>
      <c r="N450" s="350">
        <v>39901833.732726075</v>
      </c>
      <c r="O450" s="348">
        <v>121022496.39753699</v>
      </c>
      <c r="P450" s="369"/>
      <c r="Q450" s="350">
        <f t="shared" si="189"/>
        <v>1063652.7927883798</v>
      </c>
      <c r="R450" s="350">
        <f t="shared" si="190"/>
        <v>3139236.31151025</v>
      </c>
      <c r="S450" s="350">
        <f t="shared" si="191"/>
        <v>4966253.5037506819</v>
      </c>
      <c r="T450" s="350">
        <f t="shared" si="192"/>
        <v>6538622.9410117529</v>
      </c>
      <c r="U450" s="350">
        <f t="shared" si="193"/>
        <v>7851793.3147993013</v>
      </c>
      <c r="V450" s="350">
        <f t="shared" si="194"/>
        <v>23559558.863860369</v>
      </c>
      <c r="W450" s="365"/>
      <c r="X450" s="377">
        <f t="shared" si="172"/>
        <v>0</v>
      </c>
      <c r="Y450" s="377">
        <f t="shared" si="173"/>
        <v>0</v>
      </c>
      <c r="Z450" s="377">
        <f t="shared" si="174"/>
        <v>0</v>
      </c>
      <c r="AA450" s="377">
        <f t="shared" si="175"/>
        <v>0</v>
      </c>
      <c r="AB450" s="377">
        <f t="shared" si="176"/>
        <v>0</v>
      </c>
      <c r="AC450" s="377">
        <f t="shared" si="177"/>
        <v>0</v>
      </c>
      <c r="AD450" s="376"/>
      <c r="AE450" s="332">
        <v>435</v>
      </c>
      <c r="AF450" s="350">
        <v>9232649.6245467663</v>
      </c>
      <c r="AG450" s="350">
        <v>18537804.839845058</v>
      </c>
      <c r="AH450" s="350">
        <v>27913381.967305027</v>
      </c>
      <c r="AI450" s="350">
        <v>37359691.874327771</v>
      </c>
      <c r="AJ450" s="350">
        <v>46878096.851642929</v>
      </c>
      <c r="AK450" s="348">
        <v>139921625.15766755</v>
      </c>
      <c r="AL450" s="369"/>
      <c r="AM450" s="350">
        <v>10785440.506169181</v>
      </c>
      <c r="AN450" s="350">
        <v>23119844.986077275</v>
      </c>
      <c r="AO450" s="350">
        <v>35109182.945608765</v>
      </c>
      <c r="AP450" s="350">
        <v>46746091.133818954</v>
      </c>
      <c r="AQ450" s="350">
        <v>58026558.129417762</v>
      </c>
      <c r="AR450" s="348">
        <v>173787117.70109195</v>
      </c>
      <c r="AS450" s="369"/>
      <c r="AT450" s="350">
        <f t="shared" si="195"/>
        <v>1552790.881622415</v>
      </c>
      <c r="AU450" s="350">
        <f t="shared" si="178"/>
        <v>4582040.1462322176</v>
      </c>
      <c r="AV450" s="350">
        <f t="shared" si="179"/>
        <v>7195800.9783037379</v>
      </c>
      <c r="AW450" s="350">
        <f t="shared" si="180"/>
        <v>9386399.2594911829</v>
      </c>
      <c r="AX450" s="350">
        <f t="shared" si="181"/>
        <v>11148461.277774833</v>
      </c>
      <c r="AY450" s="350">
        <f t="shared" si="182"/>
        <v>33865492.543424398</v>
      </c>
      <c r="AZ450" s="365"/>
      <c r="BA450" s="377">
        <f t="shared" si="183"/>
        <v>0</v>
      </c>
      <c r="BB450" s="377">
        <f t="shared" si="184"/>
        <v>0</v>
      </c>
      <c r="BC450" s="377">
        <f t="shared" si="185"/>
        <v>0</v>
      </c>
      <c r="BD450" s="377">
        <f t="shared" si="186"/>
        <v>0</v>
      </c>
      <c r="BE450" s="377">
        <f t="shared" si="187"/>
        <v>0</v>
      </c>
      <c r="BF450" s="377">
        <f t="shared" si="188"/>
        <v>0</v>
      </c>
      <c r="BG450" s="328"/>
    </row>
    <row r="451" spans="2:59">
      <c r="B451" s="332">
        <v>436</v>
      </c>
      <c r="C451" s="350">
        <v>10512276.073166218</v>
      </c>
      <c r="D451" s="350">
        <v>19690257.928102322</v>
      </c>
      <c r="E451" s="350">
        <v>28937295.269712187</v>
      </c>
      <c r="F451" s="350">
        <v>38254061.813775048</v>
      </c>
      <c r="G451" s="350">
        <v>47642060.955812201</v>
      </c>
      <c r="H451" s="348">
        <v>145035952.04056799</v>
      </c>
      <c r="I451" s="369"/>
      <c r="J451" s="350">
        <v>12020453.622489067</v>
      </c>
      <c r="K451" s="350">
        <v>24140432.463968907</v>
      </c>
      <c r="L451" s="350">
        <v>35960861.636773244</v>
      </c>
      <c r="M451" s="350">
        <v>47473304.238528922</v>
      </c>
      <c r="N451" s="350">
        <v>58672328.821092255</v>
      </c>
      <c r="O451" s="348">
        <v>178267380.78285241</v>
      </c>
      <c r="P451" s="369"/>
      <c r="Q451" s="350">
        <f t="shared" si="189"/>
        <v>1508177.5493228491</v>
      </c>
      <c r="R451" s="350">
        <f t="shared" si="190"/>
        <v>4450174.5358665846</v>
      </c>
      <c r="S451" s="350">
        <f t="shared" si="191"/>
        <v>7023566.3670610562</v>
      </c>
      <c r="T451" s="350">
        <f t="shared" si="192"/>
        <v>9219242.4247538745</v>
      </c>
      <c r="U451" s="350">
        <f t="shared" si="193"/>
        <v>11030267.865280055</v>
      </c>
      <c r="V451" s="350">
        <f t="shared" si="194"/>
        <v>33231428.742284417</v>
      </c>
      <c r="W451" s="365"/>
      <c r="X451" s="377">
        <f t="shared" si="172"/>
        <v>0</v>
      </c>
      <c r="Y451" s="377">
        <f t="shared" si="173"/>
        <v>0</v>
      </c>
      <c r="Z451" s="377">
        <f t="shared" si="174"/>
        <v>0</v>
      </c>
      <c r="AA451" s="377">
        <f t="shared" si="175"/>
        <v>0</v>
      </c>
      <c r="AB451" s="377">
        <f t="shared" si="176"/>
        <v>0</v>
      </c>
      <c r="AC451" s="377">
        <f t="shared" si="177"/>
        <v>0</v>
      </c>
      <c r="AD451" s="376"/>
      <c r="AE451" s="332">
        <v>436</v>
      </c>
      <c r="AF451" s="350">
        <v>6600913.9010481667</v>
      </c>
      <c r="AG451" s="350">
        <v>13253665.918060681</v>
      </c>
      <c r="AH451" s="350">
        <v>19956766.318021737</v>
      </c>
      <c r="AI451" s="350">
        <v>26710437.356625289</v>
      </c>
      <c r="AJ451" s="350">
        <v>33515653.008210249</v>
      </c>
      <c r="AK451" s="348">
        <v>100037436.50196612</v>
      </c>
      <c r="AL451" s="369"/>
      <c r="AM451" s="350">
        <v>7995835.1001944039</v>
      </c>
      <c r="AN451" s="350">
        <v>17374090.284577779</v>
      </c>
      <c r="AO451" s="350">
        <v>26514167.296139244</v>
      </c>
      <c r="AP451" s="350">
        <v>35410721.216516048</v>
      </c>
      <c r="AQ451" s="350">
        <v>44061172.449672528</v>
      </c>
      <c r="AR451" s="348">
        <v>131355986.34709999</v>
      </c>
      <c r="AS451" s="369"/>
      <c r="AT451" s="350">
        <f t="shared" si="195"/>
        <v>1394921.1991462372</v>
      </c>
      <c r="AU451" s="350">
        <f t="shared" si="178"/>
        <v>4120424.3665170986</v>
      </c>
      <c r="AV451" s="350">
        <f t="shared" si="179"/>
        <v>6557400.978117507</v>
      </c>
      <c r="AW451" s="350">
        <f t="shared" si="180"/>
        <v>8700283.859890759</v>
      </c>
      <c r="AX451" s="350">
        <f t="shared" si="181"/>
        <v>10545519.441462278</v>
      </c>
      <c r="AY451" s="350">
        <f t="shared" si="182"/>
        <v>31318549.845133871</v>
      </c>
      <c r="AZ451" s="365"/>
      <c r="BA451" s="377">
        <f t="shared" si="183"/>
        <v>0</v>
      </c>
      <c r="BB451" s="377">
        <f t="shared" si="184"/>
        <v>0</v>
      </c>
      <c r="BC451" s="377">
        <f t="shared" si="185"/>
        <v>0</v>
      </c>
      <c r="BD451" s="377">
        <f t="shared" si="186"/>
        <v>0</v>
      </c>
      <c r="BE451" s="377">
        <f t="shared" si="187"/>
        <v>0</v>
      </c>
      <c r="BF451" s="377">
        <f t="shared" si="188"/>
        <v>0</v>
      </c>
      <c r="BG451" s="328"/>
    </row>
    <row r="452" spans="2:59">
      <c r="B452" s="332">
        <v>437</v>
      </c>
      <c r="C452" s="350">
        <v>8154832.4371917862</v>
      </c>
      <c r="D452" s="350">
        <v>15195648.573322698</v>
      </c>
      <c r="E452" s="350">
        <v>22289414.095675122</v>
      </c>
      <c r="F452" s="350">
        <v>29436669.452027678</v>
      </c>
      <c r="G452" s="350">
        <v>36638578.233912714</v>
      </c>
      <c r="H452" s="348">
        <v>111715142.79212999</v>
      </c>
      <c r="I452" s="369"/>
      <c r="J452" s="350">
        <v>9445605.5175989028</v>
      </c>
      <c r="K452" s="350">
        <v>19006348.419103868</v>
      </c>
      <c r="L452" s="350">
        <v>28338852.681462307</v>
      </c>
      <c r="M452" s="350">
        <v>37436739.367098406</v>
      </c>
      <c r="N452" s="350">
        <v>46296099.084895723</v>
      </c>
      <c r="O452" s="348">
        <v>140523645.0701592</v>
      </c>
      <c r="P452" s="369"/>
      <c r="Q452" s="350">
        <f t="shared" si="189"/>
        <v>1290773.0804071166</v>
      </c>
      <c r="R452" s="350">
        <f t="shared" si="190"/>
        <v>3810699.8457811698</v>
      </c>
      <c r="S452" s="350">
        <f t="shared" si="191"/>
        <v>6049438.5857871845</v>
      </c>
      <c r="T452" s="350">
        <f t="shared" si="192"/>
        <v>8000069.9150707275</v>
      </c>
      <c r="U452" s="350">
        <f t="shared" si="193"/>
        <v>9657520.8509830087</v>
      </c>
      <c r="V452" s="350">
        <f t="shared" si="194"/>
        <v>28808502.278029203</v>
      </c>
      <c r="W452" s="365"/>
      <c r="X452" s="377">
        <f t="shared" si="172"/>
        <v>0</v>
      </c>
      <c r="Y452" s="377">
        <f t="shared" si="173"/>
        <v>0</v>
      </c>
      <c r="Z452" s="377">
        <f t="shared" si="174"/>
        <v>0</v>
      </c>
      <c r="AA452" s="377">
        <f t="shared" si="175"/>
        <v>0</v>
      </c>
      <c r="AB452" s="377">
        <f t="shared" si="176"/>
        <v>0</v>
      </c>
      <c r="AC452" s="377">
        <f t="shared" si="177"/>
        <v>0</v>
      </c>
      <c r="AD452" s="376"/>
      <c r="AE452" s="332">
        <v>437</v>
      </c>
      <c r="AF452" s="350">
        <v>5130812.6321474146</v>
      </c>
      <c r="AG452" s="350">
        <v>10301918.421303645</v>
      </c>
      <c r="AH452" s="350">
        <v>15512159.415541032</v>
      </c>
      <c r="AI452" s="350">
        <v>20761708.371592835</v>
      </c>
      <c r="AJ452" s="350">
        <v>26051322.348241586</v>
      </c>
      <c r="AK452" s="348">
        <v>77757921.188826516</v>
      </c>
      <c r="AL452" s="369"/>
      <c r="AM452" s="350">
        <v>6042720.5647870917</v>
      </c>
      <c r="AN452" s="350">
        <v>12993542.531730656</v>
      </c>
      <c r="AO452" s="350">
        <v>19754069.536554225</v>
      </c>
      <c r="AP452" s="350">
        <v>26320195.783540256</v>
      </c>
      <c r="AQ452" s="350">
        <v>32689741.635066714</v>
      </c>
      <c r="AR452" s="348">
        <v>97800270.051678941</v>
      </c>
      <c r="AS452" s="369"/>
      <c r="AT452" s="350">
        <f t="shared" si="195"/>
        <v>911907.93263967708</v>
      </c>
      <c r="AU452" s="350">
        <f t="shared" si="178"/>
        <v>2691624.1104270108</v>
      </c>
      <c r="AV452" s="350">
        <f t="shared" si="179"/>
        <v>4241910.1210131925</v>
      </c>
      <c r="AW452" s="350">
        <f t="shared" si="180"/>
        <v>5558487.4119474217</v>
      </c>
      <c r="AX452" s="350">
        <f t="shared" si="181"/>
        <v>6638419.2868251279</v>
      </c>
      <c r="AY452" s="350">
        <f t="shared" si="182"/>
        <v>20042348.862852424</v>
      </c>
      <c r="AZ452" s="365"/>
      <c r="BA452" s="377">
        <f t="shared" si="183"/>
        <v>0</v>
      </c>
      <c r="BB452" s="377">
        <f t="shared" si="184"/>
        <v>0</v>
      </c>
      <c r="BC452" s="377">
        <f t="shared" si="185"/>
        <v>0</v>
      </c>
      <c r="BD452" s="377">
        <f t="shared" si="186"/>
        <v>0</v>
      </c>
      <c r="BE452" s="377">
        <f t="shared" si="187"/>
        <v>0</v>
      </c>
      <c r="BF452" s="377">
        <f t="shared" si="188"/>
        <v>0</v>
      </c>
      <c r="BG452" s="328"/>
    </row>
    <row r="453" spans="2:59">
      <c r="B453" s="332">
        <v>438</v>
      </c>
      <c r="C453" s="350">
        <v>10534374.890974063</v>
      </c>
      <c r="D453" s="350">
        <v>19975202.942002088</v>
      </c>
      <c r="E453" s="350">
        <v>29487144.305964008</v>
      </c>
      <c r="F453" s="350">
        <v>39070819.148600653</v>
      </c>
      <c r="G453" s="350">
        <v>48727742.226373136</v>
      </c>
      <c r="H453" s="348">
        <v>147795283.51391393</v>
      </c>
      <c r="I453" s="369"/>
      <c r="J453" s="350">
        <v>11824743.743112359</v>
      </c>
      <c r="K453" s="350">
        <v>23778769.920468014</v>
      </c>
      <c r="L453" s="350">
        <v>35409754.105487965</v>
      </c>
      <c r="M453" s="350">
        <v>46709301.220139541</v>
      </c>
      <c r="N453" s="350">
        <v>57671821.772689335</v>
      </c>
      <c r="O453" s="348">
        <v>175394390.76189721</v>
      </c>
      <c r="P453" s="369"/>
      <c r="Q453" s="350">
        <f t="shared" si="189"/>
        <v>1290368.8521382958</v>
      </c>
      <c r="R453" s="350">
        <f t="shared" si="190"/>
        <v>3803566.9784659259</v>
      </c>
      <c r="S453" s="350">
        <f t="shared" si="191"/>
        <v>5922609.7995239571</v>
      </c>
      <c r="T453" s="350">
        <f t="shared" si="192"/>
        <v>7638482.0715388879</v>
      </c>
      <c r="U453" s="350">
        <f t="shared" si="193"/>
        <v>8944079.546316199</v>
      </c>
      <c r="V453" s="350">
        <f t="shared" si="194"/>
        <v>27599107.247983277</v>
      </c>
      <c r="W453" s="365"/>
      <c r="X453" s="377">
        <f t="shared" si="172"/>
        <v>0</v>
      </c>
      <c r="Y453" s="377">
        <f t="shared" si="173"/>
        <v>0</v>
      </c>
      <c r="Z453" s="377">
        <f t="shared" si="174"/>
        <v>0</v>
      </c>
      <c r="AA453" s="377">
        <f t="shared" si="175"/>
        <v>0</v>
      </c>
      <c r="AB453" s="377">
        <f t="shared" si="176"/>
        <v>0</v>
      </c>
      <c r="AC453" s="377">
        <f t="shared" si="177"/>
        <v>0</v>
      </c>
      <c r="AD453" s="376"/>
      <c r="AE453" s="332">
        <v>438</v>
      </c>
      <c r="AF453" s="350">
        <v>7278347.4583508084</v>
      </c>
      <c r="AG453" s="350">
        <v>14613853.035294086</v>
      </c>
      <c r="AH453" s="350">
        <v>22004874.110630311</v>
      </c>
      <c r="AI453" s="350">
        <v>29451655.749541271</v>
      </c>
      <c r="AJ453" s="350">
        <v>36955271.882661492</v>
      </c>
      <c r="AK453" s="348">
        <v>110304002.23647797</v>
      </c>
      <c r="AL453" s="369"/>
      <c r="AM453" s="350">
        <v>8621180.5311618596</v>
      </c>
      <c r="AN453" s="350">
        <v>18578105.731139533</v>
      </c>
      <c r="AO453" s="350">
        <v>28266561.540049497</v>
      </c>
      <c r="AP453" s="350">
        <v>37680709.727862179</v>
      </c>
      <c r="AQ453" s="350">
        <v>46817508.224278614</v>
      </c>
      <c r="AR453" s="348">
        <v>139964065.75449169</v>
      </c>
      <c r="AS453" s="369"/>
      <c r="AT453" s="350">
        <f t="shared" si="195"/>
        <v>1342833.0728110513</v>
      </c>
      <c r="AU453" s="350">
        <f t="shared" si="178"/>
        <v>3964252.6958454475</v>
      </c>
      <c r="AV453" s="350">
        <f t="shared" si="179"/>
        <v>6261687.429419186</v>
      </c>
      <c r="AW453" s="350">
        <f t="shared" si="180"/>
        <v>8229053.9783209078</v>
      </c>
      <c r="AX453" s="350">
        <f t="shared" si="181"/>
        <v>9862236.3416171223</v>
      </c>
      <c r="AY453" s="350">
        <f t="shared" si="182"/>
        <v>29660063.518013716</v>
      </c>
      <c r="AZ453" s="365"/>
      <c r="BA453" s="377">
        <f t="shared" si="183"/>
        <v>0</v>
      </c>
      <c r="BB453" s="377">
        <f t="shared" si="184"/>
        <v>0</v>
      </c>
      <c r="BC453" s="377">
        <f t="shared" si="185"/>
        <v>0</v>
      </c>
      <c r="BD453" s="377">
        <f t="shared" si="186"/>
        <v>0</v>
      </c>
      <c r="BE453" s="377">
        <f t="shared" si="187"/>
        <v>0</v>
      </c>
      <c r="BF453" s="377">
        <f t="shared" si="188"/>
        <v>0</v>
      </c>
      <c r="BG453" s="328"/>
    </row>
    <row r="454" spans="2:59">
      <c r="B454" s="332">
        <v>439</v>
      </c>
      <c r="C454" s="350">
        <v>8320145.9579738034</v>
      </c>
      <c r="D454" s="350">
        <v>15857932.041883748</v>
      </c>
      <c r="E454" s="350">
        <v>23452522.798581198</v>
      </c>
      <c r="F454" s="350">
        <v>31104389.684847422</v>
      </c>
      <c r="G454" s="350">
        <v>38814731.807769068</v>
      </c>
      <c r="H454" s="348">
        <v>117549722.29105523</v>
      </c>
      <c r="I454" s="369"/>
      <c r="J454" s="350">
        <v>9457206.1072733253</v>
      </c>
      <c r="K454" s="350">
        <v>19211531.606783502</v>
      </c>
      <c r="L454" s="350">
        <v>28708391.003367946</v>
      </c>
      <c r="M454" s="350">
        <v>37941143.589202791</v>
      </c>
      <c r="N454" s="350">
        <v>46905544.845274329</v>
      </c>
      <c r="O454" s="348">
        <v>142223817.1519019</v>
      </c>
      <c r="P454" s="369"/>
      <c r="Q454" s="350">
        <f t="shared" si="189"/>
        <v>1137060.1492995219</v>
      </c>
      <c r="R454" s="350">
        <f t="shared" si="190"/>
        <v>3353599.5648997538</v>
      </c>
      <c r="S454" s="350">
        <f t="shared" si="191"/>
        <v>5255868.2047867477</v>
      </c>
      <c r="T454" s="350">
        <f t="shared" si="192"/>
        <v>6836753.9043553695</v>
      </c>
      <c r="U454" s="350">
        <f t="shared" si="193"/>
        <v>8090813.0375052616</v>
      </c>
      <c r="V454" s="350">
        <f t="shared" si="194"/>
        <v>24674094.860846668</v>
      </c>
      <c r="W454" s="365"/>
      <c r="X454" s="377">
        <f t="shared" si="172"/>
        <v>0</v>
      </c>
      <c r="Y454" s="377">
        <f t="shared" si="173"/>
        <v>0</v>
      </c>
      <c r="Z454" s="377">
        <f t="shared" si="174"/>
        <v>0</v>
      </c>
      <c r="AA454" s="377">
        <f t="shared" si="175"/>
        <v>0</v>
      </c>
      <c r="AB454" s="377">
        <f t="shared" si="176"/>
        <v>0</v>
      </c>
      <c r="AC454" s="377">
        <f t="shared" si="177"/>
        <v>0</v>
      </c>
      <c r="AD454" s="376"/>
      <c r="AE454" s="332">
        <v>439</v>
      </c>
      <c r="AF454" s="350">
        <v>7590602.6892111916</v>
      </c>
      <c r="AG454" s="350">
        <v>15240815.691227723</v>
      </c>
      <c r="AH454" s="350">
        <v>22948925.914255723</v>
      </c>
      <c r="AI454" s="350">
        <v>30715188.937248871</v>
      </c>
      <c r="AJ454" s="350">
        <v>38540724.76455006</v>
      </c>
      <c r="AK454" s="348">
        <v>115036257.99649358</v>
      </c>
      <c r="AL454" s="369"/>
      <c r="AM454" s="350">
        <v>8780381.1685795765</v>
      </c>
      <c r="AN454" s="350">
        <v>18750372.770071223</v>
      </c>
      <c r="AO454" s="350">
        <v>28434067.647253755</v>
      </c>
      <c r="AP454" s="350">
        <v>37825436.682501547</v>
      </c>
      <c r="AQ454" s="350">
        <v>46921093.940803081</v>
      </c>
      <c r="AR454" s="348">
        <v>140711352.20920917</v>
      </c>
      <c r="AS454" s="369"/>
      <c r="AT454" s="350">
        <f t="shared" si="195"/>
        <v>1189778.4793683849</v>
      </c>
      <c r="AU454" s="350">
        <f t="shared" si="178"/>
        <v>3509557.0788435005</v>
      </c>
      <c r="AV454" s="350">
        <f t="shared" si="179"/>
        <v>5485141.7329980321</v>
      </c>
      <c r="AW454" s="350">
        <f t="shared" si="180"/>
        <v>7110247.7452526763</v>
      </c>
      <c r="AX454" s="350">
        <f t="shared" si="181"/>
        <v>8380369.1762530208</v>
      </c>
      <c r="AY454" s="350">
        <f t="shared" si="182"/>
        <v>25675094.212715596</v>
      </c>
      <c r="AZ454" s="365"/>
      <c r="BA454" s="377">
        <f t="shared" si="183"/>
        <v>0</v>
      </c>
      <c r="BB454" s="377">
        <f t="shared" si="184"/>
        <v>0</v>
      </c>
      <c r="BC454" s="377">
        <f t="shared" si="185"/>
        <v>0</v>
      </c>
      <c r="BD454" s="377">
        <f t="shared" si="186"/>
        <v>0</v>
      </c>
      <c r="BE454" s="377">
        <f t="shared" si="187"/>
        <v>0</v>
      </c>
      <c r="BF454" s="377">
        <f t="shared" si="188"/>
        <v>0</v>
      </c>
      <c r="BG454" s="328"/>
    </row>
    <row r="455" spans="2:59">
      <c r="B455" s="332">
        <v>440</v>
      </c>
      <c r="C455" s="350">
        <v>8180808.1695717638</v>
      </c>
      <c r="D455" s="350">
        <v>15587243.127661012</v>
      </c>
      <c r="E455" s="350">
        <v>23049491.275334828</v>
      </c>
      <c r="F455" s="350">
        <v>30568017.328377187</v>
      </c>
      <c r="G455" s="350">
        <v>38144000.140141815</v>
      </c>
      <c r="H455" s="348">
        <v>115529560.04108661</v>
      </c>
      <c r="I455" s="369"/>
      <c r="J455" s="350">
        <v>9244580.0944636483</v>
      </c>
      <c r="K455" s="350">
        <v>18723825.982143722</v>
      </c>
      <c r="L455" s="350">
        <v>27953795.818211973</v>
      </c>
      <c r="M455" s="350">
        <v>36927779.443463705</v>
      </c>
      <c r="N455" s="350">
        <v>45641342.95836442</v>
      </c>
      <c r="O455" s="348">
        <v>138491324.29664746</v>
      </c>
      <c r="P455" s="369"/>
      <c r="Q455" s="350">
        <f t="shared" si="189"/>
        <v>1063771.9248918844</v>
      </c>
      <c r="R455" s="350">
        <f t="shared" si="190"/>
        <v>3136582.8544827104</v>
      </c>
      <c r="S455" s="350">
        <f t="shared" si="191"/>
        <v>4904304.5428771451</v>
      </c>
      <c r="T455" s="350">
        <f t="shared" si="192"/>
        <v>6359762.1150865182</v>
      </c>
      <c r="U455" s="350">
        <f t="shared" si="193"/>
        <v>7497342.8182226047</v>
      </c>
      <c r="V455" s="350">
        <f t="shared" si="194"/>
        <v>22961764.255560845</v>
      </c>
      <c r="W455" s="365"/>
      <c r="X455" s="377">
        <f t="shared" si="172"/>
        <v>0</v>
      </c>
      <c r="Y455" s="377">
        <f t="shared" si="173"/>
        <v>0</v>
      </c>
      <c r="Z455" s="377">
        <f t="shared" si="174"/>
        <v>0</v>
      </c>
      <c r="AA455" s="377">
        <f t="shared" si="175"/>
        <v>0</v>
      </c>
      <c r="AB455" s="377">
        <f t="shared" si="176"/>
        <v>0</v>
      </c>
      <c r="AC455" s="377">
        <f t="shared" si="177"/>
        <v>0</v>
      </c>
      <c r="AD455" s="376"/>
      <c r="AE455" s="332">
        <v>440</v>
      </c>
      <c r="AF455" s="350">
        <v>5130402.7749941275</v>
      </c>
      <c r="AG455" s="350">
        <v>10301095.488318117</v>
      </c>
      <c r="AH455" s="350">
        <v>15510920.280543281</v>
      </c>
      <c r="AI455" s="350">
        <v>20760049.894602805</v>
      </c>
      <c r="AJ455" s="350">
        <v>26049241.32880421</v>
      </c>
      <c r="AK455" s="348">
        <v>77751709.767262548</v>
      </c>
      <c r="AL455" s="369"/>
      <c r="AM455" s="350">
        <v>6365091.0836093873</v>
      </c>
      <c r="AN455" s="350">
        <v>13949992.432503486</v>
      </c>
      <c r="AO455" s="350">
        <v>21354283.576111566</v>
      </c>
      <c r="AP455" s="350">
        <v>28573767.73182673</v>
      </c>
      <c r="AQ455" s="350">
        <v>35606592.410764664</v>
      </c>
      <c r="AR455" s="348">
        <v>105849727.23481584</v>
      </c>
      <c r="AS455" s="369"/>
      <c r="AT455" s="350">
        <f t="shared" si="195"/>
        <v>1234688.3086152598</v>
      </c>
      <c r="AU455" s="350">
        <f t="shared" si="178"/>
        <v>3648896.9441853687</v>
      </c>
      <c r="AV455" s="350">
        <f t="shared" si="179"/>
        <v>5843363.2955682855</v>
      </c>
      <c r="AW455" s="350">
        <f t="shared" si="180"/>
        <v>7813717.8372239247</v>
      </c>
      <c r="AX455" s="350">
        <f t="shared" si="181"/>
        <v>9557351.0819604546</v>
      </c>
      <c r="AY455" s="350">
        <f t="shared" si="182"/>
        <v>28098017.467553288</v>
      </c>
      <c r="AZ455" s="365"/>
      <c r="BA455" s="377">
        <f t="shared" si="183"/>
        <v>0</v>
      </c>
      <c r="BB455" s="377">
        <f t="shared" si="184"/>
        <v>0</v>
      </c>
      <c r="BC455" s="377">
        <f t="shared" si="185"/>
        <v>0</v>
      </c>
      <c r="BD455" s="377">
        <f t="shared" si="186"/>
        <v>0</v>
      </c>
      <c r="BE455" s="377">
        <f t="shared" si="187"/>
        <v>0</v>
      </c>
      <c r="BF455" s="377">
        <f t="shared" si="188"/>
        <v>0</v>
      </c>
      <c r="BG455" s="328"/>
    </row>
    <row r="456" spans="2:59">
      <c r="B456" s="332">
        <v>441</v>
      </c>
      <c r="C456" s="350">
        <v>8833688.4607569817</v>
      </c>
      <c r="D456" s="350">
        <v>16488067.315571221</v>
      </c>
      <c r="E456" s="350">
        <v>24200018.895677675</v>
      </c>
      <c r="F456" s="350">
        <v>31970122.445184924</v>
      </c>
      <c r="G456" s="350">
        <v>39799639.343850397</v>
      </c>
      <c r="H456" s="348">
        <v>121291536.46104121</v>
      </c>
      <c r="I456" s="369"/>
      <c r="J456" s="350">
        <v>10157147.449837131</v>
      </c>
      <c r="K456" s="350">
        <v>20394196.519978561</v>
      </c>
      <c r="L456" s="350">
        <v>30388503.999917861</v>
      </c>
      <c r="M456" s="350">
        <v>40132844.044432983</v>
      </c>
      <c r="N456" s="350">
        <v>49622564.899026044</v>
      </c>
      <c r="O456" s="348">
        <v>150695256.91319257</v>
      </c>
      <c r="P456" s="369"/>
      <c r="Q456" s="350">
        <f t="shared" si="189"/>
        <v>1323458.9890801497</v>
      </c>
      <c r="R456" s="350">
        <f t="shared" si="190"/>
        <v>3906129.2044073399</v>
      </c>
      <c r="S456" s="350">
        <f t="shared" si="191"/>
        <v>6188485.1042401865</v>
      </c>
      <c r="T456" s="350">
        <f t="shared" si="192"/>
        <v>8162721.5992480591</v>
      </c>
      <c r="U456" s="350">
        <f t="shared" si="193"/>
        <v>9822925.5551756471</v>
      </c>
      <c r="V456" s="350">
        <f t="shared" si="194"/>
        <v>29403720.452151358</v>
      </c>
      <c r="W456" s="365"/>
      <c r="X456" s="377">
        <f t="shared" si="172"/>
        <v>0</v>
      </c>
      <c r="Y456" s="377">
        <f t="shared" si="173"/>
        <v>0</v>
      </c>
      <c r="Z456" s="377">
        <f t="shared" si="174"/>
        <v>0</v>
      </c>
      <c r="AA456" s="377">
        <f t="shared" si="175"/>
        <v>0</v>
      </c>
      <c r="AB456" s="377">
        <f t="shared" si="176"/>
        <v>0</v>
      </c>
      <c r="AC456" s="377">
        <f t="shared" si="177"/>
        <v>0</v>
      </c>
      <c r="AD456" s="376"/>
      <c r="AE456" s="332">
        <v>441</v>
      </c>
      <c r="AF456" s="350">
        <v>5183422.1838452099</v>
      </c>
      <c r="AG456" s="350">
        <v>10407550.676587384</v>
      </c>
      <c r="AH456" s="350">
        <v>15671215.65306627</v>
      </c>
      <c r="AI456" s="350">
        <v>20974591.641402029</v>
      </c>
      <c r="AJ456" s="350">
        <v>26318443.462992199</v>
      </c>
      <c r="AK456" s="348">
        <v>78555223.6178931</v>
      </c>
      <c r="AL456" s="369"/>
      <c r="AM456" s="350">
        <v>6037617.9311955897</v>
      </c>
      <c r="AN456" s="350">
        <v>12927885.869031144</v>
      </c>
      <c r="AO456" s="350">
        <v>19623899.081906535</v>
      </c>
      <c r="AP456" s="350">
        <v>26121528.642498307</v>
      </c>
      <c r="AQ456" s="350">
        <v>32418504.645284511</v>
      </c>
      <c r="AR456" s="348">
        <v>97129436.169916093</v>
      </c>
      <c r="AS456" s="369"/>
      <c r="AT456" s="350">
        <f t="shared" si="195"/>
        <v>854195.74735037982</v>
      </c>
      <c r="AU456" s="350">
        <f t="shared" si="178"/>
        <v>2520335.1924437601</v>
      </c>
      <c r="AV456" s="350">
        <f t="shared" si="179"/>
        <v>3952683.4288402647</v>
      </c>
      <c r="AW456" s="350">
        <f t="shared" si="180"/>
        <v>5146937.0010962784</v>
      </c>
      <c r="AX456" s="350">
        <f t="shared" si="181"/>
        <v>6100061.1822923124</v>
      </c>
      <c r="AY456" s="350">
        <f t="shared" si="182"/>
        <v>18574212.552022994</v>
      </c>
      <c r="AZ456" s="365"/>
      <c r="BA456" s="377">
        <f t="shared" si="183"/>
        <v>0</v>
      </c>
      <c r="BB456" s="377">
        <f t="shared" si="184"/>
        <v>0</v>
      </c>
      <c r="BC456" s="377">
        <f t="shared" si="185"/>
        <v>0</v>
      </c>
      <c r="BD456" s="377">
        <f t="shared" si="186"/>
        <v>0</v>
      </c>
      <c r="BE456" s="377">
        <f t="shared" si="187"/>
        <v>0</v>
      </c>
      <c r="BF456" s="377">
        <f t="shared" si="188"/>
        <v>0</v>
      </c>
      <c r="BG456" s="328"/>
    </row>
    <row r="457" spans="2:59">
      <c r="B457" s="332">
        <v>442</v>
      </c>
      <c r="C457" s="350">
        <v>5552719.6320814174</v>
      </c>
      <c r="D457" s="350">
        <v>10378719.377780296</v>
      </c>
      <c r="E457" s="350">
        <v>15241022.912814362</v>
      </c>
      <c r="F457" s="350">
        <v>20139991.051487535</v>
      </c>
      <c r="G457" s="350">
        <v>25076417.168337561</v>
      </c>
      <c r="H457" s="348">
        <v>76388870.142501175</v>
      </c>
      <c r="I457" s="369"/>
      <c r="J457" s="350">
        <v>6530211.6691707494</v>
      </c>
      <c r="K457" s="350">
        <v>13265796.85364094</v>
      </c>
      <c r="L457" s="350">
        <v>19851412.719650622</v>
      </c>
      <c r="M457" s="350">
        <v>26282520.472111519</v>
      </c>
      <c r="N457" s="350">
        <v>32556394.197872359</v>
      </c>
      <c r="O457" s="348">
        <v>98486335.912446186</v>
      </c>
      <c r="P457" s="369"/>
      <c r="Q457" s="350">
        <f t="shared" si="189"/>
        <v>977492.03708933201</v>
      </c>
      <c r="R457" s="350">
        <f t="shared" si="190"/>
        <v>2887077.4758606441</v>
      </c>
      <c r="S457" s="350">
        <f t="shared" si="191"/>
        <v>4610389.8068362605</v>
      </c>
      <c r="T457" s="350">
        <f t="shared" si="192"/>
        <v>6142529.4206239842</v>
      </c>
      <c r="U457" s="350">
        <f t="shared" si="193"/>
        <v>7479977.0295347981</v>
      </c>
      <c r="V457" s="350">
        <f t="shared" si="194"/>
        <v>22097465.769945011</v>
      </c>
      <c r="W457" s="365"/>
      <c r="X457" s="377">
        <f t="shared" si="172"/>
        <v>0</v>
      </c>
      <c r="Y457" s="377">
        <f t="shared" si="173"/>
        <v>0</v>
      </c>
      <c r="Z457" s="377">
        <f t="shared" si="174"/>
        <v>0</v>
      </c>
      <c r="AA457" s="377">
        <f t="shared" si="175"/>
        <v>0</v>
      </c>
      <c r="AB457" s="377">
        <f t="shared" si="176"/>
        <v>0</v>
      </c>
      <c r="AC457" s="377">
        <f t="shared" si="177"/>
        <v>0</v>
      </c>
      <c r="AD457" s="376"/>
      <c r="AE457" s="332">
        <v>442</v>
      </c>
      <c r="AF457" s="350">
        <v>4355060.89614488</v>
      </c>
      <c r="AG457" s="350">
        <v>8744322.8370466549</v>
      </c>
      <c r="AH457" s="350">
        <v>13166802.946985371</v>
      </c>
      <c r="AI457" s="350">
        <v>17622647.862789836</v>
      </c>
      <c r="AJ457" s="350">
        <v>22112500.179958321</v>
      </c>
      <c r="AK457" s="348">
        <v>66001334.722925059</v>
      </c>
      <c r="AL457" s="369"/>
      <c r="AM457" s="350">
        <v>5135937.9885113165</v>
      </c>
      <c r="AN457" s="350">
        <v>11049287.332407104</v>
      </c>
      <c r="AO457" s="350">
        <v>16801318.310507771</v>
      </c>
      <c r="AP457" s="350">
        <v>22388543.965727005</v>
      </c>
      <c r="AQ457" s="350">
        <v>27809121.142318878</v>
      </c>
      <c r="AR457" s="348">
        <v>83184208.739472076</v>
      </c>
      <c r="AS457" s="369"/>
      <c r="AT457" s="350">
        <f t="shared" si="195"/>
        <v>780877.0923664365</v>
      </c>
      <c r="AU457" s="350">
        <f t="shared" si="178"/>
        <v>2304964.495360449</v>
      </c>
      <c r="AV457" s="350">
        <f t="shared" si="179"/>
        <v>3634515.3635223992</v>
      </c>
      <c r="AW457" s="350">
        <f t="shared" si="180"/>
        <v>4765896.1029371694</v>
      </c>
      <c r="AX457" s="350">
        <f t="shared" si="181"/>
        <v>5696620.9623605572</v>
      </c>
      <c r="AY457" s="350">
        <f t="shared" si="182"/>
        <v>17182874.016547017</v>
      </c>
      <c r="AZ457" s="365"/>
      <c r="BA457" s="377">
        <f t="shared" si="183"/>
        <v>0</v>
      </c>
      <c r="BB457" s="377">
        <f t="shared" si="184"/>
        <v>0</v>
      </c>
      <c r="BC457" s="377">
        <f t="shared" si="185"/>
        <v>0</v>
      </c>
      <c r="BD457" s="377">
        <f t="shared" si="186"/>
        <v>0</v>
      </c>
      <c r="BE457" s="377">
        <f t="shared" si="187"/>
        <v>0</v>
      </c>
      <c r="BF457" s="377">
        <f t="shared" si="188"/>
        <v>0</v>
      </c>
      <c r="BG457" s="328"/>
    </row>
    <row r="458" spans="2:59">
      <c r="B458" s="332">
        <v>443</v>
      </c>
      <c r="C458" s="350">
        <v>7935856.9818595191</v>
      </c>
      <c r="D458" s="350">
        <v>14904513.193394626</v>
      </c>
      <c r="E458" s="350">
        <v>21925615.031201977</v>
      </c>
      <c r="F458" s="350">
        <v>28999662.047767267</v>
      </c>
      <c r="G458" s="350">
        <v>36127790.525724858</v>
      </c>
      <c r="H458" s="348">
        <v>109893437.77994825</v>
      </c>
      <c r="I458" s="369"/>
      <c r="J458" s="350">
        <v>8826245.0146621987</v>
      </c>
      <c r="K458" s="350">
        <v>17527954.391765215</v>
      </c>
      <c r="L458" s="350">
        <v>25989277.730134353</v>
      </c>
      <c r="M458" s="350">
        <v>34204080.98658371</v>
      </c>
      <c r="N458" s="350">
        <v>42168197.075637922</v>
      </c>
      <c r="O458" s="348">
        <v>128715755.1987834</v>
      </c>
      <c r="P458" s="369"/>
      <c r="Q458" s="350">
        <f t="shared" si="189"/>
        <v>890388.03280267958</v>
      </c>
      <c r="R458" s="350">
        <f t="shared" si="190"/>
        <v>2623441.1983705889</v>
      </c>
      <c r="S458" s="350">
        <f t="shared" si="191"/>
        <v>4063662.6989323758</v>
      </c>
      <c r="T458" s="350">
        <f t="shared" si="192"/>
        <v>5204418.9388164431</v>
      </c>
      <c r="U458" s="350">
        <f t="shared" si="193"/>
        <v>6040406.5499130636</v>
      </c>
      <c r="V458" s="350">
        <f t="shared" si="194"/>
        <v>18822317.418835148</v>
      </c>
      <c r="W458" s="365"/>
      <c r="X458" s="377">
        <f t="shared" si="172"/>
        <v>0</v>
      </c>
      <c r="Y458" s="377">
        <f t="shared" si="173"/>
        <v>0</v>
      </c>
      <c r="Z458" s="377">
        <f t="shared" si="174"/>
        <v>0</v>
      </c>
      <c r="AA458" s="377">
        <f t="shared" si="175"/>
        <v>0</v>
      </c>
      <c r="AB458" s="377">
        <f t="shared" si="176"/>
        <v>0</v>
      </c>
      <c r="AC458" s="377">
        <f t="shared" si="177"/>
        <v>0</v>
      </c>
      <c r="AD458" s="376"/>
      <c r="AE458" s="332">
        <v>443</v>
      </c>
      <c r="AF458" s="350">
        <v>6899754.2458889605</v>
      </c>
      <c r="AG458" s="350">
        <v>13853693.452540264</v>
      </c>
      <c r="AH458" s="350">
        <v>20860260.442894015</v>
      </c>
      <c r="AI458" s="350">
        <v>27919687.534730904</v>
      </c>
      <c r="AJ458" s="350">
        <v>35032992.796712488</v>
      </c>
      <c r="AK458" s="348">
        <v>104566388.47276664</v>
      </c>
      <c r="AL458" s="369"/>
      <c r="AM458" s="350">
        <v>7837126.1760789966</v>
      </c>
      <c r="AN458" s="350">
        <v>16616413.948040497</v>
      </c>
      <c r="AO458" s="350">
        <v>25131145.45155523</v>
      </c>
      <c r="AP458" s="350">
        <v>33375881.063603159</v>
      </c>
      <c r="AQ458" s="350">
        <v>41347397.055222362</v>
      </c>
      <c r="AR458" s="348">
        <v>124307963.69450025</v>
      </c>
      <c r="AS458" s="369"/>
      <c r="AT458" s="350">
        <f t="shared" si="195"/>
        <v>937371.93019003607</v>
      </c>
      <c r="AU458" s="350">
        <f t="shared" si="178"/>
        <v>2762720.495500233</v>
      </c>
      <c r="AV458" s="350">
        <f t="shared" si="179"/>
        <v>4270885.0086612143</v>
      </c>
      <c r="AW458" s="350">
        <f t="shared" si="180"/>
        <v>5456193.5288722552</v>
      </c>
      <c r="AX458" s="350">
        <f t="shared" si="181"/>
        <v>6314404.2585098743</v>
      </c>
      <c r="AY458" s="350">
        <f t="shared" si="182"/>
        <v>19741575.221733615</v>
      </c>
      <c r="AZ458" s="365"/>
      <c r="BA458" s="377">
        <f t="shared" si="183"/>
        <v>0</v>
      </c>
      <c r="BB458" s="377">
        <f t="shared" si="184"/>
        <v>0</v>
      </c>
      <c r="BC458" s="377">
        <f t="shared" si="185"/>
        <v>0</v>
      </c>
      <c r="BD458" s="377">
        <f t="shared" si="186"/>
        <v>0</v>
      </c>
      <c r="BE458" s="377">
        <f t="shared" si="187"/>
        <v>0</v>
      </c>
      <c r="BF458" s="377">
        <f t="shared" si="188"/>
        <v>0</v>
      </c>
      <c r="BG458" s="328"/>
    </row>
    <row r="459" spans="2:59">
      <c r="B459" s="332">
        <v>444</v>
      </c>
      <c r="C459" s="350">
        <v>10531946.37346876</v>
      </c>
      <c r="D459" s="350">
        <v>19829953.916799478</v>
      </c>
      <c r="E459" s="350">
        <v>29197953.876825459</v>
      </c>
      <c r="F459" s="350">
        <v>38636598.017702937</v>
      </c>
      <c r="G459" s="350">
        <v>48147396.011143446</v>
      </c>
      <c r="H459" s="348">
        <v>146343848.19594008</v>
      </c>
      <c r="I459" s="369"/>
      <c r="J459" s="350">
        <v>11887068.309035188</v>
      </c>
      <c r="K459" s="350">
        <v>23825929.376038425</v>
      </c>
      <c r="L459" s="350">
        <v>35457263.512263991</v>
      </c>
      <c r="M459" s="350">
        <v>46772511.490154617</v>
      </c>
      <c r="N459" s="350">
        <v>57765950.909793571</v>
      </c>
      <c r="O459" s="348">
        <v>175708723.59728581</v>
      </c>
      <c r="P459" s="369"/>
      <c r="Q459" s="350">
        <f t="shared" si="189"/>
        <v>1355121.9355664272</v>
      </c>
      <c r="R459" s="350">
        <f t="shared" si="190"/>
        <v>3995975.4592389464</v>
      </c>
      <c r="S459" s="350">
        <f t="shared" si="191"/>
        <v>6259309.6354385316</v>
      </c>
      <c r="T459" s="350">
        <f t="shared" si="192"/>
        <v>8135913.4724516794</v>
      </c>
      <c r="U459" s="350">
        <f t="shared" si="193"/>
        <v>9618554.8986501247</v>
      </c>
      <c r="V459" s="350">
        <f t="shared" si="194"/>
        <v>29364875.40134573</v>
      </c>
      <c r="W459" s="365"/>
      <c r="X459" s="377">
        <f t="shared" si="172"/>
        <v>0</v>
      </c>
      <c r="Y459" s="377">
        <f t="shared" si="173"/>
        <v>0</v>
      </c>
      <c r="Z459" s="377">
        <f t="shared" si="174"/>
        <v>0</v>
      </c>
      <c r="AA459" s="377">
        <f t="shared" si="175"/>
        <v>0</v>
      </c>
      <c r="AB459" s="377">
        <f t="shared" si="176"/>
        <v>0</v>
      </c>
      <c r="AC459" s="377">
        <f t="shared" si="177"/>
        <v>0</v>
      </c>
      <c r="AD459" s="376"/>
      <c r="AE459" s="332">
        <v>444</v>
      </c>
      <c r="AF459" s="350">
        <v>6273376.4629263273</v>
      </c>
      <c r="AG459" s="350">
        <v>12596018.833793301</v>
      </c>
      <c r="AH459" s="350">
        <v>18966511.300157756</v>
      </c>
      <c r="AI459" s="350">
        <v>25385065.089383058</v>
      </c>
      <c r="AJ459" s="350">
        <v>31852605.847188108</v>
      </c>
      <c r="AK459" s="348">
        <v>95073577.533448547</v>
      </c>
      <c r="AL459" s="369"/>
      <c r="AM459" s="350">
        <v>7609055.2067032214</v>
      </c>
      <c r="AN459" s="350">
        <v>16541566.318115532</v>
      </c>
      <c r="AO459" s="350">
        <v>25248016.37197816</v>
      </c>
      <c r="AP459" s="350">
        <v>33723322.843959741</v>
      </c>
      <c r="AQ459" s="350">
        <v>41965044.238486908</v>
      </c>
      <c r="AR459" s="348">
        <v>125087004.97924358</v>
      </c>
      <c r="AS459" s="369"/>
      <c r="AT459" s="350">
        <f t="shared" si="195"/>
        <v>1335678.7437768942</v>
      </c>
      <c r="AU459" s="350">
        <f t="shared" si="178"/>
        <v>3945547.4843222313</v>
      </c>
      <c r="AV459" s="350">
        <f t="shared" si="179"/>
        <v>6281505.0718204044</v>
      </c>
      <c r="AW459" s="350">
        <f t="shared" si="180"/>
        <v>8338257.754576683</v>
      </c>
      <c r="AX459" s="350">
        <f t="shared" si="181"/>
        <v>10112438.391298801</v>
      </c>
      <c r="AY459" s="350">
        <f t="shared" si="182"/>
        <v>30013427.445795029</v>
      </c>
      <c r="AZ459" s="365"/>
      <c r="BA459" s="377">
        <f t="shared" si="183"/>
        <v>0</v>
      </c>
      <c r="BB459" s="377">
        <f t="shared" si="184"/>
        <v>0</v>
      </c>
      <c r="BC459" s="377">
        <f t="shared" si="185"/>
        <v>0</v>
      </c>
      <c r="BD459" s="377">
        <f t="shared" si="186"/>
        <v>0</v>
      </c>
      <c r="BE459" s="377">
        <f t="shared" si="187"/>
        <v>0</v>
      </c>
      <c r="BF459" s="377">
        <f t="shared" si="188"/>
        <v>0</v>
      </c>
      <c r="BG459" s="328"/>
    </row>
    <row r="460" spans="2:59">
      <c r="B460" s="332">
        <v>445</v>
      </c>
      <c r="C460" s="350">
        <v>9074092.9535185024</v>
      </c>
      <c r="D460" s="350">
        <v>17073017.741771191</v>
      </c>
      <c r="E460" s="350">
        <v>25132151.951788161</v>
      </c>
      <c r="F460" s="350">
        <v>33252059.845032703</v>
      </c>
      <c r="G460" s="350">
        <v>41434041.716211587</v>
      </c>
      <c r="H460" s="348">
        <v>125965364.20832215</v>
      </c>
      <c r="I460" s="369"/>
      <c r="J460" s="350">
        <v>10530976.842394732</v>
      </c>
      <c r="K460" s="350">
        <v>21373979.904910129</v>
      </c>
      <c r="L460" s="350">
        <v>31968891.940043725</v>
      </c>
      <c r="M460" s="350">
        <v>42307951.560850173</v>
      </c>
      <c r="N460" s="350">
        <v>52386200.799259327</v>
      </c>
      <c r="O460" s="348">
        <v>158568001.04745808</v>
      </c>
      <c r="P460" s="369"/>
      <c r="Q460" s="350">
        <f t="shared" si="189"/>
        <v>1456883.8888762295</v>
      </c>
      <c r="R460" s="350">
        <f t="shared" si="190"/>
        <v>4300962.1631389372</v>
      </c>
      <c r="S460" s="350">
        <f t="shared" si="191"/>
        <v>6836739.9882555641</v>
      </c>
      <c r="T460" s="350">
        <f t="shared" si="192"/>
        <v>9055891.7158174701</v>
      </c>
      <c r="U460" s="350">
        <f t="shared" si="193"/>
        <v>10952159.08304774</v>
      </c>
      <c r="V460" s="350">
        <f t="shared" si="194"/>
        <v>32602636.83913593</v>
      </c>
      <c r="W460" s="365"/>
      <c r="X460" s="377">
        <f t="shared" si="172"/>
        <v>0</v>
      </c>
      <c r="Y460" s="377">
        <f t="shared" si="173"/>
        <v>0</v>
      </c>
      <c r="Z460" s="377">
        <f t="shared" si="174"/>
        <v>0</v>
      </c>
      <c r="AA460" s="377">
        <f t="shared" si="175"/>
        <v>0</v>
      </c>
      <c r="AB460" s="377">
        <f t="shared" si="176"/>
        <v>0</v>
      </c>
      <c r="AC460" s="377">
        <f t="shared" si="177"/>
        <v>0</v>
      </c>
      <c r="AD460" s="376"/>
      <c r="AE460" s="332">
        <v>445</v>
      </c>
      <c r="AF460" s="350">
        <v>5995125.7775577512</v>
      </c>
      <c r="AG460" s="350">
        <v>12037332.312407088</v>
      </c>
      <c r="AH460" s="350">
        <v>18125266.589353655</v>
      </c>
      <c r="AI460" s="350">
        <v>24259130.466937039</v>
      </c>
      <c r="AJ460" s="350">
        <v>30439808.53458735</v>
      </c>
      <c r="AK460" s="348">
        <v>90856663.680842876</v>
      </c>
      <c r="AL460" s="369"/>
      <c r="AM460" s="350">
        <v>7239329.2102556191</v>
      </c>
      <c r="AN460" s="350">
        <v>15712286.512952577</v>
      </c>
      <c r="AO460" s="350">
        <v>23968244.150303856</v>
      </c>
      <c r="AP460" s="350">
        <v>32002354.145850979</v>
      </c>
      <c r="AQ460" s="350">
        <v>39812250.650845461</v>
      </c>
      <c r="AR460" s="348">
        <v>118734464.67020848</v>
      </c>
      <c r="AS460" s="369"/>
      <c r="AT460" s="350">
        <f t="shared" si="195"/>
        <v>1244203.432697868</v>
      </c>
      <c r="AU460" s="350">
        <f t="shared" si="178"/>
        <v>3674954.2005454898</v>
      </c>
      <c r="AV460" s="350">
        <f t="shared" si="179"/>
        <v>5842977.560950201</v>
      </c>
      <c r="AW460" s="350">
        <f t="shared" si="180"/>
        <v>7743223.6789139397</v>
      </c>
      <c r="AX460" s="350">
        <f t="shared" si="181"/>
        <v>9372442.1162581109</v>
      </c>
      <c r="AY460" s="350">
        <f t="shared" si="182"/>
        <v>27877800.989365608</v>
      </c>
      <c r="AZ460" s="365"/>
      <c r="BA460" s="377">
        <f t="shared" si="183"/>
        <v>0</v>
      </c>
      <c r="BB460" s="377">
        <f t="shared" si="184"/>
        <v>0</v>
      </c>
      <c r="BC460" s="377">
        <f t="shared" si="185"/>
        <v>0</v>
      </c>
      <c r="BD460" s="377">
        <f t="shared" si="186"/>
        <v>0</v>
      </c>
      <c r="BE460" s="377">
        <f t="shared" si="187"/>
        <v>0</v>
      </c>
      <c r="BF460" s="377">
        <f t="shared" si="188"/>
        <v>0</v>
      </c>
      <c r="BG460" s="328"/>
    </row>
    <row r="461" spans="2:59">
      <c r="B461" s="332">
        <v>446</v>
      </c>
      <c r="C461" s="350">
        <v>8145976.9668956092</v>
      </c>
      <c r="D461" s="350">
        <v>15343261.288657056</v>
      </c>
      <c r="E461" s="350">
        <v>22594726.312994942</v>
      </c>
      <c r="F461" s="350">
        <v>29900874.862611685</v>
      </c>
      <c r="G461" s="350">
        <v>37262874.791264512</v>
      </c>
      <c r="H461" s="348">
        <v>113247714.22242379</v>
      </c>
      <c r="I461" s="369"/>
      <c r="J461" s="350">
        <v>9376879.1940000802</v>
      </c>
      <c r="K461" s="350">
        <v>18976015.331490755</v>
      </c>
      <c r="L461" s="350">
        <v>28339313.79657653</v>
      </c>
      <c r="M461" s="350">
        <v>37460224.999676749</v>
      </c>
      <c r="N461" s="350">
        <v>46334636.950779662</v>
      </c>
      <c r="O461" s="348">
        <v>140487070.27252376</v>
      </c>
      <c r="P461" s="369"/>
      <c r="Q461" s="350">
        <f t="shared" si="189"/>
        <v>1230902.2271044711</v>
      </c>
      <c r="R461" s="350">
        <f t="shared" si="190"/>
        <v>3632754.0428336989</v>
      </c>
      <c r="S461" s="350">
        <f t="shared" si="191"/>
        <v>5744587.4835815877</v>
      </c>
      <c r="T461" s="350">
        <f t="shared" si="192"/>
        <v>7559350.1370650642</v>
      </c>
      <c r="U461" s="350">
        <f t="shared" si="193"/>
        <v>9071762.1595151499</v>
      </c>
      <c r="V461" s="350">
        <f t="shared" si="194"/>
        <v>27239356.050099969</v>
      </c>
      <c r="W461" s="365"/>
      <c r="X461" s="377">
        <f t="shared" si="172"/>
        <v>0</v>
      </c>
      <c r="Y461" s="377">
        <f t="shared" si="173"/>
        <v>0</v>
      </c>
      <c r="Z461" s="377">
        <f t="shared" si="174"/>
        <v>0</v>
      </c>
      <c r="AA461" s="377">
        <f t="shared" si="175"/>
        <v>0</v>
      </c>
      <c r="AB461" s="377">
        <f t="shared" si="176"/>
        <v>0</v>
      </c>
      <c r="AC461" s="377">
        <f t="shared" si="177"/>
        <v>0</v>
      </c>
      <c r="AD461" s="376"/>
      <c r="AE461" s="332">
        <v>446</v>
      </c>
      <c r="AF461" s="350">
        <v>6564471.5025028149</v>
      </c>
      <c r="AG461" s="350">
        <v>13180494.932525447</v>
      </c>
      <c r="AH461" s="350">
        <v>19846588.781586621</v>
      </c>
      <c r="AI461" s="350">
        <v>26562974.078348588</v>
      </c>
      <c r="AJ461" s="350">
        <v>33330619.420021955</v>
      </c>
      <c r="AK461" s="348">
        <v>99485148.71498543</v>
      </c>
      <c r="AL461" s="369"/>
      <c r="AM461" s="350">
        <v>7846971.0166171864</v>
      </c>
      <c r="AN461" s="350">
        <v>16967600.700409263</v>
      </c>
      <c r="AO461" s="350">
        <v>25848230.733415283</v>
      </c>
      <c r="AP461" s="350">
        <v>34483575.324423909</v>
      </c>
      <c r="AQ461" s="350">
        <v>42870963.061455518</v>
      </c>
      <c r="AR461" s="348">
        <v>128017340.83632116</v>
      </c>
      <c r="AS461" s="369"/>
      <c r="AT461" s="350">
        <f t="shared" si="195"/>
        <v>1282499.5141143715</v>
      </c>
      <c r="AU461" s="350">
        <f t="shared" si="178"/>
        <v>3787105.7678838167</v>
      </c>
      <c r="AV461" s="350">
        <f t="shared" si="179"/>
        <v>6001641.9518286623</v>
      </c>
      <c r="AW461" s="350">
        <f t="shared" si="180"/>
        <v>7920601.246075321</v>
      </c>
      <c r="AX461" s="350">
        <f t="shared" si="181"/>
        <v>9540343.6414335631</v>
      </c>
      <c r="AY461" s="350">
        <f t="shared" si="182"/>
        <v>28532192.12133573</v>
      </c>
      <c r="AZ461" s="365"/>
      <c r="BA461" s="377">
        <f t="shared" si="183"/>
        <v>0</v>
      </c>
      <c r="BB461" s="377">
        <f t="shared" si="184"/>
        <v>0</v>
      </c>
      <c r="BC461" s="377">
        <f t="shared" si="185"/>
        <v>0</v>
      </c>
      <c r="BD461" s="377">
        <f t="shared" si="186"/>
        <v>0</v>
      </c>
      <c r="BE461" s="377">
        <f t="shared" si="187"/>
        <v>0</v>
      </c>
      <c r="BF461" s="377">
        <f t="shared" si="188"/>
        <v>0</v>
      </c>
      <c r="BG461" s="328"/>
    </row>
    <row r="462" spans="2:59">
      <c r="B462" s="332">
        <v>447</v>
      </c>
      <c r="C462" s="350">
        <v>11598927.407419747</v>
      </c>
      <c r="D462" s="350">
        <v>22067439.351784624</v>
      </c>
      <c r="E462" s="350">
        <v>32614829.280155312</v>
      </c>
      <c r="F462" s="350">
        <v>43241763.409714401</v>
      </c>
      <c r="G462" s="350">
        <v>53949912.050306126</v>
      </c>
      <c r="H462" s="348">
        <v>163472871.49938023</v>
      </c>
      <c r="I462" s="369"/>
      <c r="J462" s="350">
        <v>13119727.405178647</v>
      </c>
      <c r="K462" s="350">
        <v>26551863.450610723</v>
      </c>
      <c r="L462" s="350">
        <v>39640572.908730887</v>
      </c>
      <c r="M462" s="350">
        <v>52376019.885186084</v>
      </c>
      <c r="N462" s="350">
        <v>64751589.476949617</v>
      </c>
      <c r="O462" s="348">
        <v>196439773.12665594</v>
      </c>
      <c r="P462" s="369"/>
      <c r="Q462" s="350">
        <f t="shared" si="189"/>
        <v>1520799.9977589007</v>
      </c>
      <c r="R462" s="350">
        <f t="shared" si="190"/>
        <v>4484424.0988260992</v>
      </c>
      <c r="S462" s="350">
        <f t="shared" si="191"/>
        <v>7025743.6285755746</v>
      </c>
      <c r="T462" s="350">
        <f t="shared" si="192"/>
        <v>9134256.4754716828</v>
      </c>
      <c r="U462" s="350">
        <f t="shared" si="193"/>
        <v>10801677.426643491</v>
      </c>
      <c r="V462" s="350">
        <f t="shared" si="194"/>
        <v>32966901.627275705</v>
      </c>
      <c r="W462" s="365"/>
      <c r="X462" s="377">
        <f t="shared" si="172"/>
        <v>0</v>
      </c>
      <c r="Y462" s="377">
        <f t="shared" si="173"/>
        <v>0</v>
      </c>
      <c r="Z462" s="377">
        <f t="shared" si="174"/>
        <v>0</v>
      </c>
      <c r="AA462" s="377">
        <f t="shared" si="175"/>
        <v>0</v>
      </c>
      <c r="AB462" s="377">
        <f t="shared" si="176"/>
        <v>0</v>
      </c>
      <c r="AC462" s="377">
        <f t="shared" si="177"/>
        <v>0</v>
      </c>
      <c r="AD462" s="376"/>
      <c r="AE462" s="332">
        <v>447</v>
      </c>
      <c r="AF462" s="350">
        <v>7302665.6712442022</v>
      </c>
      <c r="AG462" s="350">
        <v>14662680.436203245</v>
      </c>
      <c r="AH462" s="350">
        <v>22078396.186400499</v>
      </c>
      <c r="AI462" s="350">
        <v>29550058.805822752</v>
      </c>
      <c r="AJ462" s="350">
        <v>37078745.81329181</v>
      </c>
      <c r="AK462" s="348">
        <v>110672546.91296253</v>
      </c>
      <c r="AL462" s="369"/>
      <c r="AM462" s="350">
        <v>8806920.5465684198</v>
      </c>
      <c r="AN462" s="350">
        <v>19105602.000472702</v>
      </c>
      <c r="AO462" s="350">
        <v>29139617.318530712</v>
      </c>
      <c r="AP462" s="350">
        <v>38903064.377094239</v>
      </c>
      <c r="AQ462" s="350">
        <v>48393049.880315527</v>
      </c>
      <c r="AR462" s="348">
        <v>144348254.12298161</v>
      </c>
      <c r="AS462" s="369"/>
      <c r="AT462" s="350">
        <f t="shared" si="195"/>
        <v>1504254.8753242176</v>
      </c>
      <c r="AU462" s="350">
        <f t="shared" si="178"/>
        <v>4442921.564269457</v>
      </c>
      <c r="AV462" s="350">
        <f t="shared" si="179"/>
        <v>7061221.1321302131</v>
      </c>
      <c r="AW462" s="350">
        <f t="shared" si="180"/>
        <v>9353005.5712714866</v>
      </c>
      <c r="AX462" s="350">
        <f t="shared" si="181"/>
        <v>11314304.067023717</v>
      </c>
      <c r="AY462" s="350">
        <f t="shared" si="182"/>
        <v>33675707.210019082</v>
      </c>
      <c r="AZ462" s="365"/>
      <c r="BA462" s="377">
        <f t="shared" si="183"/>
        <v>0</v>
      </c>
      <c r="BB462" s="377">
        <f t="shared" si="184"/>
        <v>0</v>
      </c>
      <c r="BC462" s="377">
        <f t="shared" si="185"/>
        <v>0</v>
      </c>
      <c r="BD462" s="377">
        <f t="shared" si="186"/>
        <v>0</v>
      </c>
      <c r="BE462" s="377">
        <f t="shared" si="187"/>
        <v>0</v>
      </c>
      <c r="BF462" s="377">
        <f t="shared" si="188"/>
        <v>0</v>
      </c>
      <c r="BG462" s="328"/>
    </row>
    <row r="463" spans="2:59">
      <c r="B463" s="332">
        <v>448</v>
      </c>
      <c r="C463" s="350">
        <v>7961128.1084174905</v>
      </c>
      <c r="D463" s="350">
        <v>14962287.227586623</v>
      </c>
      <c r="E463" s="350">
        <v>22016139.96210533</v>
      </c>
      <c r="F463" s="350">
        <v>29123185.128027786</v>
      </c>
      <c r="G463" s="350">
        <v>36284562.973594517</v>
      </c>
      <c r="H463" s="348">
        <v>110347303.39973174</v>
      </c>
      <c r="I463" s="369"/>
      <c r="J463" s="350">
        <v>9379323.7204035353</v>
      </c>
      <c r="K463" s="350">
        <v>19150992.593566291</v>
      </c>
      <c r="L463" s="350">
        <v>28706368.498670526</v>
      </c>
      <c r="M463" s="350">
        <v>38038777.74763675</v>
      </c>
      <c r="N463" s="350">
        <v>47144188.535472967</v>
      </c>
      <c r="O463" s="348">
        <v>142419651.09575006</v>
      </c>
      <c r="P463" s="369"/>
      <c r="Q463" s="350">
        <f t="shared" si="189"/>
        <v>1418195.6119860448</v>
      </c>
      <c r="R463" s="350">
        <f t="shared" si="190"/>
        <v>4188705.3659796678</v>
      </c>
      <c r="S463" s="350">
        <f t="shared" si="191"/>
        <v>6690228.5365651958</v>
      </c>
      <c r="T463" s="350">
        <f t="shared" si="192"/>
        <v>8915592.6196089648</v>
      </c>
      <c r="U463" s="350">
        <f t="shared" si="193"/>
        <v>10859625.56187845</v>
      </c>
      <c r="V463" s="350">
        <f t="shared" si="194"/>
        <v>32072347.696018323</v>
      </c>
      <c r="W463" s="365"/>
      <c r="X463" s="377">
        <f t="shared" si="172"/>
        <v>0</v>
      </c>
      <c r="Y463" s="377">
        <f t="shared" si="173"/>
        <v>0</v>
      </c>
      <c r="Z463" s="377">
        <f t="shared" si="174"/>
        <v>0</v>
      </c>
      <c r="AA463" s="377">
        <f t="shared" si="175"/>
        <v>0</v>
      </c>
      <c r="AB463" s="377">
        <f t="shared" si="176"/>
        <v>0</v>
      </c>
      <c r="AC463" s="377">
        <f t="shared" si="177"/>
        <v>0</v>
      </c>
      <c r="AD463" s="376"/>
      <c r="AE463" s="332">
        <v>448</v>
      </c>
      <c r="AF463" s="350">
        <v>5280929.2434360068</v>
      </c>
      <c r="AG463" s="350">
        <v>10603330.535534438</v>
      </c>
      <c r="AH463" s="350">
        <v>15966012.04516918</v>
      </c>
      <c r="AI463" s="350">
        <v>21369151.583566267</v>
      </c>
      <c r="AJ463" s="350">
        <v>26813528.359430112</v>
      </c>
      <c r="AK463" s="348">
        <v>80032951.767136008</v>
      </c>
      <c r="AL463" s="369"/>
      <c r="AM463" s="350">
        <v>6479460.9088482112</v>
      </c>
      <c r="AN463" s="350">
        <v>14144621.177382665</v>
      </c>
      <c r="AO463" s="350">
        <v>21621704.242425021</v>
      </c>
      <c r="AP463" s="350">
        <v>28906410.659855582</v>
      </c>
      <c r="AQ463" s="350">
        <v>35996760.282092869</v>
      </c>
      <c r="AR463" s="348">
        <v>107148957.27060434</v>
      </c>
      <c r="AS463" s="369"/>
      <c r="AT463" s="350">
        <f t="shared" si="195"/>
        <v>1198531.6654122043</v>
      </c>
      <c r="AU463" s="350">
        <f t="shared" si="178"/>
        <v>3541290.641848227</v>
      </c>
      <c r="AV463" s="350">
        <f t="shared" si="179"/>
        <v>5655692.1972558405</v>
      </c>
      <c r="AW463" s="350">
        <f t="shared" si="180"/>
        <v>7537259.0762893148</v>
      </c>
      <c r="AX463" s="350">
        <f t="shared" si="181"/>
        <v>9183231.9226627573</v>
      </c>
      <c r="AY463" s="350">
        <f t="shared" si="182"/>
        <v>27116005.503468335</v>
      </c>
      <c r="AZ463" s="365"/>
      <c r="BA463" s="377">
        <f t="shared" si="183"/>
        <v>0</v>
      </c>
      <c r="BB463" s="377">
        <f t="shared" si="184"/>
        <v>0</v>
      </c>
      <c r="BC463" s="377">
        <f t="shared" si="185"/>
        <v>0</v>
      </c>
      <c r="BD463" s="377">
        <f t="shared" si="186"/>
        <v>0</v>
      </c>
      <c r="BE463" s="377">
        <f t="shared" si="187"/>
        <v>0</v>
      </c>
      <c r="BF463" s="377">
        <f t="shared" si="188"/>
        <v>0</v>
      </c>
      <c r="BG463" s="328"/>
    </row>
    <row r="464" spans="2:59">
      <c r="B464" s="332">
        <v>449</v>
      </c>
      <c r="C464" s="350">
        <v>8033073.3134300178</v>
      </c>
      <c r="D464" s="350">
        <v>15185947.62155528</v>
      </c>
      <c r="E464" s="350">
        <v>22392686.31654596</v>
      </c>
      <c r="F464" s="350">
        <v>29653772.761436772</v>
      </c>
      <c r="G464" s="350">
        <v>36970360.486953646</v>
      </c>
      <c r="H464" s="348">
        <v>112235840.49992168</v>
      </c>
      <c r="I464" s="369"/>
      <c r="J464" s="350">
        <v>9006869.8313581906</v>
      </c>
      <c r="K464" s="350">
        <v>18056313.261471182</v>
      </c>
      <c r="L464" s="350">
        <v>26864291.958189078</v>
      </c>
      <c r="M464" s="350">
        <v>35424337.797649316</v>
      </c>
      <c r="N464" s="350">
        <v>43732090.639553711</v>
      </c>
      <c r="O464" s="348">
        <v>133083903.48822148</v>
      </c>
      <c r="P464" s="369"/>
      <c r="Q464" s="350">
        <f t="shared" si="189"/>
        <v>973796.51792817283</v>
      </c>
      <c r="R464" s="350">
        <f t="shared" si="190"/>
        <v>2870365.6399159022</v>
      </c>
      <c r="S464" s="350">
        <f t="shared" si="191"/>
        <v>4471605.6416431181</v>
      </c>
      <c r="T464" s="350">
        <f t="shared" si="192"/>
        <v>5770565.0362125449</v>
      </c>
      <c r="U464" s="350">
        <f t="shared" si="193"/>
        <v>6761730.1526000649</v>
      </c>
      <c r="V464" s="350">
        <f t="shared" si="194"/>
        <v>20848062.988299802</v>
      </c>
      <c r="W464" s="365"/>
      <c r="X464" s="377">
        <f t="shared" ref="X464:X527" si="196">IF(Q464&lt;Q$8,1,0)</f>
        <v>0</v>
      </c>
      <c r="Y464" s="377">
        <f t="shared" ref="Y464:Y527" si="197">IF(R464&lt;R$8,1,0)</f>
        <v>0</v>
      </c>
      <c r="Z464" s="377">
        <f t="shared" ref="Z464:Z527" si="198">IF(S464&lt;S$8,1,0)</f>
        <v>0</v>
      </c>
      <c r="AA464" s="377">
        <f t="shared" ref="AA464:AA527" si="199">IF(T464&lt;T$8,1,0)</f>
        <v>0</v>
      </c>
      <c r="AB464" s="377">
        <f t="shared" ref="AB464:AB527" si="200">IF(U464&lt;U$8,1,0)</f>
        <v>0</v>
      </c>
      <c r="AC464" s="377">
        <f t="shared" ref="AC464:AC527" si="201">IF(V464&lt;V$8,1,0)</f>
        <v>0</v>
      </c>
      <c r="AD464" s="376"/>
      <c r="AE464" s="332">
        <v>449</v>
      </c>
      <c r="AF464" s="350">
        <v>7443123.3822938967</v>
      </c>
      <c r="AG464" s="350">
        <v>14944698.896945866</v>
      </c>
      <c r="AH464" s="350">
        <v>22503046.736158147</v>
      </c>
      <c r="AI464" s="350">
        <v>30118417.513190858</v>
      </c>
      <c r="AJ464" s="350">
        <v>37791909.471603058</v>
      </c>
      <c r="AK464" s="348">
        <v>112801196.00019184</v>
      </c>
      <c r="AL464" s="369"/>
      <c r="AM464" s="350">
        <v>8681936.067249611</v>
      </c>
      <c r="AN464" s="350">
        <v>18600045.728695594</v>
      </c>
      <c r="AO464" s="350">
        <v>28239582.115551755</v>
      </c>
      <c r="AP464" s="350">
        <v>37594612.844221458</v>
      </c>
      <c r="AQ464" s="350">
        <v>46661890.837376624</v>
      </c>
      <c r="AR464" s="348">
        <v>139778067.59309503</v>
      </c>
      <c r="AS464" s="369"/>
      <c r="AT464" s="350">
        <f t="shared" si="195"/>
        <v>1238812.6849557143</v>
      </c>
      <c r="AU464" s="350">
        <f t="shared" ref="AU464:AU527" si="202">AN464-AG464</f>
        <v>3655346.8317497279</v>
      </c>
      <c r="AV464" s="350">
        <f t="shared" ref="AV464:AV527" si="203">AO464-AH464</f>
        <v>5736535.3793936074</v>
      </c>
      <c r="AW464" s="350">
        <f t="shared" ref="AW464:AW527" si="204">AP464-AI464</f>
        <v>7476195.3310305998</v>
      </c>
      <c r="AX464" s="350">
        <f t="shared" ref="AX464:AX527" si="205">AQ464-AJ464</f>
        <v>8869981.3657735661</v>
      </c>
      <c r="AY464" s="350">
        <f t="shared" ref="AY464:AY527" si="206">AR464-AK464</f>
        <v>26976871.592903197</v>
      </c>
      <c r="AZ464" s="365"/>
      <c r="BA464" s="377">
        <f t="shared" ref="BA464:BA527" si="207">IF(AT464&lt;AT$8,1,0)</f>
        <v>0</v>
      </c>
      <c r="BB464" s="377">
        <f t="shared" ref="BB464:BB527" si="208">IF(AU464&lt;AU$8,1,0)</f>
        <v>0</v>
      </c>
      <c r="BC464" s="377">
        <f t="shared" ref="BC464:BC527" si="209">IF(AV464&lt;AV$8,1,0)</f>
        <v>0</v>
      </c>
      <c r="BD464" s="377">
        <f t="shared" ref="BD464:BD527" si="210">IF(AW464&lt;AW$8,1,0)</f>
        <v>0</v>
      </c>
      <c r="BE464" s="377">
        <f t="shared" ref="BE464:BE527" si="211">IF(AX464&lt;AX$8,1,0)</f>
        <v>0</v>
      </c>
      <c r="BF464" s="377">
        <f t="shared" ref="BF464:BF527" si="212">IF(AY464&lt;AY$8,1,0)</f>
        <v>0</v>
      </c>
      <c r="BG464" s="328"/>
    </row>
    <row r="465" spans="2:59">
      <c r="B465" s="332">
        <v>450</v>
      </c>
      <c r="C465" s="350">
        <v>6365394.2465911638</v>
      </c>
      <c r="D465" s="350">
        <v>11817640.92353813</v>
      </c>
      <c r="E465" s="350">
        <v>17310875.886332739</v>
      </c>
      <c r="F465" s="350">
        <v>22845530.826831412</v>
      </c>
      <c r="G465" s="350">
        <v>28422512.538890079</v>
      </c>
      <c r="H465" s="348">
        <v>86761954.422183529</v>
      </c>
      <c r="I465" s="369"/>
      <c r="J465" s="350">
        <v>7647206.089274467</v>
      </c>
      <c r="K465" s="350">
        <v>15605690.290646352</v>
      </c>
      <c r="L465" s="350">
        <v>23404439.466088623</v>
      </c>
      <c r="M465" s="350">
        <v>31038115.429002531</v>
      </c>
      <c r="N465" s="350">
        <v>38503637.496636808</v>
      </c>
      <c r="O465" s="348">
        <v>116199088.77164878</v>
      </c>
      <c r="P465" s="369"/>
      <c r="Q465" s="350">
        <f t="shared" ref="Q465:Q528" si="213">J465-C465</f>
        <v>1281811.8426833032</v>
      </c>
      <c r="R465" s="350">
        <f t="shared" ref="R465:R528" si="214">K465-D465</f>
        <v>3788049.3671082221</v>
      </c>
      <c r="S465" s="350">
        <f t="shared" ref="S465:S528" si="215">L465-E465</f>
        <v>6093563.5797558837</v>
      </c>
      <c r="T465" s="350">
        <f t="shared" ref="T465:T528" si="216">M465-F465</f>
        <v>8192584.6021711193</v>
      </c>
      <c r="U465" s="350">
        <f t="shared" ref="U465:U528" si="217">N465-G465</f>
        <v>10081124.957746729</v>
      </c>
      <c r="V465" s="350">
        <f t="shared" ref="V465:V528" si="218">O465-H465</f>
        <v>29437134.349465251</v>
      </c>
      <c r="W465" s="365"/>
      <c r="X465" s="377">
        <f t="shared" si="196"/>
        <v>0</v>
      </c>
      <c r="Y465" s="377">
        <f t="shared" si="197"/>
        <v>0</v>
      </c>
      <c r="Z465" s="377">
        <f t="shared" si="198"/>
        <v>0</v>
      </c>
      <c r="AA465" s="377">
        <f t="shared" si="199"/>
        <v>0</v>
      </c>
      <c r="AB465" s="377">
        <f t="shared" si="200"/>
        <v>0</v>
      </c>
      <c r="AC465" s="377">
        <f t="shared" si="201"/>
        <v>0</v>
      </c>
      <c r="AD465" s="376"/>
      <c r="AE465" s="332">
        <v>450</v>
      </c>
      <c r="AF465" s="350">
        <v>7801455.4861587547</v>
      </c>
      <c r="AG465" s="350">
        <v>15664177.148523502</v>
      </c>
      <c r="AH465" s="350">
        <v>23586404.308802828</v>
      </c>
      <c r="AI465" s="350">
        <v>31568399.645457454</v>
      </c>
      <c r="AJ465" s="350">
        <v>39611314.274463691</v>
      </c>
      <c r="AK465" s="348">
        <v>118231750.86340621</v>
      </c>
      <c r="AL465" s="369"/>
      <c r="AM465" s="350">
        <v>8869213.1130865458</v>
      </c>
      <c r="AN465" s="350">
        <v>18811329.079052918</v>
      </c>
      <c r="AO465" s="350">
        <v>28454551.115433879</v>
      </c>
      <c r="AP465" s="350">
        <v>37792726.486692779</v>
      </c>
      <c r="AQ465" s="350">
        <v>46822218.152606994</v>
      </c>
      <c r="AR465" s="348">
        <v>140750037.94687313</v>
      </c>
      <c r="AS465" s="369"/>
      <c r="AT465" s="350">
        <f t="shared" ref="AT465:AT528" si="219">AM465-AF465</f>
        <v>1067757.6269277912</v>
      </c>
      <c r="AU465" s="350">
        <f t="shared" si="202"/>
        <v>3147151.9305294156</v>
      </c>
      <c r="AV465" s="350">
        <f t="shared" si="203"/>
        <v>4868146.806631051</v>
      </c>
      <c r="AW465" s="350">
        <f t="shared" si="204"/>
        <v>6224326.8412353247</v>
      </c>
      <c r="AX465" s="350">
        <f t="shared" si="205"/>
        <v>7210903.8781433031</v>
      </c>
      <c r="AY465" s="350">
        <f t="shared" si="206"/>
        <v>22518287.083466917</v>
      </c>
      <c r="AZ465" s="365"/>
      <c r="BA465" s="377">
        <f t="shared" si="207"/>
        <v>0</v>
      </c>
      <c r="BB465" s="377">
        <f t="shared" si="208"/>
        <v>0</v>
      </c>
      <c r="BC465" s="377">
        <f t="shared" si="209"/>
        <v>0</v>
      </c>
      <c r="BD465" s="377">
        <f t="shared" si="210"/>
        <v>0</v>
      </c>
      <c r="BE465" s="377">
        <f t="shared" si="211"/>
        <v>0</v>
      </c>
      <c r="BF465" s="377">
        <f t="shared" si="212"/>
        <v>0</v>
      </c>
      <c r="BG465" s="328"/>
    </row>
    <row r="466" spans="2:59">
      <c r="B466" s="332">
        <v>451</v>
      </c>
      <c r="C466" s="350">
        <v>7775598.5777116781</v>
      </c>
      <c r="D466" s="350">
        <v>14640470.112087615</v>
      </c>
      <c r="E466" s="350">
        <v>21557018.285321578</v>
      </c>
      <c r="F466" s="350">
        <v>28525724.224571452</v>
      </c>
      <c r="G466" s="350">
        <v>35547702.509984501</v>
      </c>
      <c r="H466" s="348">
        <v>108046513.70967683</v>
      </c>
      <c r="I466" s="369"/>
      <c r="J466" s="350">
        <v>8862633.0386301782</v>
      </c>
      <c r="K466" s="350">
        <v>17847358.582413081</v>
      </c>
      <c r="L466" s="350">
        <v>26611379.236539196</v>
      </c>
      <c r="M466" s="350">
        <v>35148187.327853739</v>
      </c>
      <c r="N466" s="350">
        <v>43453475.751223505</v>
      </c>
      <c r="O466" s="348">
        <v>131923033.93665969</v>
      </c>
      <c r="P466" s="369"/>
      <c r="Q466" s="350">
        <f t="shared" si="213"/>
        <v>1087034.4609185001</v>
      </c>
      <c r="R466" s="350">
        <f t="shared" si="214"/>
        <v>3206888.4703254662</v>
      </c>
      <c r="S466" s="350">
        <f t="shared" si="215"/>
        <v>5054360.9512176178</v>
      </c>
      <c r="T466" s="350">
        <f t="shared" si="216"/>
        <v>6622463.1032822877</v>
      </c>
      <c r="U466" s="350">
        <f t="shared" si="217"/>
        <v>7905773.2412390038</v>
      </c>
      <c r="V466" s="350">
        <f t="shared" si="218"/>
        <v>23876520.226982862</v>
      </c>
      <c r="W466" s="365"/>
      <c r="X466" s="377">
        <f t="shared" si="196"/>
        <v>0</v>
      </c>
      <c r="Y466" s="377">
        <f t="shared" si="197"/>
        <v>0</v>
      </c>
      <c r="Z466" s="377">
        <f t="shared" si="198"/>
        <v>0</v>
      </c>
      <c r="AA466" s="377">
        <f t="shared" si="199"/>
        <v>0</v>
      </c>
      <c r="AB466" s="377">
        <f t="shared" si="200"/>
        <v>0</v>
      </c>
      <c r="AC466" s="377">
        <f t="shared" si="201"/>
        <v>0</v>
      </c>
      <c r="AD466" s="376"/>
      <c r="AE466" s="332">
        <v>451</v>
      </c>
      <c r="AF466" s="350">
        <v>6793507.4992174897</v>
      </c>
      <c r="AG466" s="350">
        <v>13640365.585161034</v>
      </c>
      <c r="AH466" s="350">
        <v>20539041.059160508</v>
      </c>
      <c r="AI466" s="350">
        <v>27489762.661621593</v>
      </c>
      <c r="AJ466" s="350">
        <v>34493532.78434559</v>
      </c>
      <c r="AK466" s="348">
        <v>102956209.58950621</v>
      </c>
      <c r="AL466" s="369"/>
      <c r="AM466" s="350">
        <v>8081507.5208810559</v>
      </c>
      <c r="AN466" s="350">
        <v>17443211.653193168</v>
      </c>
      <c r="AO466" s="350">
        <v>26555367.052540764</v>
      </c>
      <c r="AP466" s="350">
        <v>35412514.60546416</v>
      </c>
      <c r="AQ466" s="350">
        <v>44011849.94656387</v>
      </c>
      <c r="AR466" s="348">
        <v>131504450.77864301</v>
      </c>
      <c r="AS466" s="369"/>
      <c r="AT466" s="350">
        <f t="shared" si="219"/>
        <v>1288000.0216635661</v>
      </c>
      <c r="AU466" s="350">
        <f t="shared" si="202"/>
        <v>3802846.0680321343</v>
      </c>
      <c r="AV466" s="350">
        <f t="shared" si="203"/>
        <v>6016325.993380256</v>
      </c>
      <c r="AW466" s="350">
        <f t="shared" si="204"/>
        <v>7922751.9438425675</v>
      </c>
      <c r="AX466" s="350">
        <f t="shared" si="205"/>
        <v>9518317.1622182801</v>
      </c>
      <c r="AY466" s="350">
        <f t="shared" si="206"/>
        <v>28548241.189136803</v>
      </c>
      <c r="AZ466" s="365"/>
      <c r="BA466" s="377">
        <f t="shared" si="207"/>
        <v>0</v>
      </c>
      <c r="BB466" s="377">
        <f t="shared" si="208"/>
        <v>0</v>
      </c>
      <c r="BC466" s="377">
        <f t="shared" si="209"/>
        <v>0</v>
      </c>
      <c r="BD466" s="377">
        <f t="shared" si="210"/>
        <v>0</v>
      </c>
      <c r="BE466" s="377">
        <f t="shared" si="211"/>
        <v>0</v>
      </c>
      <c r="BF466" s="377">
        <f t="shared" si="212"/>
        <v>0</v>
      </c>
      <c r="BG466" s="328"/>
    </row>
    <row r="467" spans="2:59">
      <c r="B467" s="332">
        <v>452</v>
      </c>
      <c r="C467" s="350">
        <v>5309859.6947182212</v>
      </c>
      <c r="D467" s="350">
        <v>9838864.5528567862</v>
      </c>
      <c r="E467" s="350">
        <v>14401910.63601961</v>
      </c>
      <c r="F467" s="350">
        <v>18999362.368369639</v>
      </c>
      <c r="G467" s="350">
        <v>23631975.531580836</v>
      </c>
      <c r="H467" s="348">
        <v>72181972.783545092</v>
      </c>
      <c r="I467" s="369"/>
      <c r="J467" s="350">
        <v>6119769.3088607453</v>
      </c>
      <c r="K467" s="350">
        <v>12229666.899665814</v>
      </c>
      <c r="L467" s="350">
        <v>18198583.037167128</v>
      </c>
      <c r="M467" s="350">
        <v>24022189.921927631</v>
      </c>
      <c r="N467" s="350">
        <v>29697702.567832157</v>
      </c>
      <c r="O467" s="348">
        <v>90267911.735453472</v>
      </c>
      <c r="P467" s="369"/>
      <c r="Q467" s="350">
        <f t="shared" si="213"/>
        <v>809909.61414252408</v>
      </c>
      <c r="R467" s="350">
        <f t="shared" si="214"/>
        <v>2390802.3468090277</v>
      </c>
      <c r="S467" s="350">
        <f t="shared" si="215"/>
        <v>3796672.4011475183</v>
      </c>
      <c r="T467" s="350">
        <f t="shared" si="216"/>
        <v>5022827.553557992</v>
      </c>
      <c r="U467" s="350">
        <f t="shared" si="217"/>
        <v>6065727.0362513214</v>
      </c>
      <c r="V467" s="350">
        <f t="shared" si="218"/>
        <v>18085938.95190838</v>
      </c>
      <c r="W467" s="365"/>
      <c r="X467" s="377">
        <f t="shared" si="196"/>
        <v>0</v>
      </c>
      <c r="Y467" s="377">
        <f t="shared" si="197"/>
        <v>0</v>
      </c>
      <c r="Z467" s="377">
        <f t="shared" si="198"/>
        <v>0</v>
      </c>
      <c r="AA467" s="377">
        <f t="shared" si="199"/>
        <v>0</v>
      </c>
      <c r="AB467" s="377">
        <f t="shared" si="200"/>
        <v>0</v>
      </c>
      <c r="AC467" s="377">
        <f t="shared" si="201"/>
        <v>0</v>
      </c>
      <c r="AD467" s="376"/>
      <c r="AE467" s="332">
        <v>452</v>
      </c>
      <c r="AF467" s="350">
        <v>6384663.7875051182</v>
      </c>
      <c r="AG467" s="350">
        <v>12819467.441515313</v>
      </c>
      <c r="AH467" s="350">
        <v>19302970.033610426</v>
      </c>
      <c r="AI467" s="350">
        <v>25835386.538247325</v>
      </c>
      <c r="AJ467" s="350">
        <v>32417659.021749683</v>
      </c>
      <c r="AK467" s="348">
        <v>96760146.822627872</v>
      </c>
      <c r="AL467" s="369"/>
      <c r="AM467" s="350">
        <v>7840391.1740476051</v>
      </c>
      <c r="AN467" s="350">
        <v>17120765.729100719</v>
      </c>
      <c r="AO467" s="350">
        <v>26173954.827883072</v>
      </c>
      <c r="AP467" s="350">
        <v>34994758.531460956</v>
      </c>
      <c r="AQ467" s="350">
        <v>43580789.617276758</v>
      </c>
      <c r="AR467" s="348">
        <v>129710659.87976912</v>
      </c>
      <c r="AS467" s="369"/>
      <c r="AT467" s="350">
        <f t="shared" si="219"/>
        <v>1455727.386542487</v>
      </c>
      <c r="AU467" s="350">
        <f t="shared" si="202"/>
        <v>4301298.2875854056</v>
      </c>
      <c r="AV467" s="350">
        <f t="shared" si="203"/>
        <v>6870984.7942726463</v>
      </c>
      <c r="AW467" s="350">
        <f t="shared" si="204"/>
        <v>9159371.9932136312</v>
      </c>
      <c r="AX467" s="350">
        <f t="shared" si="205"/>
        <v>11163130.595527075</v>
      </c>
      <c r="AY467" s="350">
        <f t="shared" si="206"/>
        <v>32950513.057141244</v>
      </c>
      <c r="AZ467" s="365"/>
      <c r="BA467" s="377">
        <f t="shared" si="207"/>
        <v>0</v>
      </c>
      <c r="BB467" s="377">
        <f t="shared" si="208"/>
        <v>0</v>
      </c>
      <c r="BC467" s="377">
        <f t="shared" si="209"/>
        <v>0</v>
      </c>
      <c r="BD467" s="377">
        <f t="shared" si="210"/>
        <v>0</v>
      </c>
      <c r="BE467" s="377">
        <f t="shared" si="211"/>
        <v>0</v>
      </c>
      <c r="BF467" s="377">
        <f t="shared" si="212"/>
        <v>0</v>
      </c>
      <c r="BG467" s="328"/>
    </row>
    <row r="468" spans="2:59">
      <c r="B468" s="332">
        <v>453</v>
      </c>
      <c r="C468" s="350">
        <v>9093267.5676922686</v>
      </c>
      <c r="D468" s="350">
        <v>16853696.262782525</v>
      </c>
      <c r="E468" s="350">
        <v>24672455.918678455</v>
      </c>
      <c r="F468" s="350">
        <v>32550169.629083738</v>
      </c>
      <c r="G468" s="350">
        <v>40488131.836990081</v>
      </c>
      <c r="H468" s="348">
        <v>123657721.21522707</v>
      </c>
      <c r="I468" s="369"/>
      <c r="J468" s="350">
        <v>10303037.183112293</v>
      </c>
      <c r="K468" s="350">
        <v>20422414.104838379</v>
      </c>
      <c r="L468" s="350">
        <v>30289503.816989571</v>
      </c>
      <c r="M468" s="350">
        <v>39897158.650693223</v>
      </c>
      <c r="N468" s="350">
        <v>49240653.094841003</v>
      </c>
      <c r="O468" s="348">
        <v>150152766.85047448</v>
      </c>
      <c r="P468" s="369"/>
      <c r="Q468" s="350">
        <f t="shared" si="213"/>
        <v>1209769.6154200248</v>
      </c>
      <c r="R468" s="350">
        <f t="shared" si="214"/>
        <v>3568717.8420558535</v>
      </c>
      <c r="S468" s="350">
        <f t="shared" si="215"/>
        <v>5617047.8983111158</v>
      </c>
      <c r="T468" s="350">
        <f t="shared" si="216"/>
        <v>7346989.0216094851</v>
      </c>
      <c r="U468" s="350">
        <f t="shared" si="217"/>
        <v>8752521.2578509226</v>
      </c>
      <c r="V468" s="350">
        <f t="shared" si="218"/>
        <v>26495045.635247409</v>
      </c>
      <c r="W468" s="365"/>
      <c r="X468" s="377">
        <f t="shared" si="196"/>
        <v>0</v>
      </c>
      <c r="Y468" s="377">
        <f t="shared" si="197"/>
        <v>0</v>
      </c>
      <c r="Z468" s="377">
        <f t="shared" si="198"/>
        <v>0</v>
      </c>
      <c r="AA468" s="377">
        <f t="shared" si="199"/>
        <v>0</v>
      </c>
      <c r="AB468" s="377">
        <f t="shared" si="200"/>
        <v>0</v>
      </c>
      <c r="AC468" s="377">
        <f t="shared" si="201"/>
        <v>0</v>
      </c>
      <c r="AD468" s="376"/>
      <c r="AE468" s="332">
        <v>453</v>
      </c>
      <c r="AF468" s="350">
        <v>6159555.5956487404</v>
      </c>
      <c r="AG468" s="350">
        <v>12367483.244325679</v>
      </c>
      <c r="AH468" s="350">
        <v>18622392.821349438</v>
      </c>
      <c r="AI468" s="350">
        <v>24924491.721684385</v>
      </c>
      <c r="AJ468" s="350">
        <v>31274688.796616759</v>
      </c>
      <c r="AK468" s="348">
        <v>93348612.179625005</v>
      </c>
      <c r="AL468" s="369"/>
      <c r="AM468" s="350">
        <v>7287205.2380802575</v>
      </c>
      <c r="AN468" s="350">
        <v>15696362.054983627</v>
      </c>
      <c r="AO468" s="350">
        <v>23878054.622629032</v>
      </c>
      <c r="AP468" s="350">
        <v>31827344.615465567</v>
      </c>
      <c r="AQ468" s="350">
        <v>39541648.693646833</v>
      </c>
      <c r="AR468" s="348">
        <v>118230615.22480531</v>
      </c>
      <c r="AS468" s="369"/>
      <c r="AT468" s="350">
        <f t="shared" si="219"/>
        <v>1127649.6424315171</v>
      </c>
      <c r="AU468" s="350">
        <f t="shared" si="202"/>
        <v>3328878.8106579483</v>
      </c>
      <c r="AV468" s="350">
        <f t="shared" si="203"/>
        <v>5255661.8012795933</v>
      </c>
      <c r="AW468" s="350">
        <f t="shared" si="204"/>
        <v>6902852.8937811814</v>
      </c>
      <c r="AX468" s="350">
        <f t="shared" si="205"/>
        <v>8266959.8970300741</v>
      </c>
      <c r="AY468" s="350">
        <f t="shared" si="206"/>
        <v>24882003.045180306</v>
      </c>
      <c r="AZ468" s="365"/>
      <c r="BA468" s="377">
        <f t="shared" si="207"/>
        <v>0</v>
      </c>
      <c r="BB468" s="377">
        <f t="shared" si="208"/>
        <v>0</v>
      </c>
      <c r="BC468" s="377">
        <f t="shared" si="209"/>
        <v>0</v>
      </c>
      <c r="BD468" s="377">
        <f t="shared" si="210"/>
        <v>0</v>
      </c>
      <c r="BE468" s="377">
        <f t="shared" si="211"/>
        <v>0</v>
      </c>
      <c r="BF468" s="377">
        <f t="shared" si="212"/>
        <v>0</v>
      </c>
      <c r="BG468" s="328"/>
    </row>
    <row r="469" spans="2:59">
      <c r="B469" s="332">
        <v>454</v>
      </c>
      <c r="C469" s="350">
        <v>7500344.7062935662</v>
      </c>
      <c r="D469" s="350">
        <v>14157437.380160112</v>
      </c>
      <c r="E469" s="350">
        <v>20864654.066092253</v>
      </c>
      <c r="F469" s="350">
        <v>27622450.907325178</v>
      </c>
      <c r="G469" s="350">
        <v>34431904.214597642</v>
      </c>
      <c r="H469" s="348">
        <v>104576791.27446875</v>
      </c>
      <c r="I469" s="369"/>
      <c r="J469" s="350">
        <v>8602528.9737147912</v>
      </c>
      <c r="K469" s="350">
        <v>17409783.385834381</v>
      </c>
      <c r="L469" s="350">
        <v>25999219.663021803</v>
      </c>
      <c r="M469" s="350">
        <v>34364725.424143344</v>
      </c>
      <c r="N469" s="350">
        <v>42502398.74598027</v>
      </c>
      <c r="O469" s="348">
        <v>128878656.19269457</v>
      </c>
      <c r="P469" s="369"/>
      <c r="Q469" s="350">
        <f t="shared" si="213"/>
        <v>1102184.2674212251</v>
      </c>
      <c r="R469" s="350">
        <f t="shared" si="214"/>
        <v>3252346.0056742691</v>
      </c>
      <c r="S469" s="350">
        <f t="shared" si="215"/>
        <v>5134565.5969295502</v>
      </c>
      <c r="T469" s="350">
        <f t="shared" si="216"/>
        <v>6742274.5168181658</v>
      </c>
      <c r="U469" s="350">
        <f t="shared" si="217"/>
        <v>8070494.5313826278</v>
      </c>
      <c r="V469" s="350">
        <f t="shared" si="218"/>
        <v>24301864.918225825</v>
      </c>
      <c r="W469" s="365"/>
      <c r="X469" s="377">
        <f t="shared" si="196"/>
        <v>0</v>
      </c>
      <c r="Y469" s="377">
        <f t="shared" si="197"/>
        <v>0</v>
      </c>
      <c r="Z469" s="377">
        <f t="shared" si="198"/>
        <v>0</v>
      </c>
      <c r="AA469" s="377">
        <f t="shared" si="199"/>
        <v>0</v>
      </c>
      <c r="AB469" s="377">
        <f t="shared" si="200"/>
        <v>0</v>
      </c>
      <c r="AC469" s="377">
        <f t="shared" si="201"/>
        <v>0</v>
      </c>
      <c r="AD469" s="376"/>
      <c r="AE469" s="332">
        <v>454</v>
      </c>
      <c r="AF469" s="350">
        <v>5743460.1933744289</v>
      </c>
      <c r="AG469" s="350">
        <v>11532024.770778693</v>
      </c>
      <c r="AH469" s="350">
        <v>17364397.514385492</v>
      </c>
      <c r="AI469" s="350">
        <v>23240771.809042752</v>
      </c>
      <c r="AJ469" s="350">
        <v>29161995.110561714</v>
      </c>
      <c r="AK469" s="348">
        <v>87042649.398143083</v>
      </c>
      <c r="AL469" s="369"/>
      <c r="AM469" s="350">
        <v>6619914.994111984</v>
      </c>
      <c r="AN469" s="350">
        <v>14116973.684065651</v>
      </c>
      <c r="AO469" s="350">
        <v>21396692.106342129</v>
      </c>
      <c r="AP469" s="350">
        <v>28454515.035091482</v>
      </c>
      <c r="AQ469" s="350">
        <v>35287856.389246099</v>
      </c>
      <c r="AR469" s="348">
        <v>105875952.20885736</v>
      </c>
      <c r="AS469" s="369"/>
      <c r="AT469" s="350">
        <f t="shared" si="219"/>
        <v>876454.80073755514</v>
      </c>
      <c r="AU469" s="350">
        <f t="shared" si="202"/>
        <v>2584948.9132869579</v>
      </c>
      <c r="AV469" s="350">
        <f t="shared" si="203"/>
        <v>4032294.5919566378</v>
      </c>
      <c r="AW469" s="350">
        <f t="shared" si="204"/>
        <v>5213743.2260487303</v>
      </c>
      <c r="AX469" s="350">
        <f t="shared" si="205"/>
        <v>6125861.2786843851</v>
      </c>
      <c r="AY469" s="350">
        <f t="shared" si="206"/>
        <v>18833302.810714275</v>
      </c>
      <c r="AZ469" s="365"/>
      <c r="BA469" s="377">
        <f t="shared" si="207"/>
        <v>0</v>
      </c>
      <c r="BB469" s="377">
        <f t="shared" si="208"/>
        <v>0</v>
      </c>
      <c r="BC469" s="377">
        <f t="shared" si="209"/>
        <v>0</v>
      </c>
      <c r="BD469" s="377">
        <f t="shared" si="210"/>
        <v>0</v>
      </c>
      <c r="BE469" s="377">
        <f t="shared" si="211"/>
        <v>0</v>
      </c>
      <c r="BF469" s="377">
        <f t="shared" si="212"/>
        <v>0</v>
      </c>
      <c r="BG469" s="328"/>
    </row>
    <row r="470" spans="2:59">
      <c r="B470" s="332">
        <v>455</v>
      </c>
      <c r="C470" s="350">
        <v>6045647.3513857936</v>
      </c>
      <c r="D470" s="350">
        <v>11484277.222100263</v>
      </c>
      <c r="E470" s="350">
        <v>16963880.325423017</v>
      </c>
      <c r="F470" s="350">
        <v>22484807.931251131</v>
      </c>
      <c r="G470" s="350">
        <v>28047930.046409376</v>
      </c>
      <c r="H470" s="348">
        <v>85026542.876569584</v>
      </c>
      <c r="I470" s="369"/>
      <c r="J470" s="350">
        <v>6914810.7028526142</v>
      </c>
      <c r="K470" s="350">
        <v>14048560.926581891</v>
      </c>
      <c r="L470" s="350">
        <v>21008554.808836177</v>
      </c>
      <c r="M470" s="350">
        <v>27789587.684750117</v>
      </c>
      <c r="N470" s="350">
        <v>34388224.478972793</v>
      </c>
      <c r="O470" s="348">
        <v>104149738.60199359</v>
      </c>
      <c r="P470" s="369"/>
      <c r="Q470" s="350">
        <f t="shared" si="213"/>
        <v>869163.35146682058</v>
      </c>
      <c r="R470" s="350">
        <f t="shared" si="214"/>
        <v>2564283.7044816278</v>
      </c>
      <c r="S470" s="350">
        <f t="shared" si="215"/>
        <v>4044674.4834131598</v>
      </c>
      <c r="T470" s="350">
        <f t="shared" si="216"/>
        <v>5304779.7534989864</v>
      </c>
      <c r="U470" s="350">
        <f t="shared" si="217"/>
        <v>6340294.4325634167</v>
      </c>
      <c r="V470" s="350">
        <f t="shared" si="218"/>
        <v>19123195.725424007</v>
      </c>
      <c r="W470" s="365"/>
      <c r="X470" s="377">
        <f t="shared" si="196"/>
        <v>0</v>
      </c>
      <c r="Y470" s="377">
        <f t="shared" si="197"/>
        <v>0</v>
      </c>
      <c r="Z470" s="377">
        <f t="shared" si="198"/>
        <v>0</v>
      </c>
      <c r="AA470" s="377">
        <f t="shared" si="199"/>
        <v>0</v>
      </c>
      <c r="AB470" s="377">
        <f t="shared" si="200"/>
        <v>0</v>
      </c>
      <c r="AC470" s="377">
        <f t="shared" si="201"/>
        <v>0</v>
      </c>
      <c r="AD470" s="376"/>
      <c r="AE470" s="332">
        <v>455</v>
      </c>
      <c r="AF470" s="350">
        <v>4034192.0300673777</v>
      </c>
      <c r="AG470" s="350">
        <v>8100065.266314989</v>
      </c>
      <c r="AH470" s="350">
        <v>12196709.248593016</v>
      </c>
      <c r="AI470" s="350">
        <v>16324259.809933461</v>
      </c>
      <c r="AJ470" s="350">
        <v>20483312.201171961</v>
      </c>
      <c r="AK470" s="348">
        <v>61138538.556080803</v>
      </c>
      <c r="AL470" s="369"/>
      <c r="AM470" s="350">
        <v>4709699.2965031769</v>
      </c>
      <c r="AN470" s="350">
        <v>10093335.972492494</v>
      </c>
      <c r="AO470" s="350">
        <v>15326107.042657472</v>
      </c>
      <c r="AP470" s="350">
        <v>20404795.989351209</v>
      </c>
      <c r="AQ470" s="350">
        <v>25327647.007832706</v>
      </c>
      <c r="AR470" s="348">
        <v>75861585.308837056</v>
      </c>
      <c r="AS470" s="369"/>
      <c r="AT470" s="350">
        <f t="shared" si="219"/>
        <v>675507.26643579919</v>
      </c>
      <c r="AU470" s="350">
        <f t="shared" si="202"/>
        <v>1993270.7061775047</v>
      </c>
      <c r="AV470" s="350">
        <f t="shared" si="203"/>
        <v>3129397.7940644566</v>
      </c>
      <c r="AW470" s="350">
        <f t="shared" si="204"/>
        <v>4080536.179417748</v>
      </c>
      <c r="AX470" s="350">
        <f t="shared" si="205"/>
        <v>4844334.8066607453</v>
      </c>
      <c r="AY470" s="350">
        <f t="shared" si="206"/>
        <v>14723046.752756253</v>
      </c>
      <c r="AZ470" s="365"/>
      <c r="BA470" s="377">
        <f t="shared" si="207"/>
        <v>0</v>
      </c>
      <c r="BB470" s="377">
        <f t="shared" si="208"/>
        <v>0</v>
      </c>
      <c r="BC470" s="377">
        <f t="shared" si="209"/>
        <v>0</v>
      </c>
      <c r="BD470" s="377">
        <f t="shared" si="210"/>
        <v>0</v>
      </c>
      <c r="BE470" s="377">
        <f t="shared" si="211"/>
        <v>0</v>
      </c>
      <c r="BF470" s="377">
        <f t="shared" si="212"/>
        <v>0</v>
      </c>
      <c r="BG470" s="328"/>
    </row>
    <row r="471" spans="2:59">
      <c r="B471" s="332">
        <v>456</v>
      </c>
      <c r="C471" s="350">
        <v>7839616.003486827</v>
      </c>
      <c r="D471" s="350">
        <v>14821397.227633936</v>
      </c>
      <c r="E471" s="350">
        <v>21855754.806675844</v>
      </c>
      <c r="F471" s="350">
        <v>28943160.199690029</v>
      </c>
      <c r="G471" s="350">
        <v>36084739.196665473</v>
      </c>
      <c r="H471" s="348">
        <v>109544667.4341521</v>
      </c>
      <c r="I471" s="369"/>
      <c r="J471" s="350">
        <v>8664123.0586609617</v>
      </c>
      <c r="K471" s="350">
        <v>17249413.891895298</v>
      </c>
      <c r="L471" s="350">
        <v>25598362.154652614</v>
      </c>
      <c r="M471" s="350">
        <v>33704545.661077827</v>
      </c>
      <c r="N471" s="350">
        <v>41563431.570592642</v>
      </c>
      <c r="O471" s="348">
        <v>126779876.33687934</v>
      </c>
      <c r="P471" s="369"/>
      <c r="Q471" s="350">
        <f t="shared" si="213"/>
        <v>824507.05517413467</v>
      </c>
      <c r="R471" s="350">
        <f t="shared" si="214"/>
        <v>2428016.6642613616</v>
      </c>
      <c r="S471" s="350">
        <f t="shared" si="215"/>
        <v>3742607.3479767703</v>
      </c>
      <c r="T471" s="350">
        <f t="shared" si="216"/>
        <v>4761385.4613877982</v>
      </c>
      <c r="U471" s="350">
        <f t="shared" si="217"/>
        <v>5478692.3739271685</v>
      </c>
      <c r="V471" s="350">
        <f t="shared" si="218"/>
        <v>17235208.902727246</v>
      </c>
      <c r="W471" s="365"/>
      <c r="X471" s="377">
        <f t="shared" si="196"/>
        <v>0</v>
      </c>
      <c r="Y471" s="377">
        <f t="shared" si="197"/>
        <v>0</v>
      </c>
      <c r="Z471" s="377">
        <f t="shared" si="198"/>
        <v>0</v>
      </c>
      <c r="AA471" s="377">
        <f t="shared" si="199"/>
        <v>0</v>
      </c>
      <c r="AB471" s="377">
        <f t="shared" si="200"/>
        <v>0</v>
      </c>
      <c r="AC471" s="377">
        <f t="shared" si="201"/>
        <v>0</v>
      </c>
      <c r="AD471" s="376"/>
      <c r="AE471" s="332">
        <v>456</v>
      </c>
      <c r="AF471" s="350">
        <v>7628374.8081214372</v>
      </c>
      <c r="AG471" s="350">
        <v>15316656.560016237</v>
      </c>
      <c r="AH471" s="350">
        <v>23063123.639256898</v>
      </c>
      <c r="AI471" s="350">
        <v>30868032.89660107</v>
      </c>
      <c r="AJ471" s="350">
        <v>38732509.909722105</v>
      </c>
      <c r="AK471" s="348">
        <v>115608697.81371774</v>
      </c>
      <c r="AL471" s="369"/>
      <c r="AM471" s="350">
        <v>9247152.3098500315</v>
      </c>
      <c r="AN471" s="350">
        <v>20098404.331232347</v>
      </c>
      <c r="AO471" s="350">
        <v>30674606.301562253</v>
      </c>
      <c r="AP471" s="350">
        <v>40969579.439019352</v>
      </c>
      <c r="AQ471" s="350">
        <v>50980349.43892929</v>
      </c>
      <c r="AR471" s="348">
        <v>151970091.82059327</v>
      </c>
      <c r="AS471" s="369"/>
      <c r="AT471" s="350">
        <f t="shared" si="219"/>
        <v>1618777.5017285943</v>
      </c>
      <c r="AU471" s="350">
        <f t="shared" si="202"/>
        <v>4781747.7712161094</v>
      </c>
      <c r="AV471" s="350">
        <f t="shared" si="203"/>
        <v>7611482.6623053551</v>
      </c>
      <c r="AW471" s="350">
        <f t="shared" si="204"/>
        <v>10101546.542418282</v>
      </c>
      <c r="AX471" s="350">
        <f t="shared" si="205"/>
        <v>12247839.529207185</v>
      </c>
      <c r="AY471" s="350">
        <f t="shared" si="206"/>
        <v>36361394.00687553</v>
      </c>
      <c r="AZ471" s="365"/>
      <c r="BA471" s="377">
        <f t="shared" si="207"/>
        <v>0</v>
      </c>
      <c r="BB471" s="377">
        <f t="shared" si="208"/>
        <v>0</v>
      </c>
      <c r="BC471" s="377">
        <f t="shared" si="209"/>
        <v>0</v>
      </c>
      <c r="BD471" s="377">
        <f t="shared" si="210"/>
        <v>0</v>
      </c>
      <c r="BE471" s="377">
        <f t="shared" si="211"/>
        <v>0</v>
      </c>
      <c r="BF471" s="377">
        <f t="shared" si="212"/>
        <v>0</v>
      </c>
      <c r="BG471" s="328"/>
    </row>
    <row r="472" spans="2:59">
      <c r="B472" s="332">
        <v>457</v>
      </c>
      <c r="C472" s="350">
        <v>8513079.2705957089</v>
      </c>
      <c r="D472" s="350">
        <v>16102106.326107122</v>
      </c>
      <c r="E472" s="350">
        <v>23748285.017630581</v>
      </c>
      <c r="F472" s="350">
        <v>31452125.618002467</v>
      </c>
      <c r="G472" s="350">
        <v>39214850.880037911</v>
      </c>
      <c r="H472" s="348">
        <v>119030447.11237377</v>
      </c>
      <c r="I472" s="369"/>
      <c r="J472" s="350">
        <v>9641273.2693718821</v>
      </c>
      <c r="K472" s="350">
        <v>19429274.637447197</v>
      </c>
      <c r="L472" s="350">
        <v>28963396.014601901</v>
      </c>
      <c r="M472" s="350">
        <v>38236748.951090649</v>
      </c>
      <c r="N472" s="350">
        <v>47244806.605611958</v>
      </c>
      <c r="O472" s="348">
        <v>143515499.47812358</v>
      </c>
      <c r="P472" s="369"/>
      <c r="Q472" s="350">
        <f t="shared" si="213"/>
        <v>1128193.9987761732</v>
      </c>
      <c r="R472" s="350">
        <f t="shared" si="214"/>
        <v>3327168.311340075</v>
      </c>
      <c r="S472" s="350">
        <f t="shared" si="215"/>
        <v>5215110.9969713204</v>
      </c>
      <c r="T472" s="350">
        <f t="shared" si="216"/>
        <v>6784623.3330881819</v>
      </c>
      <c r="U472" s="350">
        <f t="shared" si="217"/>
        <v>8029955.7255740464</v>
      </c>
      <c r="V472" s="350">
        <f t="shared" si="218"/>
        <v>24485052.365749806</v>
      </c>
      <c r="W472" s="365"/>
      <c r="X472" s="377">
        <f t="shared" si="196"/>
        <v>0</v>
      </c>
      <c r="Y472" s="377">
        <f t="shared" si="197"/>
        <v>0</v>
      </c>
      <c r="Z472" s="377">
        <f t="shared" si="198"/>
        <v>0</v>
      </c>
      <c r="AA472" s="377">
        <f t="shared" si="199"/>
        <v>0</v>
      </c>
      <c r="AB472" s="377">
        <f t="shared" si="200"/>
        <v>0</v>
      </c>
      <c r="AC472" s="377">
        <f t="shared" si="201"/>
        <v>0</v>
      </c>
      <c r="AD472" s="376"/>
      <c r="AE472" s="332">
        <v>457</v>
      </c>
      <c r="AF472" s="350">
        <v>6669191.8600959666</v>
      </c>
      <c r="AG472" s="350">
        <v>13390758.034751199</v>
      </c>
      <c r="AH472" s="350">
        <v>20163193.381579109</v>
      </c>
      <c r="AI472" s="350">
        <v>26986722.455222756</v>
      </c>
      <c r="AJ472" s="350">
        <v>33862329.304532111</v>
      </c>
      <c r="AK472" s="348">
        <v>101072195.03618114</v>
      </c>
      <c r="AL472" s="369"/>
      <c r="AM472" s="350">
        <v>7670745.030238647</v>
      </c>
      <c r="AN472" s="350">
        <v>16344397.646782033</v>
      </c>
      <c r="AO472" s="350">
        <v>24765194.804248385</v>
      </c>
      <c r="AP472" s="350">
        <v>32927851.638004936</v>
      </c>
      <c r="AQ472" s="350">
        <v>40829348.866965398</v>
      </c>
      <c r="AR472" s="348">
        <v>122537537.98623939</v>
      </c>
      <c r="AS472" s="369"/>
      <c r="AT472" s="350">
        <f t="shared" si="219"/>
        <v>1001553.1701426804</v>
      </c>
      <c r="AU472" s="350">
        <f t="shared" si="202"/>
        <v>2953639.612030834</v>
      </c>
      <c r="AV472" s="350">
        <f t="shared" si="203"/>
        <v>4602001.4226692766</v>
      </c>
      <c r="AW472" s="350">
        <f t="shared" si="204"/>
        <v>5941129.1827821806</v>
      </c>
      <c r="AX472" s="350">
        <f t="shared" si="205"/>
        <v>6967019.5624332875</v>
      </c>
      <c r="AY472" s="350">
        <f t="shared" si="206"/>
        <v>21465342.950058252</v>
      </c>
      <c r="AZ472" s="365"/>
      <c r="BA472" s="377">
        <f t="shared" si="207"/>
        <v>0</v>
      </c>
      <c r="BB472" s="377">
        <f t="shared" si="208"/>
        <v>0</v>
      </c>
      <c r="BC472" s="377">
        <f t="shared" si="209"/>
        <v>0</v>
      </c>
      <c r="BD472" s="377">
        <f t="shared" si="210"/>
        <v>0</v>
      </c>
      <c r="BE472" s="377">
        <f t="shared" si="211"/>
        <v>0</v>
      </c>
      <c r="BF472" s="377">
        <f t="shared" si="212"/>
        <v>0</v>
      </c>
      <c r="BG472" s="328"/>
    </row>
    <row r="473" spans="2:59">
      <c r="B473" s="332">
        <v>458</v>
      </c>
      <c r="C473" s="350">
        <v>7465642.967009048</v>
      </c>
      <c r="D473" s="350">
        <v>14159966.792628273</v>
      </c>
      <c r="E473" s="350">
        <v>20904716.984801743</v>
      </c>
      <c r="F473" s="350">
        <v>27700332.222600788</v>
      </c>
      <c r="G473" s="350">
        <v>34547886.127660736</v>
      </c>
      <c r="H473" s="348">
        <v>104778545.09470059</v>
      </c>
      <c r="I473" s="369"/>
      <c r="J473" s="350">
        <v>8555879.0735143274</v>
      </c>
      <c r="K473" s="350">
        <v>17376798.884007245</v>
      </c>
      <c r="L473" s="350">
        <v>25982588.303686425</v>
      </c>
      <c r="M473" s="350">
        <v>34366920.50121583</v>
      </c>
      <c r="N473" s="350">
        <v>42525672.63296555</v>
      </c>
      <c r="O473" s="348">
        <v>128807859.39538938</v>
      </c>
      <c r="P473" s="369"/>
      <c r="Q473" s="350">
        <f t="shared" si="213"/>
        <v>1090236.1065052794</v>
      </c>
      <c r="R473" s="350">
        <f t="shared" si="214"/>
        <v>3216832.0913789719</v>
      </c>
      <c r="S473" s="350">
        <f t="shared" si="215"/>
        <v>5077871.3188846819</v>
      </c>
      <c r="T473" s="350">
        <f t="shared" si="216"/>
        <v>6666588.2786150426</v>
      </c>
      <c r="U473" s="350">
        <f t="shared" si="217"/>
        <v>7977786.5053048134</v>
      </c>
      <c r="V473" s="350">
        <f t="shared" si="218"/>
        <v>24029314.300688788</v>
      </c>
      <c r="W473" s="365"/>
      <c r="X473" s="377">
        <f t="shared" si="196"/>
        <v>0</v>
      </c>
      <c r="Y473" s="377">
        <f t="shared" si="197"/>
        <v>0</v>
      </c>
      <c r="Z473" s="377">
        <f t="shared" si="198"/>
        <v>0</v>
      </c>
      <c r="AA473" s="377">
        <f t="shared" si="199"/>
        <v>0</v>
      </c>
      <c r="AB473" s="377">
        <f t="shared" si="200"/>
        <v>0</v>
      </c>
      <c r="AC473" s="377">
        <f t="shared" si="201"/>
        <v>0</v>
      </c>
      <c r="AD473" s="376"/>
      <c r="AE473" s="332">
        <v>458</v>
      </c>
      <c r="AF473" s="350">
        <v>7131869.2577431165</v>
      </c>
      <c r="AG473" s="350">
        <v>14319746.31549204</v>
      </c>
      <c r="AH473" s="350">
        <v>21562021.611107811</v>
      </c>
      <c r="AI473" s="350">
        <v>28858935.277786344</v>
      </c>
      <c r="AJ473" s="350">
        <v>36211539.633093014</v>
      </c>
      <c r="AK473" s="348">
        <v>108084112.09522232</v>
      </c>
      <c r="AL473" s="369"/>
      <c r="AM473" s="350">
        <v>8745366.6044255402</v>
      </c>
      <c r="AN473" s="350">
        <v>19087075.961260378</v>
      </c>
      <c r="AO473" s="350">
        <v>29174634.80849259</v>
      </c>
      <c r="AP473" s="350">
        <v>39002238.214133352</v>
      </c>
      <c r="AQ473" s="350">
        <v>48567206.819385909</v>
      </c>
      <c r="AR473" s="348">
        <v>144576522.40769777</v>
      </c>
      <c r="AS473" s="369"/>
      <c r="AT473" s="350">
        <f t="shared" si="219"/>
        <v>1613497.3466824237</v>
      </c>
      <c r="AU473" s="350">
        <f t="shared" si="202"/>
        <v>4767329.6457683388</v>
      </c>
      <c r="AV473" s="350">
        <f t="shared" si="203"/>
        <v>7612613.1973847784</v>
      </c>
      <c r="AW473" s="350">
        <f t="shared" si="204"/>
        <v>10143302.936347008</v>
      </c>
      <c r="AX473" s="350">
        <f t="shared" si="205"/>
        <v>12355667.186292894</v>
      </c>
      <c r="AY473" s="350">
        <f t="shared" si="206"/>
        <v>36492410.312475443</v>
      </c>
      <c r="AZ473" s="365"/>
      <c r="BA473" s="377">
        <f t="shared" si="207"/>
        <v>0</v>
      </c>
      <c r="BB473" s="377">
        <f t="shared" si="208"/>
        <v>0</v>
      </c>
      <c r="BC473" s="377">
        <f t="shared" si="209"/>
        <v>0</v>
      </c>
      <c r="BD473" s="377">
        <f t="shared" si="210"/>
        <v>0</v>
      </c>
      <c r="BE473" s="377">
        <f t="shared" si="211"/>
        <v>0</v>
      </c>
      <c r="BF473" s="377">
        <f t="shared" si="212"/>
        <v>0</v>
      </c>
      <c r="BG473" s="328"/>
    </row>
    <row r="474" spans="2:59">
      <c r="B474" s="332">
        <v>459</v>
      </c>
      <c r="C474" s="350">
        <v>7697285.3708598586</v>
      </c>
      <c r="D474" s="350">
        <v>14349859.235452853</v>
      </c>
      <c r="E474" s="350">
        <v>21052465.03260906</v>
      </c>
      <c r="F474" s="350">
        <v>27805611.352248076</v>
      </c>
      <c r="G474" s="350">
        <v>34610396.728682235</v>
      </c>
      <c r="H474" s="348">
        <v>105515617.71985207</v>
      </c>
      <c r="I474" s="369"/>
      <c r="J474" s="350">
        <v>8981070.2728440799</v>
      </c>
      <c r="K474" s="350">
        <v>18140825.787324149</v>
      </c>
      <c r="L474" s="350">
        <v>27094498.68040736</v>
      </c>
      <c r="M474" s="350">
        <v>35835768.025325127</v>
      </c>
      <c r="N474" s="350">
        <v>44360719.267722353</v>
      </c>
      <c r="O474" s="348">
        <v>134412882.03362307</v>
      </c>
      <c r="P474" s="369"/>
      <c r="Q474" s="350">
        <f t="shared" si="213"/>
        <v>1283784.9019842213</v>
      </c>
      <c r="R474" s="350">
        <f t="shared" si="214"/>
        <v>3790966.551871296</v>
      </c>
      <c r="S474" s="350">
        <f t="shared" si="215"/>
        <v>6042033.6477982998</v>
      </c>
      <c r="T474" s="350">
        <f t="shared" si="216"/>
        <v>8030156.6730770506</v>
      </c>
      <c r="U474" s="350">
        <f t="shared" si="217"/>
        <v>9750322.5390401185</v>
      </c>
      <c r="V474" s="350">
        <f t="shared" si="218"/>
        <v>28897264.313770995</v>
      </c>
      <c r="W474" s="365"/>
      <c r="X474" s="377">
        <f t="shared" si="196"/>
        <v>0</v>
      </c>
      <c r="Y474" s="377">
        <f t="shared" si="197"/>
        <v>0</v>
      </c>
      <c r="Z474" s="377">
        <f t="shared" si="198"/>
        <v>0</v>
      </c>
      <c r="AA474" s="377">
        <f t="shared" si="199"/>
        <v>0</v>
      </c>
      <c r="AB474" s="377">
        <f t="shared" si="200"/>
        <v>0</v>
      </c>
      <c r="AC474" s="377">
        <f t="shared" si="201"/>
        <v>0</v>
      </c>
      <c r="AD474" s="376"/>
      <c r="AE474" s="332">
        <v>459</v>
      </c>
      <c r="AF474" s="350">
        <v>7120303.8031095602</v>
      </c>
      <c r="AG474" s="350">
        <v>14296524.580713874</v>
      </c>
      <c r="AH474" s="350">
        <v>21527055.380833708</v>
      </c>
      <c r="AI474" s="350">
        <v>28812135.947251</v>
      </c>
      <c r="AJ474" s="350">
        <v>36152816.891031653</v>
      </c>
      <c r="AK474" s="348">
        <v>107908836.60293978</v>
      </c>
      <c r="AL474" s="369"/>
      <c r="AM474" s="350">
        <v>8279715.958989311</v>
      </c>
      <c r="AN474" s="350">
        <v>17717199.808523994</v>
      </c>
      <c r="AO474" s="350">
        <v>26887423.665284459</v>
      </c>
      <c r="AP474" s="350">
        <v>35784719.702978462</v>
      </c>
      <c r="AQ474" s="350">
        <v>44405955.675910823</v>
      </c>
      <c r="AR474" s="348">
        <v>133075014.81168705</v>
      </c>
      <c r="AS474" s="369"/>
      <c r="AT474" s="350">
        <f t="shared" si="219"/>
        <v>1159412.1558797508</v>
      </c>
      <c r="AU474" s="350">
        <f t="shared" si="202"/>
        <v>3420675.2278101202</v>
      </c>
      <c r="AV474" s="350">
        <f t="shared" si="203"/>
        <v>5360368.2844507508</v>
      </c>
      <c r="AW474" s="350">
        <f t="shared" si="204"/>
        <v>6972583.7557274625</v>
      </c>
      <c r="AX474" s="350">
        <f t="shared" si="205"/>
        <v>8253138.7848791704</v>
      </c>
      <c r="AY474" s="350">
        <f t="shared" si="206"/>
        <v>25166178.208747268</v>
      </c>
      <c r="AZ474" s="365"/>
      <c r="BA474" s="377">
        <f t="shared" si="207"/>
        <v>0</v>
      </c>
      <c r="BB474" s="377">
        <f t="shared" si="208"/>
        <v>0</v>
      </c>
      <c r="BC474" s="377">
        <f t="shared" si="209"/>
        <v>0</v>
      </c>
      <c r="BD474" s="377">
        <f t="shared" si="210"/>
        <v>0</v>
      </c>
      <c r="BE474" s="377">
        <f t="shared" si="211"/>
        <v>0</v>
      </c>
      <c r="BF474" s="377">
        <f t="shared" si="212"/>
        <v>0</v>
      </c>
      <c r="BG474" s="328"/>
    </row>
    <row r="475" spans="2:59">
      <c r="B475" s="332">
        <v>460</v>
      </c>
      <c r="C475" s="350">
        <v>6612326.9402399156</v>
      </c>
      <c r="D475" s="350">
        <v>12643412.271096654</v>
      </c>
      <c r="E475" s="350">
        <v>18719960.649506137</v>
      </c>
      <c r="F475" s="350">
        <v>24842337.612822741</v>
      </c>
      <c r="G475" s="350">
        <v>31011497.500303205</v>
      </c>
      <c r="H475" s="348">
        <v>93829534.973968655</v>
      </c>
      <c r="I475" s="369"/>
      <c r="J475" s="350">
        <v>7578231.8611134496</v>
      </c>
      <c r="K475" s="350">
        <v>15493140.281763442</v>
      </c>
      <c r="L475" s="350">
        <v>23211649.235143028</v>
      </c>
      <c r="M475" s="350">
        <v>30728110.885444529</v>
      </c>
      <c r="N475" s="350">
        <v>38038861.821225487</v>
      </c>
      <c r="O475" s="348">
        <v>115049994.08468994</v>
      </c>
      <c r="P475" s="369"/>
      <c r="Q475" s="350">
        <f t="shared" si="213"/>
        <v>965904.92087353393</v>
      </c>
      <c r="R475" s="350">
        <f t="shared" si="214"/>
        <v>2849728.0106667876</v>
      </c>
      <c r="S475" s="350">
        <f t="shared" si="215"/>
        <v>4491688.5856368914</v>
      </c>
      <c r="T475" s="350">
        <f t="shared" si="216"/>
        <v>5885773.2726217881</v>
      </c>
      <c r="U475" s="350">
        <f t="shared" si="217"/>
        <v>7027364.3209222816</v>
      </c>
      <c r="V475" s="350">
        <f t="shared" si="218"/>
        <v>21220459.11072129</v>
      </c>
      <c r="W475" s="365"/>
      <c r="X475" s="377">
        <f t="shared" si="196"/>
        <v>0</v>
      </c>
      <c r="Y475" s="377">
        <f t="shared" si="197"/>
        <v>0</v>
      </c>
      <c r="Z475" s="377">
        <f t="shared" si="198"/>
        <v>0</v>
      </c>
      <c r="AA475" s="377">
        <f t="shared" si="199"/>
        <v>0</v>
      </c>
      <c r="AB475" s="377">
        <f t="shared" si="200"/>
        <v>0</v>
      </c>
      <c r="AC475" s="377">
        <f t="shared" si="201"/>
        <v>0</v>
      </c>
      <c r="AD475" s="376"/>
      <c r="AE475" s="332">
        <v>460</v>
      </c>
      <c r="AF475" s="350">
        <v>4974887.7592188334</v>
      </c>
      <c r="AG475" s="350">
        <v>9988844.1705118977</v>
      </c>
      <c r="AH475" s="350">
        <v>15040746.47199259</v>
      </c>
      <c r="AI475" s="350">
        <v>20130762.17033466</v>
      </c>
      <c r="AJ475" s="350">
        <v>25259625.317381397</v>
      </c>
      <c r="AK475" s="348">
        <v>75394865.889439374</v>
      </c>
      <c r="AL475" s="369"/>
      <c r="AM475" s="350">
        <v>5970326.0277917674</v>
      </c>
      <c r="AN475" s="350">
        <v>12928584.540409654</v>
      </c>
      <c r="AO475" s="350">
        <v>19705662.902091138</v>
      </c>
      <c r="AP475" s="350">
        <v>26297548.628149875</v>
      </c>
      <c r="AQ475" s="350">
        <v>32702240.983135592</v>
      </c>
      <c r="AR475" s="348">
        <v>97604363.081578031</v>
      </c>
      <c r="AS475" s="369"/>
      <c r="AT475" s="350">
        <f t="shared" si="219"/>
        <v>995438.26857293397</v>
      </c>
      <c r="AU475" s="350">
        <f t="shared" si="202"/>
        <v>2939740.3698977567</v>
      </c>
      <c r="AV475" s="350">
        <f t="shared" si="203"/>
        <v>4664916.4300985485</v>
      </c>
      <c r="AW475" s="350">
        <f t="shared" si="204"/>
        <v>6166786.457815215</v>
      </c>
      <c r="AX475" s="350">
        <f t="shared" si="205"/>
        <v>7442615.6657541953</v>
      </c>
      <c r="AY475" s="350">
        <f t="shared" si="206"/>
        <v>22209497.192138657</v>
      </c>
      <c r="AZ475" s="365"/>
      <c r="BA475" s="377">
        <f t="shared" si="207"/>
        <v>0</v>
      </c>
      <c r="BB475" s="377">
        <f t="shared" si="208"/>
        <v>0</v>
      </c>
      <c r="BC475" s="377">
        <f t="shared" si="209"/>
        <v>0</v>
      </c>
      <c r="BD475" s="377">
        <f t="shared" si="210"/>
        <v>0</v>
      </c>
      <c r="BE475" s="377">
        <f t="shared" si="211"/>
        <v>0</v>
      </c>
      <c r="BF475" s="377">
        <f t="shared" si="212"/>
        <v>0</v>
      </c>
      <c r="BG475" s="328"/>
    </row>
    <row r="476" spans="2:59">
      <c r="B476" s="332">
        <v>461</v>
      </c>
      <c r="C476" s="350">
        <v>8671933.0252523236</v>
      </c>
      <c r="D476" s="350">
        <v>16287459.503758367</v>
      </c>
      <c r="E476" s="350">
        <v>23960300.074890375</v>
      </c>
      <c r="F476" s="350">
        <v>31691000.512208335</v>
      </c>
      <c r="G476" s="350">
        <v>39480802.509194307</v>
      </c>
      <c r="H476" s="348">
        <v>120091495.62530372</v>
      </c>
      <c r="I476" s="369"/>
      <c r="J476" s="350">
        <v>9620245.4584589284</v>
      </c>
      <c r="K476" s="350">
        <v>19081113.58180397</v>
      </c>
      <c r="L476" s="350">
        <v>28287378.047498539</v>
      </c>
      <c r="M476" s="350">
        <v>37232009.581951052</v>
      </c>
      <c r="N476" s="350">
        <v>45910083.137540177</v>
      </c>
      <c r="O476" s="348">
        <v>140130829.80725265</v>
      </c>
      <c r="P476" s="369"/>
      <c r="Q476" s="350">
        <f t="shared" si="213"/>
        <v>948312.43320660479</v>
      </c>
      <c r="R476" s="350">
        <f t="shared" si="214"/>
        <v>2793654.0780456029</v>
      </c>
      <c r="S476" s="350">
        <f t="shared" si="215"/>
        <v>4327077.972608164</v>
      </c>
      <c r="T476" s="350">
        <f t="shared" si="216"/>
        <v>5541009.0697427168</v>
      </c>
      <c r="U476" s="350">
        <f t="shared" si="217"/>
        <v>6429280.6283458695</v>
      </c>
      <c r="V476" s="350">
        <f t="shared" si="218"/>
        <v>20039334.18194893</v>
      </c>
      <c r="W476" s="365"/>
      <c r="X476" s="377">
        <f t="shared" si="196"/>
        <v>0</v>
      </c>
      <c r="Y476" s="377">
        <f t="shared" si="197"/>
        <v>0</v>
      </c>
      <c r="Z476" s="377">
        <f t="shared" si="198"/>
        <v>0</v>
      </c>
      <c r="AA476" s="377">
        <f t="shared" si="199"/>
        <v>0</v>
      </c>
      <c r="AB476" s="377">
        <f t="shared" si="200"/>
        <v>0</v>
      </c>
      <c r="AC476" s="377">
        <f t="shared" si="201"/>
        <v>0</v>
      </c>
      <c r="AD476" s="376"/>
      <c r="AE476" s="332">
        <v>461</v>
      </c>
      <c r="AF476" s="350">
        <v>5754918.3669049125</v>
      </c>
      <c r="AG476" s="350">
        <v>11555031.100853696</v>
      </c>
      <c r="AH476" s="350">
        <v>17399039.398071155</v>
      </c>
      <c r="AI476" s="350">
        <v>23287137.029206995</v>
      </c>
      <c r="AJ476" s="350">
        <v>29220173.14074244</v>
      </c>
      <c r="AK476" s="348">
        <v>87216299.035779193</v>
      </c>
      <c r="AL476" s="369"/>
      <c r="AM476" s="350">
        <v>6806370.4574351478</v>
      </c>
      <c r="AN476" s="350">
        <v>14658941.941426206</v>
      </c>
      <c r="AO476" s="350">
        <v>22298928.420236707</v>
      </c>
      <c r="AP476" s="350">
        <v>29721716.579186842</v>
      </c>
      <c r="AQ476" s="350">
        <v>36924890.638376281</v>
      </c>
      <c r="AR476" s="348">
        <v>110410848.03666119</v>
      </c>
      <c r="AS476" s="369"/>
      <c r="AT476" s="350">
        <f t="shared" si="219"/>
        <v>1051452.0905302353</v>
      </c>
      <c r="AU476" s="350">
        <f t="shared" si="202"/>
        <v>3103910.8405725099</v>
      </c>
      <c r="AV476" s="350">
        <f t="shared" si="203"/>
        <v>4899889.0221655518</v>
      </c>
      <c r="AW476" s="350">
        <f t="shared" si="204"/>
        <v>6434579.5499798469</v>
      </c>
      <c r="AX476" s="350">
        <f t="shared" si="205"/>
        <v>7704717.4976338409</v>
      </c>
      <c r="AY476" s="350">
        <f t="shared" si="206"/>
        <v>23194549.000882</v>
      </c>
      <c r="AZ476" s="365"/>
      <c r="BA476" s="377">
        <f t="shared" si="207"/>
        <v>0</v>
      </c>
      <c r="BB476" s="377">
        <f t="shared" si="208"/>
        <v>0</v>
      </c>
      <c r="BC476" s="377">
        <f t="shared" si="209"/>
        <v>0</v>
      </c>
      <c r="BD476" s="377">
        <f t="shared" si="210"/>
        <v>0</v>
      </c>
      <c r="BE476" s="377">
        <f t="shared" si="211"/>
        <v>0</v>
      </c>
      <c r="BF476" s="377">
        <f t="shared" si="212"/>
        <v>0</v>
      </c>
      <c r="BG476" s="328"/>
    </row>
    <row r="477" spans="2:59">
      <c r="B477" s="332">
        <v>462</v>
      </c>
      <c r="C477" s="350">
        <v>10838261.779735979</v>
      </c>
      <c r="D477" s="350">
        <v>20429906.835362874</v>
      </c>
      <c r="E477" s="350">
        <v>30093762.27149979</v>
      </c>
      <c r="F477" s="350">
        <v>39830493.570198059</v>
      </c>
      <c r="G477" s="350">
        <v>49641655.092581764</v>
      </c>
      <c r="H477" s="348">
        <v>150834079.54937845</v>
      </c>
      <c r="I477" s="369"/>
      <c r="J477" s="350">
        <v>12585675.113596227</v>
      </c>
      <c r="K477" s="350">
        <v>25588613.274928696</v>
      </c>
      <c r="L477" s="350">
        <v>38292186.901690975</v>
      </c>
      <c r="M477" s="350">
        <v>50687196.078798428</v>
      </c>
      <c r="N477" s="350">
        <v>62767813.037372701</v>
      </c>
      <c r="O477" s="348">
        <v>189921484.40638703</v>
      </c>
      <c r="P477" s="369"/>
      <c r="Q477" s="350">
        <f t="shared" si="213"/>
        <v>1747413.3338602483</v>
      </c>
      <c r="R477" s="350">
        <f t="shared" si="214"/>
        <v>5158706.4395658225</v>
      </c>
      <c r="S477" s="350">
        <f t="shared" si="215"/>
        <v>8198424.6301911846</v>
      </c>
      <c r="T477" s="350">
        <f t="shared" si="216"/>
        <v>10856702.508600369</v>
      </c>
      <c r="U477" s="350">
        <f t="shared" si="217"/>
        <v>13126157.944790937</v>
      </c>
      <c r="V477" s="350">
        <f t="shared" si="218"/>
        <v>39087404.857008576</v>
      </c>
      <c r="W477" s="365"/>
      <c r="X477" s="377">
        <f t="shared" si="196"/>
        <v>0</v>
      </c>
      <c r="Y477" s="377">
        <f t="shared" si="197"/>
        <v>0</v>
      </c>
      <c r="Z477" s="377">
        <f t="shared" si="198"/>
        <v>0</v>
      </c>
      <c r="AA477" s="377">
        <f t="shared" si="199"/>
        <v>0</v>
      </c>
      <c r="AB477" s="377">
        <f t="shared" si="200"/>
        <v>0</v>
      </c>
      <c r="AC477" s="377">
        <f t="shared" si="201"/>
        <v>0</v>
      </c>
      <c r="AD477" s="376"/>
      <c r="AE477" s="332">
        <v>462</v>
      </c>
      <c r="AF477" s="350">
        <v>6391362.2883101627</v>
      </c>
      <c r="AG477" s="350">
        <v>12832917.047608163</v>
      </c>
      <c r="AH477" s="350">
        <v>19323221.83771684</v>
      </c>
      <c r="AI477" s="350">
        <v>25862491.85863455</v>
      </c>
      <c r="AJ477" s="350">
        <v>32451670.165058397</v>
      </c>
      <c r="AK477" s="348">
        <v>96861663.19732812</v>
      </c>
      <c r="AL477" s="369"/>
      <c r="AM477" s="350">
        <v>7400222.2136732927</v>
      </c>
      <c r="AN477" s="350">
        <v>15808920.923888084</v>
      </c>
      <c r="AO477" s="350">
        <v>23976766.261094339</v>
      </c>
      <c r="AP477" s="350">
        <v>31898679.653483741</v>
      </c>
      <c r="AQ477" s="350">
        <v>39571817.255174935</v>
      </c>
      <c r="AR477" s="348">
        <v>118656406.3073144</v>
      </c>
      <c r="AS477" s="369"/>
      <c r="AT477" s="350">
        <f t="shared" si="219"/>
        <v>1008859.9253631299</v>
      </c>
      <c r="AU477" s="350">
        <f t="shared" si="202"/>
        <v>2976003.8762799203</v>
      </c>
      <c r="AV477" s="350">
        <f t="shared" si="203"/>
        <v>4653544.423377499</v>
      </c>
      <c r="AW477" s="350">
        <f t="shared" si="204"/>
        <v>6036187.7948491909</v>
      </c>
      <c r="AX477" s="350">
        <f t="shared" si="205"/>
        <v>7120147.0901165381</v>
      </c>
      <c r="AY477" s="350">
        <f t="shared" si="206"/>
        <v>21794743.109986275</v>
      </c>
      <c r="AZ477" s="365"/>
      <c r="BA477" s="377">
        <f t="shared" si="207"/>
        <v>0</v>
      </c>
      <c r="BB477" s="377">
        <f t="shared" si="208"/>
        <v>0</v>
      </c>
      <c r="BC477" s="377">
        <f t="shared" si="209"/>
        <v>0</v>
      </c>
      <c r="BD477" s="377">
        <f t="shared" si="210"/>
        <v>0</v>
      </c>
      <c r="BE477" s="377">
        <f t="shared" si="211"/>
        <v>0</v>
      </c>
      <c r="BF477" s="377">
        <f t="shared" si="212"/>
        <v>0</v>
      </c>
      <c r="BG477" s="328"/>
    </row>
    <row r="478" spans="2:59">
      <c r="B478" s="332">
        <v>463</v>
      </c>
      <c r="C478" s="350">
        <v>10092157.99274666</v>
      </c>
      <c r="D478" s="350">
        <v>18858967.106524415</v>
      </c>
      <c r="E478" s="350">
        <v>27691723.420856941</v>
      </c>
      <c r="F478" s="350">
        <v>36591083.742528632</v>
      </c>
      <c r="G478" s="350">
        <v>45558489.890314922</v>
      </c>
      <c r="H478" s="348">
        <v>138792422.15297157</v>
      </c>
      <c r="I478" s="369"/>
      <c r="J478" s="350">
        <v>11334922.91256246</v>
      </c>
      <c r="K478" s="350">
        <v>22523050.851584502</v>
      </c>
      <c r="L478" s="350">
        <v>33415465.169392571</v>
      </c>
      <c r="M478" s="350">
        <v>44004349.456741393</v>
      </c>
      <c r="N478" s="350">
        <v>54284500.406432778</v>
      </c>
      <c r="O478" s="348">
        <v>165562288.79671371</v>
      </c>
      <c r="P478" s="369"/>
      <c r="Q478" s="350">
        <f t="shared" si="213"/>
        <v>1242764.9198157992</v>
      </c>
      <c r="R478" s="350">
        <f t="shared" si="214"/>
        <v>3664083.7450600863</v>
      </c>
      <c r="S478" s="350">
        <f t="shared" si="215"/>
        <v>5723741.7485356294</v>
      </c>
      <c r="T478" s="350">
        <f t="shared" si="216"/>
        <v>7413265.7142127603</v>
      </c>
      <c r="U478" s="350">
        <f t="shared" si="217"/>
        <v>8726010.5161178559</v>
      </c>
      <c r="V478" s="350">
        <f t="shared" si="218"/>
        <v>26769866.643742144</v>
      </c>
      <c r="W478" s="365"/>
      <c r="X478" s="377">
        <f t="shared" si="196"/>
        <v>0</v>
      </c>
      <c r="Y478" s="377">
        <f t="shared" si="197"/>
        <v>0</v>
      </c>
      <c r="Z478" s="377">
        <f t="shared" si="198"/>
        <v>0</v>
      </c>
      <c r="AA478" s="377">
        <f t="shared" si="199"/>
        <v>0</v>
      </c>
      <c r="AB478" s="377">
        <f t="shared" si="200"/>
        <v>0</v>
      </c>
      <c r="AC478" s="377">
        <f t="shared" si="201"/>
        <v>0</v>
      </c>
      <c r="AD478" s="376"/>
      <c r="AE478" s="332">
        <v>463</v>
      </c>
      <c r="AF478" s="350">
        <v>5246519.5099912034</v>
      </c>
      <c r="AG478" s="350">
        <v>10534240.843070108</v>
      </c>
      <c r="AH478" s="350">
        <v>15861979.933901329</v>
      </c>
      <c r="AI478" s="350">
        <v>21229913.435119938</v>
      </c>
      <c r="AJ478" s="350">
        <v>26638815.478224691</v>
      </c>
      <c r="AK478" s="348">
        <v>79511469.200307265</v>
      </c>
      <c r="AL478" s="369"/>
      <c r="AM478" s="350">
        <v>6290653.5824784357</v>
      </c>
      <c r="AN478" s="350">
        <v>13617719.588240966</v>
      </c>
      <c r="AO478" s="350">
        <v>20753543.511923611</v>
      </c>
      <c r="AP478" s="350">
        <v>27693895.384496201</v>
      </c>
      <c r="AQ478" s="350">
        <v>34436659.501295142</v>
      </c>
      <c r="AR478" s="348">
        <v>102792471.56843436</v>
      </c>
      <c r="AS478" s="369"/>
      <c r="AT478" s="350">
        <f t="shared" si="219"/>
        <v>1044134.0724872323</v>
      </c>
      <c r="AU478" s="350">
        <f t="shared" si="202"/>
        <v>3083478.7451708578</v>
      </c>
      <c r="AV478" s="350">
        <f t="shared" si="203"/>
        <v>4891563.5780222826</v>
      </c>
      <c r="AW478" s="350">
        <f t="shared" si="204"/>
        <v>6463981.9493762627</v>
      </c>
      <c r="AX478" s="350">
        <f t="shared" si="205"/>
        <v>7797844.0230704509</v>
      </c>
      <c r="AY478" s="350">
        <f t="shared" si="206"/>
        <v>23281002.368127093</v>
      </c>
      <c r="AZ478" s="365"/>
      <c r="BA478" s="377">
        <f t="shared" si="207"/>
        <v>0</v>
      </c>
      <c r="BB478" s="377">
        <f t="shared" si="208"/>
        <v>0</v>
      </c>
      <c r="BC478" s="377">
        <f t="shared" si="209"/>
        <v>0</v>
      </c>
      <c r="BD478" s="377">
        <f t="shared" si="210"/>
        <v>0</v>
      </c>
      <c r="BE478" s="377">
        <f t="shared" si="211"/>
        <v>0</v>
      </c>
      <c r="BF478" s="377">
        <f t="shared" si="212"/>
        <v>0</v>
      </c>
      <c r="BG478" s="328"/>
    </row>
    <row r="479" spans="2:59">
      <c r="B479" s="332">
        <v>464</v>
      </c>
      <c r="C479" s="350">
        <v>8444220.7947224993</v>
      </c>
      <c r="D479" s="350">
        <v>15820619.943779755</v>
      </c>
      <c r="E479" s="350">
        <v>23252520.712254278</v>
      </c>
      <c r="F479" s="350">
        <v>30740463.379175182</v>
      </c>
      <c r="G479" s="350">
        <v>38285655.714617625</v>
      </c>
      <c r="H479" s="348">
        <v>116543480.54454935</v>
      </c>
      <c r="I479" s="369"/>
      <c r="J479" s="350">
        <v>9908838.4783185087</v>
      </c>
      <c r="K479" s="350">
        <v>20146082.730767094</v>
      </c>
      <c r="L479" s="350">
        <v>30143974.379275117</v>
      </c>
      <c r="M479" s="350">
        <v>39895933.15412458</v>
      </c>
      <c r="N479" s="350">
        <v>49398132.099670343</v>
      </c>
      <c r="O479" s="348">
        <v>149492960.84215564</v>
      </c>
      <c r="P479" s="369"/>
      <c r="Q479" s="350">
        <f t="shared" si="213"/>
        <v>1464617.6835960094</v>
      </c>
      <c r="R479" s="350">
        <f t="shared" si="214"/>
        <v>4325462.7869873382</v>
      </c>
      <c r="S479" s="350">
        <f t="shared" si="215"/>
        <v>6891453.6670208387</v>
      </c>
      <c r="T479" s="350">
        <f t="shared" si="216"/>
        <v>9155469.7749493979</v>
      </c>
      <c r="U479" s="350">
        <f t="shared" si="217"/>
        <v>11112476.385052718</v>
      </c>
      <c r="V479" s="350">
        <f t="shared" si="218"/>
        <v>32949480.297606289</v>
      </c>
      <c r="W479" s="365"/>
      <c r="X479" s="377">
        <f t="shared" si="196"/>
        <v>0</v>
      </c>
      <c r="Y479" s="377">
        <f t="shared" si="197"/>
        <v>0</v>
      </c>
      <c r="Z479" s="377">
        <f t="shared" si="198"/>
        <v>0</v>
      </c>
      <c r="AA479" s="377">
        <f t="shared" si="199"/>
        <v>0</v>
      </c>
      <c r="AB479" s="377">
        <f t="shared" si="200"/>
        <v>0</v>
      </c>
      <c r="AC479" s="377">
        <f t="shared" si="201"/>
        <v>0</v>
      </c>
      <c r="AD479" s="376"/>
      <c r="AE479" s="332">
        <v>464</v>
      </c>
      <c r="AF479" s="350">
        <v>5269708.7594859079</v>
      </c>
      <c r="AG479" s="350">
        <v>10580801.451237496</v>
      </c>
      <c r="AH479" s="350">
        <v>15932088.776433367</v>
      </c>
      <c r="AI479" s="350">
        <v>21323748.168500889</v>
      </c>
      <c r="AJ479" s="350">
        <v>26756557.18054593</v>
      </c>
      <c r="AK479" s="348">
        <v>79862904.33620359</v>
      </c>
      <c r="AL479" s="369"/>
      <c r="AM479" s="350">
        <v>6477218.8864527587</v>
      </c>
      <c r="AN479" s="350">
        <v>14148747.624697749</v>
      </c>
      <c r="AO479" s="350">
        <v>21632943.947893407</v>
      </c>
      <c r="AP479" s="350">
        <v>28925514.287326779</v>
      </c>
      <c r="AQ479" s="350">
        <v>36024494.374797262</v>
      </c>
      <c r="AR479" s="348">
        <v>107208919.12116796</v>
      </c>
      <c r="AS479" s="369"/>
      <c r="AT479" s="350">
        <f t="shared" si="219"/>
        <v>1207510.1269668508</v>
      </c>
      <c r="AU479" s="350">
        <f t="shared" si="202"/>
        <v>3567946.1734602526</v>
      </c>
      <c r="AV479" s="350">
        <f t="shared" si="203"/>
        <v>5700855.1714600399</v>
      </c>
      <c r="AW479" s="350">
        <f t="shared" si="204"/>
        <v>7601766.1188258901</v>
      </c>
      <c r="AX479" s="350">
        <f t="shared" si="205"/>
        <v>9267937.1942513324</v>
      </c>
      <c r="AY479" s="350">
        <f t="shared" si="206"/>
        <v>27346014.784964368</v>
      </c>
      <c r="AZ479" s="365"/>
      <c r="BA479" s="377">
        <f t="shared" si="207"/>
        <v>0</v>
      </c>
      <c r="BB479" s="377">
        <f t="shared" si="208"/>
        <v>0</v>
      </c>
      <c r="BC479" s="377">
        <f t="shared" si="209"/>
        <v>0</v>
      </c>
      <c r="BD479" s="377">
        <f t="shared" si="210"/>
        <v>0</v>
      </c>
      <c r="BE479" s="377">
        <f t="shared" si="211"/>
        <v>0</v>
      </c>
      <c r="BF479" s="377">
        <f t="shared" si="212"/>
        <v>0</v>
      </c>
      <c r="BG479" s="328"/>
    </row>
    <row r="480" spans="2:59">
      <c r="B480" s="332">
        <v>465</v>
      </c>
      <c r="C480" s="350">
        <v>10629854.328557681</v>
      </c>
      <c r="D480" s="350">
        <v>19869537.297124892</v>
      </c>
      <c r="E480" s="350">
        <v>29178726.514783867</v>
      </c>
      <c r="F480" s="350">
        <v>38558112.475297093</v>
      </c>
      <c r="G480" s="350">
        <v>48009214.010528423</v>
      </c>
      <c r="H480" s="348">
        <v>146245444.62629196</v>
      </c>
      <c r="I480" s="369"/>
      <c r="J480" s="350">
        <v>12198202.567895448</v>
      </c>
      <c r="K480" s="350">
        <v>24498047.38411713</v>
      </c>
      <c r="L480" s="350">
        <v>36495367.850357115</v>
      </c>
      <c r="M480" s="350">
        <v>48181801.325653218</v>
      </c>
      <c r="N480" s="350">
        <v>59552073.117928013</v>
      </c>
      <c r="O480" s="348">
        <v>180925492.24595094</v>
      </c>
      <c r="P480" s="369"/>
      <c r="Q480" s="350">
        <f t="shared" si="213"/>
        <v>1568348.2393377665</v>
      </c>
      <c r="R480" s="350">
        <f t="shared" si="214"/>
        <v>4628510.0869922377</v>
      </c>
      <c r="S480" s="350">
        <f t="shared" si="215"/>
        <v>7316641.3355732486</v>
      </c>
      <c r="T480" s="350">
        <f t="shared" si="216"/>
        <v>9623688.8503561243</v>
      </c>
      <c r="U480" s="350">
        <f t="shared" si="217"/>
        <v>11542859.10739959</v>
      </c>
      <c r="V480" s="350">
        <f t="shared" si="218"/>
        <v>34680047.619658977</v>
      </c>
      <c r="W480" s="365"/>
      <c r="X480" s="377">
        <f t="shared" si="196"/>
        <v>0</v>
      </c>
      <c r="Y480" s="377">
        <f t="shared" si="197"/>
        <v>0</v>
      </c>
      <c r="Z480" s="377">
        <f t="shared" si="198"/>
        <v>0</v>
      </c>
      <c r="AA480" s="377">
        <f t="shared" si="199"/>
        <v>0</v>
      </c>
      <c r="AB480" s="377">
        <f t="shared" si="200"/>
        <v>0</v>
      </c>
      <c r="AC480" s="377">
        <f t="shared" si="201"/>
        <v>0</v>
      </c>
      <c r="AD480" s="376"/>
      <c r="AE480" s="332">
        <v>465</v>
      </c>
      <c r="AF480" s="350">
        <v>8999684.5738394484</v>
      </c>
      <c r="AG480" s="350">
        <v>18070045.223685153</v>
      </c>
      <c r="AH480" s="350">
        <v>27209050.8478681</v>
      </c>
      <c r="AI480" s="350">
        <v>36417004.469752967</v>
      </c>
      <c r="AJ480" s="350">
        <v>45695234.005741127</v>
      </c>
      <c r="AK480" s="348">
        <v>136391019.1208868</v>
      </c>
      <c r="AL480" s="369"/>
      <c r="AM480" s="350">
        <v>10251344.321775323</v>
      </c>
      <c r="AN480" s="350">
        <v>21759601.268652618</v>
      </c>
      <c r="AO480" s="350">
        <v>32923653.185009621</v>
      </c>
      <c r="AP480" s="350">
        <v>43736396.704067513</v>
      </c>
      <c r="AQ480" s="350">
        <v>54193656.329783715</v>
      </c>
      <c r="AR480" s="348">
        <v>162864651.8092888</v>
      </c>
      <c r="AS480" s="369"/>
      <c r="AT480" s="350">
        <f t="shared" si="219"/>
        <v>1251659.7479358744</v>
      </c>
      <c r="AU480" s="350">
        <f t="shared" si="202"/>
        <v>3689556.0449674651</v>
      </c>
      <c r="AV480" s="350">
        <f t="shared" si="203"/>
        <v>5714602.3371415213</v>
      </c>
      <c r="AW480" s="350">
        <f t="shared" si="204"/>
        <v>7319392.234314546</v>
      </c>
      <c r="AX480" s="350">
        <f t="shared" si="205"/>
        <v>8498422.3240425885</v>
      </c>
      <c r="AY480" s="350">
        <f t="shared" si="206"/>
        <v>26473632.688401997</v>
      </c>
      <c r="AZ480" s="365"/>
      <c r="BA480" s="377">
        <f t="shared" si="207"/>
        <v>0</v>
      </c>
      <c r="BB480" s="377">
        <f t="shared" si="208"/>
        <v>0</v>
      </c>
      <c r="BC480" s="377">
        <f t="shared" si="209"/>
        <v>0</v>
      </c>
      <c r="BD480" s="377">
        <f t="shared" si="210"/>
        <v>0</v>
      </c>
      <c r="BE480" s="377">
        <f t="shared" si="211"/>
        <v>0</v>
      </c>
      <c r="BF480" s="377">
        <f t="shared" si="212"/>
        <v>0</v>
      </c>
      <c r="BG480" s="328"/>
    </row>
    <row r="481" spans="2:59">
      <c r="B481" s="332">
        <v>466</v>
      </c>
      <c r="C481" s="350">
        <v>7714736.1551698698</v>
      </c>
      <c r="D481" s="350">
        <v>14611699.99948753</v>
      </c>
      <c r="E481" s="350">
        <v>21560609.998426978</v>
      </c>
      <c r="F481" s="350">
        <v>28561924.143441923</v>
      </c>
      <c r="G481" s="350">
        <v>35616751.18026188</v>
      </c>
      <c r="H481" s="348">
        <v>108065721.47678819</v>
      </c>
      <c r="I481" s="369"/>
      <c r="J481" s="350">
        <v>8523592.4294275455</v>
      </c>
      <c r="K481" s="350">
        <v>16993534.134884857</v>
      </c>
      <c r="L481" s="350">
        <v>25220944.778753601</v>
      </c>
      <c r="M481" s="350">
        <v>33199849.965999309</v>
      </c>
      <c r="N481" s="350">
        <v>40926152.917320415</v>
      </c>
      <c r="O481" s="348">
        <v>124864074.22638573</v>
      </c>
      <c r="P481" s="369"/>
      <c r="Q481" s="350">
        <f t="shared" si="213"/>
        <v>808856.27425767574</v>
      </c>
      <c r="R481" s="350">
        <f t="shared" si="214"/>
        <v>2381834.1353973262</v>
      </c>
      <c r="S481" s="350">
        <f t="shared" si="215"/>
        <v>3660334.7803266235</v>
      </c>
      <c r="T481" s="350">
        <f t="shared" si="216"/>
        <v>4637925.822557386</v>
      </c>
      <c r="U481" s="350">
        <f t="shared" si="217"/>
        <v>5309401.7370585352</v>
      </c>
      <c r="V481" s="350">
        <f t="shared" si="218"/>
        <v>16798352.749597535</v>
      </c>
      <c r="W481" s="365"/>
      <c r="X481" s="377">
        <f t="shared" si="196"/>
        <v>0</v>
      </c>
      <c r="Y481" s="377">
        <f t="shared" si="197"/>
        <v>0</v>
      </c>
      <c r="Z481" s="377">
        <f t="shared" si="198"/>
        <v>0</v>
      </c>
      <c r="AA481" s="377">
        <f t="shared" si="199"/>
        <v>0</v>
      </c>
      <c r="AB481" s="377">
        <f t="shared" si="200"/>
        <v>0</v>
      </c>
      <c r="AC481" s="377">
        <f t="shared" si="201"/>
        <v>0</v>
      </c>
      <c r="AD481" s="376"/>
      <c r="AE481" s="332">
        <v>466</v>
      </c>
      <c r="AF481" s="350">
        <v>6050947.8320673686</v>
      </c>
      <c r="AG481" s="350">
        <v>12149414.801653424</v>
      </c>
      <c r="AH481" s="350">
        <v>18294035.295314714</v>
      </c>
      <c r="AI481" s="350">
        <v>24485013.051144119</v>
      </c>
      <c r="AJ481" s="350">
        <v>30723240.895196173</v>
      </c>
      <c r="AK481" s="348">
        <v>91702651.875375792</v>
      </c>
      <c r="AL481" s="369"/>
      <c r="AM481" s="350">
        <v>7205942.0988554358</v>
      </c>
      <c r="AN481" s="350">
        <v>15559661.257679846</v>
      </c>
      <c r="AO481" s="350">
        <v>23691341.395855088</v>
      </c>
      <c r="AP481" s="350">
        <v>31596117.90460135</v>
      </c>
      <c r="AQ481" s="350">
        <v>39271500.825246587</v>
      </c>
      <c r="AR481" s="348">
        <v>117324563.48223831</v>
      </c>
      <c r="AS481" s="369"/>
      <c r="AT481" s="350">
        <f t="shared" si="219"/>
        <v>1154994.2667880673</v>
      </c>
      <c r="AU481" s="350">
        <f t="shared" si="202"/>
        <v>3410246.4560264219</v>
      </c>
      <c r="AV481" s="350">
        <f t="shared" si="203"/>
        <v>5397306.1005403735</v>
      </c>
      <c r="AW481" s="350">
        <f t="shared" si="204"/>
        <v>7111104.8534572311</v>
      </c>
      <c r="AX481" s="350">
        <f t="shared" si="205"/>
        <v>8548259.9300504141</v>
      </c>
      <c r="AY481" s="350">
        <f t="shared" si="206"/>
        <v>25621911.606862515</v>
      </c>
      <c r="AZ481" s="365"/>
      <c r="BA481" s="377">
        <f t="shared" si="207"/>
        <v>0</v>
      </c>
      <c r="BB481" s="377">
        <f t="shared" si="208"/>
        <v>0</v>
      </c>
      <c r="BC481" s="377">
        <f t="shared" si="209"/>
        <v>0</v>
      </c>
      <c r="BD481" s="377">
        <f t="shared" si="210"/>
        <v>0</v>
      </c>
      <c r="BE481" s="377">
        <f t="shared" si="211"/>
        <v>0</v>
      </c>
      <c r="BF481" s="377">
        <f t="shared" si="212"/>
        <v>0</v>
      </c>
      <c r="BG481" s="328"/>
    </row>
    <row r="482" spans="2:59">
      <c r="B482" s="332">
        <v>467</v>
      </c>
      <c r="C482" s="350">
        <v>9618634.5788718555</v>
      </c>
      <c r="D482" s="350">
        <v>18314611.480196599</v>
      </c>
      <c r="E482" s="350">
        <v>27076115.395320635</v>
      </c>
      <c r="F482" s="350">
        <v>35903695.466320761</v>
      </c>
      <c r="G482" s="350">
        <v>44798737.326911747</v>
      </c>
      <c r="H482" s="348">
        <v>135711794.2476216</v>
      </c>
      <c r="I482" s="369"/>
      <c r="J482" s="350">
        <v>10596037.233445626</v>
      </c>
      <c r="K482" s="350">
        <v>21191858.46703513</v>
      </c>
      <c r="L482" s="350">
        <v>31490815.650847681</v>
      </c>
      <c r="M482" s="350">
        <v>41484942.385252938</v>
      </c>
      <c r="N482" s="350">
        <v>51168584.696726039</v>
      </c>
      <c r="O482" s="348">
        <v>155932238.43330741</v>
      </c>
      <c r="P482" s="369"/>
      <c r="Q482" s="350">
        <f t="shared" si="213"/>
        <v>977402.65457377024</v>
      </c>
      <c r="R482" s="350">
        <f t="shared" si="214"/>
        <v>2877246.9868385307</v>
      </c>
      <c r="S482" s="350">
        <f t="shared" si="215"/>
        <v>4414700.2555270456</v>
      </c>
      <c r="T482" s="350">
        <f t="shared" si="216"/>
        <v>5581246.9189321771</v>
      </c>
      <c r="U482" s="350">
        <f t="shared" si="217"/>
        <v>6369847.3698142916</v>
      </c>
      <c r="V482" s="350">
        <f t="shared" si="218"/>
        <v>20220444.185685813</v>
      </c>
      <c r="W482" s="365"/>
      <c r="X482" s="377">
        <f t="shared" si="196"/>
        <v>0</v>
      </c>
      <c r="Y482" s="377">
        <f t="shared" si="197"/>
        <v>0</v>
      </c>
      <c r="Z482" s="377">
        <f t="shared" si="198"/>
        <v>0</v>
      </c>
      <c r="AA482" s="377">
        <f t="shared" si="199"/>
        <v>0</v>
      </c>
      <c r="AB482" s="377">
        <f t="shared" si="200"/>
        <v>0</v>
      </c>
      <c r="AC482" s="377">
        <f t="shared" si="201"/>
        <v>0</v>
      </c>
      <c r="AD482" s="376"/>
      <c r="AE482" s="332">
        <v>467</v>
      </c>
      <c r="AF482" s="350">
        <v>5156650.2676106468</v>
      </c>
      <c r="AG482" s="350">
        <v>10353796.59964012</v>
      </c>
      <c r="AH482" s="350">
        <v>15590275.212971451</v>
      </c>
      <c r="AI482" s="350">
        <v>20866259.734302528</v>
      </c>
      <c r="AJ482" s="350">
        <v>26182511.034796149</v>
      </c>
      <c r="AK482" s="348">
        <v>78149492.849320889</v>
      </c>
      <c r="AL482" s="369"/>
      <c r="AM482" s="350">
        <v>6141697.0261203283</v>
      </c>
      <c r="AN482" s="350">
        <v>13262264.395936791</v>
      </c>
      <c r="AO482" s="350">
        <v>20193631.514445968</v>
      </c>
      <c r="AP482" s="350">
        <v>26931652.522514932</v>
      </c>
      <c r="AQ482" s="350">
        <v>33474206.228046119</v>
      </c>
      <c r="AR482" s="348">
        <v>100003451.68706414</v>
      </c>
      <c r="AS482" s="369"/>
      <c r="AT482" s="350">
        <f t="shared" si="219"/>
        <v>985046.75850968156</v>
      </c>
      <c r="AU482" s="350">
        <f t="shared" si="202"/>
        <v>2908467.796296671</v>
      </c>
      <c r="AV482" s="350">
        <f t="shared" si="203"/>
        <v>4603356.3014745172</v>
      </c>
      <c r="AW482" s="350">
        <f t="shared" si="204"/>
        <v>6065392.7882124037</v>
      </c>
      <c r="AX482" s="350">
        <f t="shared" si="205"/>
        <v>7291695.1932499707</v>
      </c>
      <c r="AY482" s="350">
        <f t="shared" si="206"/>
        <v>21853958.837743253</v>
      </c>
      <c r="AZ482" s="365"/>
      <c r="BA482" s="377">
        <f t="shared" si="207"/>
        <v>0</v>
      </c>
      <c r="BB482" s="377">
        <f t="shared" si="208"/>
        <v>0</v>
      </c>
      <c r="BC482" s="377">
        <f t="shared" si="209"/>
        <v>0</v>
      </c>
      <c r="BD482" s="377">
        <f t="shared" si="210"/>
        <v>0</v>
      </c>
      <c r="BE482" s="377">
        <f t="shared" si="211"/>
        <v>0</v>
      </c>
      <c r="BF482" s="377">
        <f t="shared" si="212"/>
        <v>0</v>
      </c>
      <c r="BG482" s="328"/>
    </row>
    <row r="483" spans="2:59">
      <c r="B483" s="332">
        <v>468</v>
      </c>
      <c r="C483" s="350">
        <v>6345871.2126364503</v>
      </c>
      <c r="D483" s="350">
        <v>11858023.414216753</v>
      </c>
      <c r="E483" s="350">
        <v>17411639.960171103</v>
      </c>
      <c r="F483" s="350">
        <v>23007133.92450149</v>
      </c>
      <c r="G483" s="350">
        <v>28645411.89996912</v>
      </c>
      <c r="H483" s="348">
        <v>87268080.411494911</v>
      </c>
      <c r="I483" s="369"/>
      <c r="J483" s="350">
        <v>7097068.2772677522</v>
      </c>
      <c r="K483" s="350">
        <v>14072287.682191715</v>
      </c>
      <c r="L483" s="350">
        <v>20867539.860409729</v>
      </c>
      <c r="M483" s="350">
        <v>27477654.578729242</v>
      </c>
      <c r="N483" s="350">
        <v>33899054.934673175</v>
      </c>
      <c r="O483" s="348">
        <v>103413605.33327161</v>
      </c>
      <c r="P483" s="369"/>
      <c r="Q483" s="350">
        <f t="shared" si="213"/>
        <v>751197.06463130191</v>
      </c>
      <c r="R483" s="350">
        <f t="shared" si="214"/>
        <v>2214264.2679749615</v>
      </c>
      <c r="S483" s="350">
        <f t="shared" si="215"/>
        <v>3455899.9002386257</v>
      </c>
      <c r="T483" s="350">
        <f t="shared" si="216"/>
        <v>4470520.6542277522</v>
      </c>
      <c r="U483" s="350">
        <f t="shared" si="217"/>
        <v>5253643.0347040556</v>
      </c>
      <c r="V483" s="350">
        <f t="shared" si="218"/>
        <v>16145524.921776697</v>
      </c>
      <c r="W483" s="365"/>
      <c r="X483" s="377">
        <f t="shared" si="196"/>
        <v>0</v>
      </c>
      <c r="Y483" s="377">
        <f t="shared" si="197"/>
        <v>0</v>
      </c>
      <c r="Z483" s="377">
        <f t="shared" si="198"/>
        <v>0</v>
      </c>
      <c r="AA483" s="377">
        <f t="shared" si="199"/>
        <v>0</v>
      </c>
      <c r="AB483" s="377">
        <f t="shared" si="200"/>
        <v>0</v>
      </c>
      <c r="AC483" s="377">
        <f t="shared" si="201"/>
        <v>0</v>
      </c>
      <c r="AD483" s="376"/>
      <c r="AE483" s="332">
        <v>468</v>
      </c>
      <c r="AF483" s="350">
        <v>8400219.9575198945</v>
      </c>
      <c r="AG483" s="350">
        <v>16866408.291966319</v>
      </c>
      <c r="AH483" s="350">
        <v>25396669.192365475</v>
      </c>
      <c r="AI483" s="350">
        <v>33991285.497842968</v>
      </c>
      <c r="AJ483" s="350">
        <v>42651496.672933951</v>
      </c>
      <c r="AK483" s="348">
        <v>127306079.61262861</v>
      </c>
      <c r="AL483" s="369"/>
      <c r="AM483" s="350">
        <v>10225638.26674135</v>
      </c>
      <c r="AN483" s="350">
        <v>22259062.404254094</v>
      </c>
      <c r="AO483" s="350">
        <v>33990890.122042924</v>
      </c>
      <c r="AP483" s="350">
        <v>45414305.344113767</v>
      </c>
      <c r="AQ483" s="350">
        <v>56526076.221845172</v>
      </c>
      <c r="AR483" s="348">
        <v>168415972.35899732</v>
      </c>
      <c r="AS483" s="369"/>
      <c r="AT483" s="350">
        <f t="shared" si="219"/>
        <v>1825418.3092214558</v>
      </c>
      <c r="AU483" s="350">
        <f t="shared" si="202"/>
        <v>5392654.1122877747</v>
      </c>
      <c r="AV483" s="350">
        <f t="shared" si="203"/>
        <v>8594220.9296774492</v>
      </c>
      <c r="AW483" s="350">
        <f t="shared" si="204"/>
        <v>11423019.8462708</v>
      </c>
      <c r="AX483" s="350">
        <f t="shared" si="205"/>
        <v>13874579.548911221</v>
      </c>
      <c r="AY483" s="350">
        <f t="shared" si="206"/>
        <v>41109892.746368706</v>
      </c>
      <c r="AZ483" s="365"/>
      <c r="BA483" s="377">
        <f t="shared" si="207"/>
        <v>0</v>
      </c>
      <c r="BB483" s="377">
        <f t="shared" si="208"/>
        <v>0</v>
      </c>
      <c r="BC483" s="377">
        <f t="shared" si="209"/>
        <v>0</v>
      </c>
      <c r="BD483" s="377">
        <f t="shared" si="210"/>
        <v>0</v>
      </c>
      <c r="BE483" s="377">
        <f t="shared" si="211"/>
        <v>0</v>
      </c>
      <c r="BF483" s="377">
        <f t="shared" si="212"/>
        <v>0</v>
      </c>
      <c r="BG483" s="328"/>
    </row>
    <row r="484" spans="2:59">
      <c r="B484" s="332">
        <v>469</v>
      </c>
      <c r="C484" s="350">
        <v>7403281.1552708643</v>
      </c>
      <c r="D484" s="350">
        <v>13886925.749115456</v>
      </c>
      <c r="E484" s="350">
        <v>20419360.129328385</v>
      </c>
      <c r="F484" s="350">
        <v>27001054.23785061</v>
      </c>
      <c r="G484" s="350">
        <v>33633067.517318957</v>
      </c>
      <c r="H484" s="348">
        <v>102343688.78888428</v>
      </c>
      <c r="I484" s="369"/>
      <c r="J484" s="350">
        <v>8594082.9884254243</v>
      </c>
      <c r="K484" s="350">
        <v>17402523.04840922</v>
      </c>
      <c r="L484" s="350">
        <v>26008094.550460838</v>
      </c>
      <c r="M484" s="350">
        <v>34404615.688201584</v>
      </c>
      <c r="N484" s="350">
        <v>42588186.2206631</v>
      </c>
      <c r="O484" s="348">
        <v>128997502.49616016</v>
      </c>
      <c r="P484" s="369"/>
      <c r="Q484" s="350">
        <f t="shared" si="213"/>
        <v>1190801.8331545601</v>
      </c>
      <c r="R484" s="350">
        <f t="shared" si="214"/>
        <v>3515597.2992937639</v>
      </c>
      <c r="S484" s="350">
        <f t="shared" si="215"/>
        <v>5588734.4211324528</v>
      </c>
      <c r="T484" s="350">
        <f t="shared" si="216"/>
        <v>7403561.4503509738</v>
      </c>
      <c r="U484" s="350">
        <f t="shared" si="217"/>
        <v>8955118.7033441439</v>
      </c>
      <c r="V484" s="350">
        <f t="shared" si="218"/>
        <v>26653813.707275882</v>
      </c>
      <c r="W484" s="365"/>
      <c r="X484" s="377">
        <f t="shared" si="196"/>
        <v>0</v>
      </c>
      <c r="Y484" s="377">
        <f t="shared" si="197"/>
        <v>0</v>
      </c>
      <c r="Z484" s="377">
        <f t="shared" si="198"/>
        <v>0</v>
      </c>
      <c r="AA484" s="377">
        <f t="shared" si="199"/>
        <v>0</v>
      </c>
      <c r="AB484" s="377">
        <f t="shared" si="200"/>
        <v>0</v>
      </c>
      <c r="AC484" s="377">
        <f t="shared" si="201"/>
        <v>0</v>
      </c>
      <c r="AD484" s="376"/>
      <c r="AE484" s="332">
        <v>469</v>
      </c>
      <c r="AF484" s="350">
        <v>3702200.6662502093</v>
      </c>
      <c r="AG484" s="350">
        <v>7433475.3532098671</v>
      </c>
      <c r="AH484" s="350">
        <v>11192988.5264899</v>
      </c>
      <c r="AI484" s="350">
        <v>14980864.840826083</v>
      </c>
      <c r="AJ484" s="350">
        <v>18797650.56125088</v>
      </c>
      <c r="AK484" s="348">
        <v>56107179.94802694</v>
      </c>
      <c r="AL484" s="369"/>
      <c r="AM484" s="350">
        <v>4367137.8839276945</v>
      </c>
      <c r="AN484" s="350">
        <v>9396228.3771260083</v>
      </c>
      <c r="AO484" s="350">
        <v>14288217.032614132</v>
      </c>
      <c r="AP484" s="350">
        <v>19040139.300654683</v>
      </c>
      <c r="AQ484" s="350">
        <v>23650429.46450239</v>
      </c>
      <c r="AR484" s="348">
        <v>70742152.058824912</v>
      </c>
      <c r="AS484" s="369"/>
      <c r="AT484" s="350">
        <f t="shared" si="219"/>
        <v>664937.2176774852</v>
      </c>
      <c r="AU484" s="350">
        <f t="shared" si="202"/>
        <v>1962753.0239161411</v>
      </c>
      <c r="AV484" s="350">
        <f t="shared" si="203"/>
        <v>3095228.506124232</v>
      </c>
      <c r="AW484" s="350">
        <f t="shared" si="204"/>
        <v>4059274.4598286003</v>
      </c>
      <c r="AX484" s="350">
        <f t="shared" si="205"/>
        <v>4852778.9032515101</v>
      </c>
      <c r="AY484" s="350">
        <f t="shared" si="206"/>
        <v>14634972.110797971</v>
      </c>
      <c r="AZ484" s="365"/>
      <c r="BA484" s="377">
        <f t="shared" si="207"/>
        <v>0</v>
      </c>
      <c r="BB484" s="377">
        <f t="shared" si="208"/>
        <v>0</v>
      </c>
      <c r="BC484" s="377">
        <f t="shared" si="209"/>
        <v>0</v>
      </c>
      <c r="BD484" s="377">
        <f t="shared" si="210"/>
        <v>0</v>
      </c>
      <c r="BE484" s="377">
        <f t="shared" si="211"/>
        <v>0</v>
      </c>
      <c r="BF484" s="377">
        <f t="shared" si="212"/>
        <v>0</v>
      </c>
      <c r="BG484" s="328"/>
    </row>
    <row r="485" spans="2:59">
      <c r="B485" s="332">
        <v>470</v>
      </c>
      <c r="C485" s="350">
        <v>8535398.5523459986</v>
      </c>
      <c r="D485" s="350">
        <v>15972079.048264772</v>
      </c>
      <c r="E485" s="350">
        <v>23464708.362744674</v>
      </c>
      <c r="F485" s="350">
        <v>31013836.979292631</v>
      </c>
      <c r="G485" s="350">
        <v>38620685.056988038</v>
      </c>
      <c r="H485" s="348">
        <v>117606707.99963611</v>
      </c>
      <c r="I485" s="369"/>
      <c r="J485" s="350">
        <v>9527169.3645869587</v>
      </c>
      <c r="K485" s="350">
        <v>18895043.390809581</v>
      </c>
      <c r="L485" s="350">
        <v>28014179.786599249</v>
      </c>
      <c r="M485" s="350">
        <v>36877782.1323504</v>
      </c>
      <c r="N485" s="350">
        <v>45481187.045780122</v>
      </c>
      <c r="O485" s="348">
        <v>138795361.7201263</v>
      </c>
      <c r="P485" s="369"/>
      <c r="Q485" s="350">
        <f t="shared" si="213"/>
        <v>991770.81224096008</v>
      </c>
      <c r="R485" s="350">
        <f t="shared" si="214"/>
        <v>2922964.342544809</v>
      </c>
      <c r="S485" s="350">
        <f t="shared" si="215"/>
        <v>4549471.4238545746</v>
      </c>
      <c r="T485" s="350">
        <f t="shared" si="216"/>
        <v>5863945.1530577689</v>
      </c>
      <c r="U485" s="350">
        <f t="shared" si="217"/>
        <v>6860501.9887920842</v>
      </c>
      <c r="V485" s="350">
        <f t="shared" si="218"/>
        <v>21188653.720490187</v>
      </c>
      <c r="W485" s="365"/>
      <c r="X485" s="377">
        <f t="shared" si="196"/>
        <v>0</v>
      </c>
      <c r="Y485" s="377">
        <f t="shared" si="197"/>
        <v>0</v>
      </c>
      <c r="Z485" s="377">
        <f t="shared" si="198"/>
        <v>0</v>
      </c>
      <c r="AA485" s="377">
        <f t="shared" si="199"/>
        <v>0</v>
      </c>
      <c r="AB485" s="377">
        <f t="shared" si="200"/>
        <v>0</v>
      </c>
      <c r="AC485" s="377">
        <f t="shared" si="201"/>
        <v>0</v>
      </c>
      <c r="AD485" s="376"/>
      <c r="AE485" s="332">
        <v>470</v>
      </c>
      <c r="AF485" s="350">
        <v>7349162.2094845986</v>
      </c>
      <c r="AG485" s="350">
        <v>14756038.658022607</v>
      </c>
      <c r="AH485" s="350">
        <v>22218970.743525572</v>
      </c>
      <c r="AI485" s="350">
        <v>29738205.915539313</v>
      </c>
      <c r="AJ485" s="350">
        <v>37314828.553516723</v>
      </c>
      <c r="AK485" s="348">
        <v>111377206.08008882</v>
      </c>
      <c r="AL485" s="369"/>
      <c r="AM485" s="350">
        <v>8685909.1179096419</v>
      </c>
      <c r="AN485" s="350">
        <v>18702064.540653102</v>
      </c>
      <c r="AO485" s="350">
        <v>28446564.910198979</v>
      </c>
      <c r="AP485" s="350">
        <v>37913520.610092849</v>
      </c>
      <c r="AQ485" s="350">
        <v>47099840.57643529</v>
      </c>
      <c r="AR485" s="348">
        <v>140847899.75528985</v>
      </c>
      <c r="AS485" s="369"/>
      <c r="AT485" s="350">
        <f t="shared" si="219"/>
        <v>1336746.9084250433</v>
      </c>
      <c r="AU485" s="350">
        <f t="shared" si="202"/>
        <v>3946025.8826304954</v>
      </c>
      <c r="AV485" s="350">
        <f t="shared" si="203"/>
        <v>6227594.166673407</v>
      </c>
      <c r="AW485" s="350">
        <f t="shared" si="204"/>
        <v>8175314.6945535354</v>
      </c>
      <c r="AX485" s="350">
        <f t="shared" si="205"/>
        <v>9785012.0229185671</v>
      </c>
      <c r="AY485" s="350">
        <f t="shared" si="206"/>
        <v>29470693.675201029</v>
      </c>
      <c r="AZ485" s="365"/>
      <c r="BA485" s="377">
        <f t="shared" si="207"/>
        <v>0</v>
      </c>
      <c r="BB485" s="377">
        <f t="shared" si="208"/>
        <v>0</v>
      </c>
      <c r="BC485" s="377">
        <f t="shared" si="209"/>
        <v>0</v>
      </c>
      <c r="BD485" s="377">
        <f t="shared" si="210"/>
        <v>0</v>
      </c>
      <c r="BE485" s="377">
        <f t="shared" si="211"/>
        <v>0</v>
      </c>
      <c r="BF485" s="377">
        <f t="shared" si="212"/>
        <v>0</v>
      </c>
      <c r="BG485" s="328"/>
    </row>
    <row r="486" spans="2:59">
      <c r="B486" s="332">
        <v>471</v>
      </c>
      <c r="C486" s="350">
        <v>5626012.8947577672</v>
      </c>
      <c r="D486" s="350">
        <v>10523242.338125227</v>
      </c>
      <c r="E486" s="350">
        <v>15457313.888516087</v>
      </c>
      <c r="F486" s="350">
        <v>20428591.423669666</v>
      </c>
      <c r="G486" s="350">
        <v>25437879.043788694</v>
      </c>
      <c r="H486" s="348">
        <v>77473039.588857442</v>
      </c>
      <c r="I486" s="369"/>
      <c r="J486" s="350">
        <v>6575193.2708459506</v>
      </c>
      <c r="K486" s="350">
        <v>13326164.482336957</v>
      </c>
      <c r="L486" s="350">
        <v>19926167.079485077</v>
      </c>
      <c r="M486" s="350">
        <v>26370491.40808351</v>
      </c>
      <c r="N486" s="350">
        <v>32656209.253826316</v>
      </c>
      <c r="O486" s="348">
        <v>98854225.49457781</v>
      </c>
      <c r="P486" s="369"/>
      <c r="Q486" s="350">
        <f t="shared" si="213"/>
        <v>949180.37608818337</v>
      </c>
      <c r="R486" s="350">
        <f t="shared" si="214"/>
        <v>2802922.14421173</v>
      </c>
      <c r="S486" s="350">
        <f t="shared" si="215"/>
        <v>4468853.1909689903</v>
      </c>
      <c r="T486" s="350">
        <f t="shared" si="216"/>
        <v>5941899.9844138436</v>
      </c>
      <c r="U486" s="350">
        <f t="shared" si="217"/>
        <v>7218330.2100376226</v>
      </c>
      <c r="V486" s="350">
        <f t="shared" si="218"/>
        <v>21381185.905720368</v>
      </c>
      <c r="W486" s="365"/>
      <c r="X486" s="377">
        <f t="shared" si="196"/>
        <v>0</v>
      </c>
      <c r="Y486" s="377">
        <f t="shared" si="197"/>
        <v>0</v>
      </c>
      <c r="Z486" s="377">
        <f t="shared" si="198"/>
        <v>0</v>
      </c>
      <c r="AA486" s="377">
        <f t="shared" si="199"/>
        <v>0</v>
      </c>
      <c r="AB486" s="377">
        <f t="shared" si="200"/>
        <v>0</v>
      </c>
      <c r="AC486" s="377">
        <f t="shared" si="201"/>
        <v>0</v>
      </c>
      <c r="AD486" s="376"/>
      <c r="AE486" s="332">
        <v>471</v>
      </c>
      <c r="AF486" s="350">
        <v>5480557.9195681103</v>
      </c>
      <c r="AG486" s="350">
        <v>11004155.606241617</v>
      </c>
      <c r="AH486" s="350">
        <v>16569556.175522376</v>
      </c>
      <c r="AI486" s="350">
        <v>22176944.16022234</v>
      </c>
      <c r="AJ486" s="350">
        <v>27827128.224544175</v>
      </c>
      <c r="AK486" s="348">
        <v>83058342.086098611</v>
      </c>
      <c r="AL486" s="369"/>
      <c r="AM486" s="350">
        <v>6236000.199903843</v>
      </c>
      <c r="AN486" s="350">
        <v>13230874.175616765</v>
      </c>
      <c r="AO486" s="350">
        <v>20015933.673679709</v>
      </c>
      <c r="AP486" s="350">
        <v>26586854.859728813</v>
      </c>
      <c r="AQ486" s="350">
        <v>32941088.102320813</v>
      </c>
      <c r="AR486" s="348">
        <v>99010751.011249945</v>
      </c>
      <c r="AS486" s="369"/>
      <c r="AT486" s="350">
        <f t="shared" si="219"/>
        <v>755442.28033573274</v>
      </c>
      <c r="AU486" s="350">
        <f t="shared" si="202"/>
        <v>2226718.569375148</v>
      </c>
      <c r="AV486" s="350">
        <f t="shared" si="203"/>
        <v>3446377.4981573336</v>
      </c>
      <c r="AW486" s="350">
        <f t="shared" si="204"/>
        <v>4409910.6995064728</v>
      </c>
      <c r="AX486" s="350">
        <f t="shared" si="205"/>
        <v>5113959.8777766377</v>
      </c>
      <c r="AY486" s="350">
        <f t="shared" si="206"/>
        <v>15952408.925151333</v>
      </c>
      <c r="AZ486" s="365"/>
      <c r="BA486" s="377">
        <f t="shared" si="207"/>
        <v>0</v>
      </c>
      <c r="BB486" s="377">
        <f t="shared" si="208"/>
        <v>0</v>
      </c>
      <c r="BC486" s="377">
        <f t="shared" si="209"/>
        <v>0</v>
      </c>
      <c r="BD486" s="377">
        <f t="shared" si="210"/>
        <v>0</v>
      </c>
      <c r="BE486" s="377">
        <f t="shared" si="211"/>
        <v>0</v>
      </c>
      <c r="BF486" s="377">
        <f t="shared" si="212"/>
        <v>0</v>
      </c>
      <c r="BG486" s="328"/>
    </row>
    <row r="487" spans="2:59">
      <c r="B487" s="332">
        <v>472</v>
      </c>
      <c r="C487" s="350">
        <v>9188686.1974326055</v>
      </c>
      <c r="D487" s="350">
        <v>17381119.991637897</v>
      </c>
      <c r="E487" s="350">
        <v>25635249.93791705</v>
      </c>
      <c r="F487" s="350">
        <v>33951626.549065322</v>
      </c>
      <c r="G487" s="350">
        <v>42331569.655015364</v>
      </c>
      <c r="H487" s="348">
        <v>128488252.33106823</v>
      </c>
      <c r="I487" s="369"/>
      <c r="J487" s="350">
        <v>10580017.236326007</v>
      </c>
      <c r="K487" s="350">
        <v>21487210.113363259</v>
      </c>
      <c r="L487" s="350">
        <v>32128485.74540326</v>
      </c>
      <c r="M487" s="350">
        <v>42496261.890616864</v>
      </c>
      <c r="N487" s="350">
        <v>52585726.3541869</v>
      </c>
      <c r="O487" s="348">
        <v>159277701.33989629</v>
      </c>
      <c r="P487" s="369"/>
      <c r="Q487" s="350">
        <f t="shared" si="213"/>
        <v>1391331.0388934016</v>
      </c>
      <c r="R487" s="350">
        <f t="shared" si="214"/>
        <v>4106090.1217253618</v>
      </c>
      <c r="S487" s="350">
        <f t="shared" si="215"/>
        <v>6493235.80748621</v>
      </c>
      <c r="T487" s="350">
        <f t="shared" si="216"/>
        <v>8544635.3415515423</v>
      </c>
      <c r="U487" s="350">
        <f t="shared" si="217"/>
        <v>10254156.699171536</v>
      </c>
      <c r="V487" s="350">
        <f t="shared" si="218"/>
        <v>30789449.008828059</v>
      </c>
      <c r="W487" s="365"/>
      <c r="X487" s="377">
        <f t="shared" si="196"/>
        <v>0</v>
      </c>
      <c r="Y487" s="377">
        <f t="shared" si="197"/>
        <v>0</v>
      </c>
      <c r="Z487" s="377">
        <f t="shared" si="198"/>
        <v>0</v>
      </c>
      <c r="AA487" s="377">
        <f t="shared" si="199"/>
        <v>0</v>
      </c>
      <c r="AB487" s="377">
        <f t="shared" si="200"/>
        <v>0</v>
      </c>
      <c r="AC487" s="377">
        <f t="shared" si="201"/>
        <v>0</v>
      </c>
      <c r="AD487" s="376"/>
      <c r="AE487" s="332">
        <v>472</v>
      </c>
      <c r="AF487" s="350">
        <v>4876227.9982249858</v>
      </c>
      <c r="AG487" s="350">
        <v>9790749.8563957065</v>
      </c>
      <c r="AH487" s="350">
        <v>14742465.078739841</v>
      </c>
      <c r="AI487" s="350">
        <v>19731537.850013293</v>
      </c>
      <c r="AJ487" s="350">
        <v>24758687.664669745</v>
      </c>
      <c r="AK487" s="348">
        <v>73899668.44804357</v>
      </c>
      <c r="AL487" s="369"/>
      <c r="AM487" s="350">
        <v>5932719.4800767442</v>
      </c>
      <c r="AN487" s="350">
        <v>12911802.777707769</v>
      </c>
      <c r="AO487" s="350">
        <v>19715718.823391922</v>
      </c>
      <c r="AP487" s="350">
        <v>26340511.8546286</v>
      </c>
      <c r="AQ487" s="350">
        <v>32784302.639350258</v>
      </c>
      <c r="AR487" s="348">
        <v>97685055.575155288</v>
      </c>
      <c r="AS487" s="369"/>
      <c r="AT487" s="350">
        <f t="shared" si="219"/>
        <v>1056491.4818517584</v>
      </c>
      <c r="AU487" s="350">
        <f t="shared" si="202"/>
        <v>3121052.9213120621</v>
      </c>
      <c r="AV487" s="350">
        <f t="shared" si="203"/>
        <v>4973253.7446520813</v>
      </c>
      <c r="AW487" s="350">
        <f t="shared" si="204"/>
        <v>6608974.0046153069</v>
      </c>
      <c r="AX487" s="350">
        <f t="shared" si="205"/>
        <v>8025614.9746805131</v>
      </c>
      <c r="AY487" s="350">
        <f t="shared" si="206"/>
        <v>23785387.127111718</v>
      </c>
      <c r="AZ487" s="365"/>
      <c r="BA487" s="377">
        <f t="shared" si="207"/>
        <v>0</v>
      </c>
      <c r="BB487" s="377">
        <f t="shared" si="208"/>
        <v>0</v>
      </c>
      <c r="BC487" s="377">
        <f t="shared" si="209"/>
        <v>0</v>
      </c>
      <c r="BD487" s="377">
        <f t="shared" si="210"/>
        <v>0</v>
      </c>
      <c r="BE487" s="377">
        <f t="shared" si="211"/>
        <v>0</v>
      </c>
      <c r="BF487" s="377">
        <f t="shared" si="212"/>
        <v>0</v>
      </c>
      <c r="BG487" s="328"/>
    </row>
    <row r="488" spans="2:59">
      <c r="B488" s="332">
        <v>473</v>
      </c>
      <c r="C488" s="350">
        <v>8298510.5164191313</v>
      </c>
      <c r="D488" s="350">
        <v>15686446.263695067</v>
      </c>
      <c r="E488" s="350">
        <v>23130016.100327082</v>
      </c>
      <c r="F488" s="350">
        <v>30629719.652566485</v>
      </c>
      <c r="G488" s="350">
        <v>38186748.52382797</v>
      </c>
      <c r="H488" s="348">
        <v>115931441.05683574</v>
      </c>
      <c r="I488" s="369"/>
      <c r="J488" s="350">
        <v>9438338.9018640164</v>
      </c>
      <c r="K488" s="350">
        <v>19048642.925402537</v>
      </c>
      <c r="L488" s="350">
        <v>28413875.303595625</v>
      </c>
      <c r="M488" s="350">
        <v>37527313.030196339</v>
      </c>
      <c r="N488" s="350">
        <v>46384583.4358887</v>
      </c>
      <c r="O488" s="348">
        <v>140812753.59694722</v>
      </c>
      <c r="P488" s="369"/>
      <c r="Q488" s="350">
        <f t="shared" si="213"/>
        <v>1139828.3854448851</v>
      </c>
      <c r="R488" s="350">
        <f t="shared" si="214"/>
        <v>3362196.6617074702</v>
      </c>
      <c r="S488" s="350">
        <f t="shared" si="215"/>
        <v>5283859.2032685429</v>
      </c>
      <c r="T488" s="350">
        <f t="shared" si="216"/>
        <v>6897593.3776298538</v>
      </c>
      <c r="U488" s="350">
        <f t="shared" si="217"/>
        <v>8197834.9120607302</v>
      </c>
      <c r="V488" s="350">
        <f t="shared" si="218"/>
        <v>24881312.540111482</v>
      </c>
      <c r="W488" s="365"/>
      <c r="X488" s="377">
        <f t="shared" si="196"/>
        <v>0</v>
      </c>
      <c r="Y488" s="377">
        <f t="shared" si="197"/>
        <v>0</v>
      </c>
      <c r="Z488" s="377">
        <f t="shared" si="198"/>
        <v>0</v>
      </c>
      <c r="AA488" s="377">
        <f t="shared" si="199"/>
        <v>0</v>
      </c>
      <c r="AB488" s="377">
        <f t="shared" si="200"/>
        <v>0</v>
      </c>
      <c r="AC488" s="377">
        <f t="shared" si="201"/>
        <v>0</v>
      </c>
      <c r="AD488" s="376"/>
      <c r="AE488" s="332">
        <v>473</v>
      </c>
      <c r="AF488" s="350">
        <v>6679344.8081302056</v>
      </c>
      <c r="AG488" s="350">
        <v>13411143.663672652</v>
      </c>
      <c r="AH488" s="350">
        <v>20193889.132863812</v>
      </c>
      <c r="AI488" s="350">
        <v>27027806.112201001</v>
      </c>
      <c r="AJ488" s="350">
        <v>33913880.148616269</v>
      </c>
      <c r="AK488" s="348">
        <v>101226063.86548394</v>
      </c>
      <c r="AL488" s="369"/>
      <c r="AM488" s="350">
        <v>7951366.9115890171</v>
      </c>
      <c r="AN488" s="350">
        <v>17166889.325030636</v>
      </c>
      <c r="AO488" s="350">
        <v>26137226.304661907</v>
      </c>
      <c r="AP488" s="350">
        <v>34857008.872957312</v>
      </c>
      <c r="AQ488" s="350">
        <v>43323485.529809475</v>
      </c>
      <c r="AR488" s="348">
        <v>129435976.94404835</v>
      </c>
      <c r="AS488" s="369"/>
      <c r="AT488" s="350">
        <f t="shared" si="219"/>
        <v>1272022.1034588115</v>
      </c>
      <c r="AU488" s="350">
        <f t="shared" si="202"/>
        <v>3755745.6613579839</v>
      </c>
      <c r="AV488" s="350">
        <f t="shared" si="203"/>
        <v>5943337.1717980951</v>
      </c>
      <c r="AW488" s="350">
        <f t="shared" si="204"/>
        <v>7829202.7607563101</v>
      </c>
      <c r="AX488" s="350">
        <f t="shared" si="205"/>
        <v>9409605.3811932057</v>
      </c>
      <c r="AY488" s="350">
        <f t="shared" si="206"/>
        <v>28209913.078564405</v>
      </c>
      <c r="AZ488" s="365"/>
      <c r="BA488" s="377">
        <f t="shared" si="207"/>
        <v>0</v>
      </c>
      <c r="BB488" s="377">
        <f t="shared" si="208"/>
        <v>0</v>
      </c>
      <c r="BC488" s="377">
        <f t="shared" si="209"/>
        <v>0</v>
      </c>
      <c r="BD488" s="377">
        <f t="shared" si="210"/>
        <v>0</v>
      </c>
      <c r="BE488" s="377">
        <f t="shared" si="211"/>
        <v>0</v>
      </c>
      <c r="BF488" s="377">
        <f t="shared" si="212"/>
        <v>0</v>
      </c>
      <c r="BG488" s="328"/>
    </row>
    <row r="489" spans="2:59">
      <c r="B489" s="332">
        <v>474</v>
      </c>
      <c r="C489" s="350">
        <v>9970349.7098451108</v>
      </c>
      <c r="D489" s="350">
        <v>18787470.985627085</v>
      </c>
      <c r="E489" s="350">
        <v>27670969.574662238</v>
      </c>
      <c r="F489" s="350">
        <v>36621459.121356376</v>
      </c>
      <c r="G489" s="350">
        <v>45640369.299077734</v>
      </c>
      <c r="H489" s="348">
        <v>138690618.69056857</v>
      </c>
      <c r="I489" s="369"/>
      <c r="J489" s="350">
        <v>11854440.529282179</v>
      </c>
      <c r="K489" s="350">
        <v>24353405.072470509</v>
      </c>
      <c r="L489" s="350">
        <v>36578390.001279071</v>
      </c>
      <c r="M489" s="350">
        <v>48521123.225266606</v>
      </c>
      <c r="N489" s="350">
        <v>60176801.967890084</v>
      </c>
      <c r="O489" s="348">
        <v>181484160.79618844</v>
      </c>
      <c r="P489" s="369"/>
      <c r="Q489" s="350">
        <f t="shared" si="213"/>
        <v>1884090.819437068</v>
      </c>
      <c r="R489" s="350">
        <f t="shared" si="214"/>
        <v>5565934.0868434235</v>
      </c>
      <c r="S489" s="350">
        <f t="shared" si="215"/>
        <v>8907420.4266168326</v>
      </c>
      <c r="T489" s="350">
        <f t="shared" si="216"/>
        <v>11899664.10391023</v>
      </c>
      <c r="U489" s="350">
        <f t="shared" si="217"/>
        <v>14536432.668812349</v>
      </c>
      <c r="V489" s="350">
        <f t="shared" si="218"/>
        <v>42793542.105619878</v>
      </c>
      <c r="W489" s="365"/>
      <c r="X489" s="377">
        <f t="shared" si="196"/>
        <v>0</v>
      </c>
      <c r="Y489" s="377">
        <f t="shared" si="197"/>
        <v>0</v>
      </c>
      <c r="Z489" s="377">
        <f t="shared" si="198"/>
        <v>0</v>
      </c>
      <c r="AA489" s="377">
        <f t="shared" si="199"/>
        <v>0</v>
      </c>
      <c r="AB489" s="377">
        <f t="shared" si="200"/>
        <v>0</v>
      </c>
      <c r="AC489" s="377">
        <f t="shared" si="201"/>
        <v>0</v>
      </c>
      <c r="AD489" s="376"/>
      <c r="AE489" s="332">
        <v>474</v>
      </c>
      <c r="AF489" s="350">
        <v>7570607.7800433524</v>
      </c>
      <c r="AG489" s="350">
        <v>15200668.849419892</v>
      </c>
      <c r="AH489" s="350">
        <v>22888474.628904272</v>
      </c>
      <c r="AI489" s="350">
        <v>30634280.024212733</v>
      </c>
      <c r="AJ489" s="350">
        <v>38439202.089410558</v>
      </c>
      <c r="AK489" s="348">
        <v>114733233.37199081</v>
      </c>
      <c r="AL489" s="369"/>
      <c r="AM489" s="350">
        <v>9224348.5109061748</v>
      </c>
      <c r="AN489" s="350">
        <v>20086251.708695948</v>
      </c>
      <c r="AO489" s="350">
        <v>30676602.017611094</v>
      </c>
      <c r="AP489" s="350">
        <v>40989254.089556694</v>
      </c>
      <c r="AQ489" s="350">
        <v>51021303.967712015</v>
      </c>
      <c r="AR489" s="348">
        <v>151997760.29448193</v>
      </c>
      <c r="AS489" s="369"/>
      <c r="AT489" s="350">
        <f t="shared" si="219"/>
        <v>1653740.7308628224</v>
      </c>
      <c r="AU489" s="350">
        <f t="shared" si="202"/>
        <v>4885582.8592760563</v>
      </c>
      <c r="AV489" s="350">
        <f t="shared" si="203"/>
        <v>7788127.3887068219</v>
      </c>
      <c r="AW489" s="350">
        <f t="shared" si="204"/>
        <v>10354974.065343961</v>
      </c>
      <c r="AX489" s="350">
        <f t="shared" si="205"/>
        <v>12582101.878301457</v>
      </c>
      <c r="AY489" s="350">
        <f t="shared" si="206"/>
        <v>37264526.922491118</v>
      </c>
      <c r="AZ489" s="365"/>
      <c r="BA489" s="377">
        <f t="shared" si="207"/>
        <v>0</v>
      </c>
      <c r="BB489" s="377">
        <f t="shared" si="208"/>
        <v>0</v>
      </c>
      <c r="BC489" s="377">
        <f t="shared" si="209"/>
        <v>0</v>
      </c>
      <c r="BD489" s="377">
        <f t="shared" si="210"/>
        <v>0</v>
      </c>
      <c r="BE489" s="377">
        <f t="shared" si="211"/>
        <v>0</v>
      </c>
      <c r="BF489" s="377">
        <f t="shared" si="212"/>
        <v>0</v>
      </c>
      <c r="BG489" s="328"/>
    </row>
    <row r="490" spans="2:59">
      <c r="B490" s="332">
        <v>475</v>
      </c>
      <c r="C490" s="350">
        <v>8228298.9309706725</v>
      </c>
      <c r="D490" s="350">
        <v>15555157.766290653</v>
      </c>
      <c r="E490" s="350">
        <v>22937191.219311543</v>
      </c>
      <c r="F490" s="350">
        <v>30374894.366223205</v>
      </c>
      <c r="G490" s="350">
        <v>37869448.776753761</v>
      </c>
      <c r="H490" s="348">
        <v>114964991.05954984</v>
      </c>
      <c r="I490" s="369"/>
      <c r="J490" s="350">
        <v>9551919.9668558333</v>
      </c>
      <c r="K490" s="350">
        <v>19462570.327421941</v>
      </c>
      <c r="L490" s="350">
        <v>29133309.661845304</v>
      </c>
      <c r="M490" s="350">
        <v>38557512.549787521</v>
      </c>
      <c r="N490" s="350">
        <v>47731139.010158278</v>
      </c>
      <c r="O490" s="348">
        <v>144436451.51606888</v>
      </c>
      <c r="P490" s="369"/>
      <c r="Q490" s="350">
        <f t="shared" si="213"/>
        <v>1323621.0358851608</v>
      </c>
      <c r="R490" s="350">
        <f t="shared" si="214"/>
        <v>3907412.5611312874</v>
      </c>
      <c r="S490" s="350">
        <f t="shared" si="215"/>
        <v>6196118.4425337613</v>
      </c>
      <c r="T490" s="350">
        <f t="shared" si="216"/>
        <v>8182618.1835643165</v>
      </c>
      <c r="U490" s="350">
        <f t="shared" si="217"/>
        <v>9861690.2334045172</v>
      </c>
      <c r="V490" s="350">
        <f t="shared" si="218"/>
        <v>29471460.456519037</v>
      </c>
      <c r="W490" s="365"/>
      <c r="X490" s="377">
        <f t="shared" si="196"/>
        <v>0</v>
      </c>
      <c r="Y490" s="377">
        <f t="shared" si="197"/>
        <v>0</v>
      </c>
      <c r="Z490" s="377">
        <f t="shared" si="198"/>
        <v>0</v>
      </c>
      <c r="AA490" s="377">
        <f t="shared" si="199"/>
        <v>0</v>
      </c>
      <c r="AB490" s="377">
        <f t="shared" si="200"/>
        <v>0</v>
      </c>
      <c r="AC490" s="377">
        <f t="shared" si="201"/>
        <v>0</v>
      </c>
      <c r="AD490" s="376"/>
      <c r="AE490" s="332">
        <v>475</v>
      </c>
      <c r="AF490" s="350">
        <v>7098772.5127883386</v>
      </c>
      <c r="AG490" s="350">
        <v>14253292.91113295</v>
      </c>
      <c r="AH490" s="350">
        <v>21461959.102362648</v>
      </c>
      <c r="AI490" s="350">
        <v>28725010.105291296</v>
      </c>
      <c r="AJ490" s="350">
        <v>36043493.354011953</v>
      </c>
      <c r="AK490" s="348">
        <v>107582527.98558718</v>
      </c>
      <c r="AL490" s="369"/>
      <c r="AM490" s="350">
        <v>8350685.0120756049</v>
      </c>
      <c r="AN490" s="350">
        <v>17948350.822539601</v>
      </c>
      <c r="AO490" s="350">
        <v>27282440.235018652</v>
      </c>
      <c r="AP490" s="350">
        <v>36347275.408173174</v>
      </c>
      <c r="AQ490" s="350">
        <v>45139830.799893454</v>
      </c>
      <c r="AR490" s="348">
        <v>135068582.27770048</v>
      </c>
      <c r="AS490" s="369"/>
      <c r="AT490" s="350">
        <f t="shared" si="219"/>
        <v>1251912.4992872663</v>
      </c>
      <c r="AU490" s="350">
        <f t="shared" si="202"/>
        <v>3695057.9114066511</v>
      </c>
      <c r="AV490" s="350">
        <f t="shared" si="203"/>
        <v>5820481.1326560043</v>
      </c>
      <c r="AW490" s="350">
        <f t="shared" si="204"/>
        <v>7622265.3028818779</v>
      </c>
      <c r="AX490" s="350">
        <f t="shared" si="205"/>
        <v>9096337.4458815008</v>
      </c>
      <c r="AY490" s="350">
        <f t="shared" si="206"/>
        <v>27486054.292113304</v>
      </c>
      <c r="AZ490" s="365"/>
      <c r="BA490" s="377">
        <f t="shared" si="207"/>
        <v>0</v>
      </c>
      <c r="BB490" s="377">
        <f t="shared" si="208"/>
        <v>0</v>
      </c>
      <c r="BC490" s="377">
        <f t="shared" si="209"/>
        <v>0</v>
      </c>
      <c r="BD490" s="377">
        <f t="shared" si="210"/>
        <v>0</v>
      </c>
      <c r="BE490" s="377">
        <f t="shared" si="211"/>
        <v>0</v>
      </c>
      <c r="BF490" s="377">
        <f t="shared" si="212"/>
        <v>0</v>
      </c>
      <c r="BG490" s="328"/>
    </row>
    <row r="491" spans="2:59">
      <c r="B491" s="332">
        <v>476</v>
      </c>
      <c r="C491" s="350">
        <v>10363118.903743584</v>
      </c>
      <c r="D491" s="350">
        <v>19564423.395449825</v>
      </c>
      <c r="E491" s="350">
        <v>28835009.392055675</v>
      </c>
      <c r="F491" s="350">
        <v>38175506.396538079</v>
      </c>
      <c r="G491" s="350">
        <v>47587401.642975025</v>
      </c>
      <c r="H491" s="348">
        <v>144525459.73076218</v>
      </c>
      <c r="I491" s="369"/>
      <c r="J491" s="350">
        <v>11689603.932786515</v>
      </c>
      <c r="K491" s="350">
        <v>23475716.932396125</v>
      </c>
      <c r="L491" s="350">
        <v>34949942.310935773</v>
      </c>
      <c r="M491" s="350">
        <v>46104090.327125937</v>
      </c>
      <c r="N491" s="350">
        <v>56932779.655886032</v>
      </c>
      <c r="O491" s="348">
        <v>173152133.15913036</v>
      </c>
      <c r="P491" s="369"/>
      <c r="Q491" s="350">
        <f t="shared" si="213"/>
        <v>1326485.0290429313</v>
      </c>
      <c r="R491" s="350">
        <f t="shared" si="214"/>
        <v>3911293.5369463004</v>
      </c>
      <c r="S491" s="350">
        <f t="shared" si="215"/>
        <v>6114932.9188800976</v>
      </c>
      <c r="T491" s="350">
        <f t="shared" si="216"/>
        <v>7928583.930587858</v>
      </c>
      <c r="U491" s="350">
        <f t="shared" si="217"/>
        <v>9345378.0129110068</v>
      </c>
      <c r="V491" s="350">
        <f t="shared" si="218"/>
        <v>28626673.428368181</v>
      </c>
      <c r="W491" s="365"/>
      <c r="X491" s="377">
        <f t="shared" si="196"/>
        <v>0</v>
      </c>
      <c r="Y491" s="377">
        <f t="shared" si="197"/>
        <v>0</v>
      </c>
      <c r="Z491" s="377">
        <f t="shared" si="198"/>
        <v>0</v>
      </c>
      <c r="AA491" s="377">
        <f t="shared" si="199"/>
        <v>0</v>
      </c>
      <c r="AB491" s="377">
        <f t="shared" si="200"/>
        <v>0</v>
      </c>
      <c r="AC491" s="377">
        <f t="shared" si="201"/>
        <v>0</v>
      </c>
      <c r="AD491" s="376"/>
      <c r="AE491" s="332">
        <v>476</v>
      </c>
      <c r="AF491" s="350">
        <v>6431579.9567183442</v>
      </c>
      <c r="AG491" s="350">
        <v>12913668.220714774</v>
      </c>
      <c r="AH491" s="350">
        <v>19444813.275252528</v>
      </c>
      <c r="AI491" s="350">
        <v>26025231.674476668</v>
      </c>
      <c r="AJ491" s="350">
        <v>32655872.407259107</v>
      </c>
      <c r="AK491" s="348">
        <v>97471165.534421414</v>
      </c>
      <c r="AL491" s="369"/>
      <c r="AM491" s="350">
        <v>7484428.5961071551</v>
      </c>
      <c r="AN491" s="350">
        <v>16020029.16112392</v>
      </c>
      <c r="AO491" s="350">
        <v>24314388.126119703</v>
      </c>
      <c r="AP491" s="350">
        <v>32362384.316238038</v>
      </c>
      <c r="AQ491" s="350">
        <v>40161194.11164932</v>
      </c>
      <c r="AR491" s="348">
        <v>120342424.31123812</v>
      </c>
      <c r="AS491" s="369"/>
      <c r="AT491" s="350">
        <f t="shared" si="219"/>
        <v>1052848.6393888108</v>
      </c>
      <c r="AU491" s="350">
        <f t="shared" si="202"/>
        <v>3106360.9404091462</v>
      </c>
      <c r="AV491" s="350">
        <f t="shared" si="203"/>
        <v>4869574.8508671746</v>
      </c>
      <c r="AW491" s="350">
        <f t="shared" si="204"/>
        <v>6337152.64176137</v>
      </c>
      <c r="AX491" s="350">
        <f t="shared" si="205"/>
        <v>7505321.7043902129</v>
      </c>
      <c r="AY491" s="350">
        <f t="shared" si="206"/>
        <v>22871258.776816711</v>
      </c>
      <c r="AZ491" s="365"/>
      <c r="BA491" s="377">
        <f t="shared" si="207"/>
        <v>0</v>
      </c>
      <c r="BB491" s="377">
        <f t="shared" si="208"/>
        <v>0</v>
      </c>
      <c r="BC491" s="377">
        <f t="shared" si="209"/>
        <v>0</v>
      </c>
      <c r="BD491" s="377">
        <f t="shared" si="210"/>
        <v>0</v>
      </c>
      <c r="BE491" s="377">
        <f t="shared" si="211"/>
        <v>0</v>
      </c>
      <c r="BF491" s="377">
        <f t="shared" si="212"/>
        <v>0</v>
      </c>
      <c r="BG491" s="328"/>
    </row>
    <row r="492" spans="2:59">
      <c r="B492" s="332">
        <v>477</v>
      </c>
      <c r="C492" s="350">
        <v>8004742.5059913844</v>
      </c>
      <c r="D492" s="350">
        <v>14941702.693840053</v>
      </c>
      <c r="E492" s="350">
        <v>21930839.798797578</v>
      </c>
      <c r="F492" s="350">
        <v>28972678.514679447</v>
      </c>
      <c r="G492" s="350">
        <v>36068361.883438215</v>
      </c>
      <c r="H492" s="348">
        <v>109918325.39674668</v>
      </c>
      <c r="I492" s="369"/>
      <c r="J492" s="350">
        <v>8995472.1779207159</v>
      </c>
      <c r="K492" s="350">
        <v>17862838.653163813</v>
      </c>
      <c r="L492" s="350">
        <v>26501180.806759834</v>
      </c>
      <c r="M492" s="350">
        <v>34904134.491494514</v>
      </c>
      <c r="N492" s="350">
        <v>43067402.725925229</v>
      </c>
      <c r="O492" s="348">
        <v>131331028.8552641</v>
      </c>
      <c r="P492" s="369"/>
      <c r="Q492" s="350">
        <f t="shared" si="213"/>
        <v>990729.6719293315</v>
      </c>
      <c r="R492" s="350">
        <f t="shared" si="214"/>
        <v>2921135.9593237601</v>
      </c>
      <c r="S492" s="350">
        <f t="shared" si="215"/>
        <v>4570341.0079622567</v>
      </c>
      <c r="T492" s="350">
        <f t="shared" si="216"/>
        <v>5931455.9768150672</v>
      </c>
      <c r="U492" s="350">
        <f t="shared" si="217"/>
        <v>6999040.8424870148</v>
      </c>
      <c r="V492" s="350">
        <f t="shared" si="218"/>
        <v>21412703.458517417</v>
      </c>
      <c r="W492" s="365"/>
      <c r="X492" s="377">
        <f t="shared" si="196"/>
        <v>0</v>
      </c>
      <c r="Y492" s="377">
        <f t="shared" si="197"/>
        <v>0</v>
      </c>
      <c r="Z492" s="377">
        <f t="shared" si="198"/>
        <v>0</v>
      </c>
      <c r="AA492" s="377">
        <f t="shared" si="199"/>
        <v>0</v>
      </c>
      <c r="AB492" s="377">
        <f t="shared" si="200"/>
        <v>0</v>
      </c>
      <c r="AC492" s="377">
        <f t="shared" si="201"/>
        <v>0</v>
      </c>
      <c r="AD492" s="376"/>
      <c r="AE492" s="332">
        <v>477</v>
      </c>
      <c r="AF492" s="350">
        <v>5266004.2971165301</v>
      </c>
      <c r="AG492" s="350">
        <v>10573363.434716485</v>
      </c>
      <c r="AH492" s="350">
        <v>15920888.950023292</v>
      </c>
      <c r="AI492" s="350">
        <v>21308758.151733432</v>
      </c>
      <c r="AJ492" s="350">
        <v>26737748.046354022</v>
      </c>
      <c r="AK492" s="348">
        <v>79806762.879943758</v>
      </c>
      <c r="AL492" s="369"/>
      <c r="AM492" s="350">
        <v>6103939.1069597704</v>
      </c>
      <c r="AN492" s="350">
        <v>13045267.00633432</v>
      </c>
      <c r="AO492" s="350">
        <v>19788350.706190433</v>
      </c>
      <c r="AP492" s="350">
        <v>26329003.945600763</v>
      </c>
      <c r="AQ492" s="350">
        <v>32664890.403719332</v>
      </c>
      <c r="AR492" s="348">
        <v>97931451.168804616</v>
      </c>
      <c r="AS492" s="369"/>
      <c r="AT492" s="350">
        <f t="shared" si="219"/>
        <v>837934.80984324031</v>
      </c>
      <c r="AU492" s="350">
        <f t="shared" si="202"/>
        <v>2471903.5716178343</v>
      </c>
      <c r="AV492" s="350">
        <f t="shared" si="203"/>
        <v>3867461.7561671417</v>
      </c>
      <c r="AW492" s="350">
        <f t="shared" si="204"/>
        <v>5020245.793867331</v>
      </c>
      <c r="AX492" s="350">
        <f t="shared" si="205"/>
        <v>5927142.3573653102</v>
      </c>
      <c r="AY492" s="350">
        <f t="shared" si="206"/>
        <v>18124688.288860857</v>
      </c>
      <c r="AZ492" s="365"/>
      <c r="BA492" s="377">
        <f t="shared" si="207"/>
        <v>0</v>
      </c>
      <c r="BB492" s="377">
        <f t="shared" si="208"/>
        <v>0</v>
      </c>
      <c r="BC492" s="377">
        <f t="shared" si="209"/>
        <v>0</v>
      </c>
      <c r="BD492" s="377">
        <f t="shared" si="210"/>
        <v>0</v>
      </c>
      <c r="BE492" s="377">
        <f t="shared" si="211"/>
        <v>0</v>
      </c>
      <c r="BF492" s="377">
        <f t="shared" si="212"/>
        <v>0</v>
      </c>
      <c r="BG492" s="328"/>
    </row>
    <row r="493" spans="2:59">
      <c r="B493" s="332">
        <v>478</v>
      </c>
      <c r="C493" s="350">
        <v>8709183.5590361916</v>
      </c>
      <c r="D493" s="350">
        <v>16440316.973136403</v>
      </c>
      <c r="E493" s="350">
        <v>24229661.656831682</v>
      </c>
      <c r="F493" s="350">
        <v>32077747.020012036</v>
      </c>
      <c r="G493" s="350">
        <v>39985822.880974315</v>
      </c>
      <c r="H493" s="348">
        <v>121442732.08999062</v>
      </c>
      <c r="I493" s="369"/>
      <c r="J493" s="350">
        <v>10034843.293606719</v>
      </c>
      <c r="K493" s="350">
        <v>20352763.391638532</v>
      </c>
      <c r="L493" s="350">
        <v>30418281.028492019</v>
      </c>
      <c r="M493" s="350">
        <v>40224303.342062816</v>
      </c>
      <c r="N493" s="350">
        <v>49766364.91846697</v>
      </c>
      <c r="O493" s="348">
        <v>150796555.97426707</v>
      </c>
      <c r="P493" s="369"/>
      <c r="Q493" s="350">
        <f t="shared" si="213"/>
        <v>1325659.7345705274</v>
      </c>
      <c r="R493" s="350">
        <f t="shared" si="214"/>
        <v>3912446.4185021296</v>
      </c>
      <c r="S493" s="350">
        <f t="shared" si="215"/>
        <v>6188619.3716603369</v>
      </c>
      <c r="T493" s="350">
        <f t="shared" si="216"/>
        <v>8146556.3220507801</v>
      </c>
      <c r="U493" s="350">
        <f t="shared" si="217"/>
        <v>9780542.0374926552</v>
      </c>
      <c r="V493" s="350">
        <f t="shared" si="218"/>
        <v>29353823.88427645</v>
      </c>
      <c r="W493" s="365"/>
      <c r="X493" s="377">
        <f t="shared" si="196"/>
        <v>0</v>
      </c>
      <c r="Y493" s="377">
        <f t="shared" si="197"/>
        <v>0</v>
      </c>
      <c r="Z493" s="377">
        <f t="shared" si="198"/>
        <v>0</v>
      </c>
      <c r="AA493" s="377">
        <f t="shared" si="199"/>
        <v>0</v>
      </c>
      <c r="AB493" s="377">
        <f t="shared" si="200"/>
        <v>0</v>
      </c>
      <c r="AC493" s="377">
        <f t="shared" si="201"/>
        <v>0</v>
      </c>
      <c r="AD493" s="376"/>
      <c r="AE493" s="332">
        <v>478</v>
      </c>
      <c r="AF493" s="350">
        <v>6638111.9282637052</v>
      </c>
      <c r="AG493" s="350">
        <v>13328354.095018629</v>
      </c>
      <c r="AH493" s="350">
        <v>20069228.372179728</v>
      </c>
      <c r="AI493" s="350">
        <v>26860958.267914996</v>
      </c>
      <c r="AJ493" s="350">
        <v>33704523.245185763</v>
      </c>
      <c r="AK493" s="348">
        <v>100601175.90856282</v>
      </c>
      <c r="AL493" s="369"/>
      <c r="AM493" s="350">
        <v>7974771.5840755235</v>
      </c>
      <c r="AN493" s="350">
        <v>17275898.837723508</v>
      </c>
      <c r="AO493" s="350">
        <v>26335525.33243569</v>
      </c>
      <c r="AP493" s="350">
        <v>35148294.731559299</v>
      </c>
      <c r="AQ493" s="350">
        <v>43711545.935891405</v>
      </c>
      <c r="AR493" s="348">
        <v>130446036.42168543</v>
      </c>
      <c r="AS493" s="369"/>
      <c r="AT493" s="350">
        <f t="shared" si="219"/>
        <v>1336659.6558118183</v>
      </c>
      <c r="AU493" s="350">
        <f t="shared" si="202"/>
        <v>3947544.7427048795</v>
      </c>
      <c r="AV493" s="350">
        <f t="shared" si="203"/>
        <v>6266296.9602559619</v>
      </c>
      <c r="AW493" s="350">
        <f t="shared" si="204"/>
        <v>8287336.4636443034</v>
      </c>
      <c r="AX493" s="350">
        <f t="shared" si="205"/>
        <v>10007022.690705642</v>
      </c>
      <c r="AY493" s="350">
        <f t="shared" si="206"/>
        <v>29844860.513122603</v>
      </c>
      <c r="AZ493" s="365"/>
      <c r="BA493" s="377">
        <f t="shared" si="207"/>
        <v>0</v>
      </c>
      <c r="BB493" s="377">
        <f t="shared" si="208"/>
        <v>0</v>
      </c>
      <c r="BC493" s="377">
        <f t="shared" si="209"/>
        <v>0</v>
      </c>
      <c r="BD493" s="377">
        <f t="shared" si="210"/>
        <v>0</v>
      </c>
      <c r="BE493" s="377">
        <f t="shared" si="211"/>
        <v>0</v>
      </c>
      <c r="BF493" s="377">
        <f t="shared" si="212"/>
        <v>0</v>
      </c>
      <c r="BG493" s="328"/>
    </row>
    <row r="494" spans="2:59">
      <c r="B494" s="332">
        <v>479</v>
      </c>
      <c r="C494" s="350">
        <v>6862790.942178037</v>
      </c>
      <c r="D494" s="350">
        <v>13047031.029528812</v>
      </c>
      <c r="E494" s="350">
        <v>19277864.942281693</v>
      </c>
      <c r="F494" s="350">
        <v>25555689.056256812</v>
      </c>
      <c r="G494" s="350">
        <v>31881491.32436157</v>
      </c>
      <c r="H494" s="348">
        <v>96624867.294606924</v>
      </c>
      <c r="I494" s="369"/>
      <c r="J494" s="350">
        <v>7702493.6247047307</v>
      </c>
      <c r="K494" s="350">
        <v>15522097.466809157</v>
      </c>
      <c r="L494" s="350">
        <v>23128148.42721599</v>
      </c>
      <c r="M494" s="350">
        <v>30515218.903064378</v>
      </c>
      <c r="N494" s="350">
        <v>37679720.388795227</v>
      </c>
      <c r="O494" s="348">
        <v>114547678.81058949</v>
      </c>
      <c r="P494" s="369"/>
      <c r="Q494" s="350">
        <f t="shared" si="213"/>
        <v>839702.68252669368</v>
      </c>
      <c r="R494" s="350">
        <f t="shared" si="214"/>
        <v>2475066.4372803457</v>
      </c>
      <c r="S494" s="350">
        <f t="shared" si="215"/>
        <v>3850283.4849342965</v>
      </c>
      <c r="T494" s="350">
        <f t="shared" si="216"/>
        <v>4959529.8468075655</v>
      </c>
      <c r="U494" s="350">
        <f t="shared" si="217"/>
        <v>5798229.0644336566</v>
      </c>
      <c r="V494" s="350">
        <f t="shared" si="218"/>
        <v>17922811.515982568</v>
      </c>
      <c r="W494" s="365"/>
      <c r="X494" s="377">
        <f t="shared" si="196"/>
        <v>0</v>
      </c>
      <c r="Y494" s="377">
        <f t="shared" si="197"/>
        <v>0</v>
      </c>
      <c r="Z494" s="377">
        <f t="shared" si="198"/>
        <v>0</v>
      </c>
      <c r="AA494" s="377">
        <f t="shared" si="199"/>
        <v>0</v>
      </c>
      <c r="AB494" s="377">
        <f t="shared" si="200"/>
        <v>0</v>
      </c>
      <c r="AC494" s="377">
        <f t="shared" si="201"/>
        <v>0</v>
      </c>
      <c r="AD494" s="376"/>
      <c r="AE494" s="332">
        <v>479</v>
      </c>
      <c r="AF494" s="350">
        <v>6814348.8095631609</v>
      </c>
      <c r="AG494" s="350">
        <v>13682211.876259044</v>
      </c>
      <c r="AH494" s="350">
        <v>20602051.297828205</v>
      </c>
      <c r="AI494" s="350">
        <v>27574096.51641247</v>
      </c>
      <c r="AJ494" s="350">
        <v>34599352.998978458</v>
      </c>
      <c r="AK494" s="348">
        <v>103272061.49904135</v>
      </c>
      <c r="AL494" s="369"/>
      <c r="AM494" s="350">
        <v>8088865.4683814272</v>
      </c>
      <c r="AN494" s="350">
        <v>17445018.146271266</v>
      </c>
      <c r="AO494" s="350">
        <v>26550334.343174852</v>
      </c>
      <c r="AP494" s="350">
        <v>35399343.129200056</v>
      </c>
      <c r="AQ494" s="350">
        <v>43989213.878348507</v>
      </c>
      <c r="AR494" s="348">
        <v>131472774.96537611</v>
      </c>
      <c r="AS494" s="369"/>
      <c r="AT494" s="350">
        <f t="shared" si="219"/>
        <v>1274516.6588182664</v>
      </c>
      <c r="AU494" s="350">
        <f t="shared" si="202"/>
        <v>3762806.2700122222</v>
      </c>
      <c r="AV494" s="350">
        <f t="shared" si="203"/>
        <v>5948283.0453466475</v>
      </c>
      <c r="AW494" s="350">
        <f t="shared" si="204"/>
        <v>7825246.6127875857</v>
      </c>
      <c r="AX494" s="350">
        <f t="shared" si="205"/>
        <v>9389860.8793700486</v>
      </c>
      <c r="AY494" s="350">
        <f t="shared" si="206"/>
        <v>28200713.46633476</v>
      </c>
      <c r="AZ494" s="365"/>
      <c r="BA494" s="377">
        <f t="shared" si="207"/>
        <v>0</v>
      </c>
      <c r="BB494" s="377">
        <f t="shared" si="208"/>
        <v>0</v>
      </c>
      <c r="BC494" s="377">
        <f t="shared" si="209"/>
        <v>0</v>
      </c>
      <c r="BD494" s="377">
        <f t="shared" si="210"/>
        <v>0</v>
      </c>
      <c r="BE494" s="377">
        <f t="shared" si="211"/>
        <v>0</v>
      </c>
      <c r="BF494" s="377">
        <f t="shared" si="212"/>
        <v>0</v>
      </c>
      <c r="BG494" s="328"/>
    </row>
    <row r="495" spans="2:59">
      <c r="B495" s="332">
        <v>480</v>
      </c>
      <c r="C495" s="350">
        <v>9131746.5598074887</v>
      </c>
      <c r="D495" s="350">
        <v>17160567.915566221</v>
      </c>
      <c r="E495" s="350">
        <v>25249816.908756938</v>
      </c>
      <c r="F495" s="350">
        <v>33400066.108619284</v>
      </c>
      <c r="G495" s="350">
        <v>41612623.366896011</v>
      </c>
      <c r="H495" s="348">
        <v>126554820.85964593</v>
      </c>
      <c r="I495" s="369"/>
      <c r="J495" s="350">
        <v>10664050.671701096</v>
      </c>
      <c r="K495" s="350">
        <v>21685142.829949509</v>
      </c>
      <c r="L495" s="350">
        <v>32456297.252631225</v>
      </c>
      <c r="M495" s="350">
        <v>42969840.957214013</v>
      </c>
      <c r="N495" s="350">
        <v>53221006.865761377</v>
      </c>
      <c r="O495" s="348">
        <v>160996338.57725722</v>
      </c>
      <c r="P495" s="369"/>
      <c r="Q495" s="350">
        <f t="shared" si="213"/>
        <v>1532304.1118936073</v>
      </c>
      <c r="R495" s="350">
        <f t="shared" si="214"/>
        <v>4524574.9143832885</v>
      </c>
      <c r="S495" s="350">
        <f t="shared" si="215"/>
        <v>7206480.3438742869</v>
      </c>
      <c r="T495" s="350">
        <f t="shared" si="216"/>
        <v>9569774.8485947289</v>
      </c>
      <c r="U495" s="350">
        <f t="shared" si="217"/>
        <v>11608383.498865366</v>
      </c>
      <c r="V495" s="350">
        <f t="shared" si="218"/>
        <v>34441517.717611283</v>
      </c>
      <c r="W495" s="365"/>
      <c r="X495" s="377">
        <f t="shared" si="196"/>
        <v>0</v>
      </c>
      <c r="Y495" s="377">
        <f t="shared" si="197"/>
        <v>0</v>
      </c>
      <c r="Z495" s="377">
        <f t="shared" si="198"/>
        <v>0</v>
      </c>
      <c r="AA495" s="377">
        <f t="shared" si="199"/>
        <v>0</v>
      </c>
      <c r="AB495" s="377">
        <f t="shared" si="200"/>
        <v>0</v>
      </c>
      <c r="AC495" s="377">
        <f t="shared" si="201"/>
        <v>0</v>
      </c>
      <c r="AD495" s="376"/>
      <c r="AE495" s="332">
        <v>480</v>
      </c>
      <c r="AF495" s="350">
        <v>4542032.4726998452</v>
      </c>
      <c r="AG495" s="350">
        <v>9119734.3102123812</v>
      </c>
      <c r="AH495" s="350">
        <v>13732080.439974191</v>
      </c>
      <c r="AI495" s="350">
        <v>18379223.794229854</v>
      </c>
      <c r="AJ495" s="350">
        <v>23061834.556402646</v>
      </c>
      <c r="AK495" s="348">
        <v>68834905.573518917</v>
      </c>
      <c r="AL495" s="369"/>
      <c r="AM495" s="350">
        <v>5517179.9001493994</v>
      </c>
      <c r="AN495" s="350">
        <v>12000380.142058726</v>
      </c>
      <c r="AO495" s="350">
        <v>18320150.678764336</v>
      </c>
      <c r="AP495" s="350">
        <v>24472809.386209469</v>
      </c>
      <c r="AQ495" s="350">
        <v>30456596.775953915</v>
      </c>
      <c r="AR495" s="348">
        <v>90767116.883135855</v>
      </c>
      <c r="AS495" s="369"/>
      <c r="AT495" s="350">
        <f t="shared" si="219"/>
        <v>975147.4274495542</v>
      </c>
      <c r="AU495" s="350">
        <f t="shared" si="202"/>
        <v>2880645.8318463452</v>
      </c>
      <c r="AV495" s="350">
        <f t="shared" si="203"/>
        <v>4588070.2387901451</v>
      </c>
      <c r="AW495" s="350">
        <f t="shared" si="204"/>
        <v>6093585.5919796154</v>
      </c>
      <c r="AX495" s="350">
        <f t="shared" si="205"/>
        <v>7394762.219551269</v>
      </c>
      <c r="AY495" s="350">
        <f t="shared" si="206"/>
        <v>21932211.309616938</v>
      </c>
      <c r="AZ495" s="365"/>
      <c r="BA495" s="377">
        <f t="shared" si="207"/>
        <v>0</v>
      </c>
      <c r="BB495" s="377">
        <f t="shared" si="208"/>
        <v>0</v>
      </c>
      <c r="BC495" s="377">
        <f t="shared" si="209"/>
        <v>0</v>
      </c>
      <c r="BD495" s="377">
        <f t="shared" si="210"/>
        <v>0</v>
      </c>
      <c r="BE495" s="377">
        <f t="shared" si="211"/>
        <v>0</v>
      </c>
      <c r="BF495" s="377">
        <f t="shared" si="212"/>
        <v>0</v>
      </c>
      <c r="BG495" s="328"/>
    </row>
    <row r="496" spans="2:59">
      <c r="B496" s="332">
        <v>481</v>
      </c>
      <c r="C496" s="350">
        <v>10016150.447051529</v>
      </c>
      <c r="D496" s="350">
        <v>18665713.634882793</v>
      </c>
      <c r="E496" s="350">
        <v>27380325.112170525</v>
      </c>
      <c r="F496" s="350">
        <v>36160648.298699275</v>
      </c>
      <c r="G496" s="350">
        <v>45008112.429805189</v>
      </c>
      <c r="H496" s="348">
        <v>137230949.92260933</v>
      </c>
      <c r="I496" s="369"/>
      <c r="J496" s="350">
        <v>11426269.962024696</v>
      </c>
      <c r="K496" s="350">
        <v>22826396.453919508</v>
      </c>
      <c r="L496" s="350">
        <v>33944497.036418796</v>
      </c>
      <c r="M496" s="350">
        <v>44772641.641919672</v>
      </c>
      <c r="N496" s="350">
        <v>55305701.235341296</v>
      </c>
      <c r="O496" s="348">
        <v>168275506.32962397</v>
      </c>
      <c r="P496" s="369"/>
      <c r="Q496" s="350">
        <f t="shared" si="213"/>
        <v>1410119.5149731673</v>
      </c>
      <c r="R496" s="350">
        <f t="shared" si="214"/>
        <v>4160682.8190367147</v>
      </c>
      <c r="S496" s="350">
        <f t="shared" si="215"/>
        <v>6564171.9242482707</v>
      </c>
      <c r="T496" s="350">
        <f t="shared" si="216"/>
        <v>8611993.3432203978</v>
      </c>
      <c r="U496" s="350">
        <f t="shared" si="217"/>
        <v>10297588.805536106</v>
      </c>
      <c r="V496" s="350">
        <f t="shared" si="218"/>
        <v>31044556.407014638</v>
      </c>
      <c r="W496" s="365"/>
      <c r="X496" s="377">
        <f t="shared" si="196"/>
        <v>0</v>
      </c>
      <c r="Y496" s="377">
        <f t="shared" si="197"/>
        <v>0</v>
      </c>
      <c r="Z496" s="377">
        <f t="shared" si="198"/>
        <v>0</v>
      </c>
      <c r="AA496" s="377">
        <f t="shared" si="199"/>
        <v>0</v>
      </c>
      <c r="AB496" s="377">
        <f t="shared" si="200"/>
        <v>0</v>
      </c>
      <c r="AC496" s="377">
        <f t="shared" si="201"/>
        <v>0</v>
      </c>
      <c r="AD496" s="376"/>
      <c r="AE496" s="332">
        <v>481</v>
      </c>
      <c r="AF496" s="350">
        <v>5856264.0128563773</v>
      </c>
      <c r="AG496" s="350">
        <v>11758518.27760319</v>
      </c>
      <c r="AH496" s="350">
        <v>17705441.118184671</v>
      </c>
      <c r="AI496" s="350">
        <v>23697229.717603296</v>
      </c>
      <c r="AJ496" s="350">
        <v>29734748.176036097</v>
      </c>
      <c r="AK496" s="348">
        <v>88752201.30228363</v>
      </c>
      <c r="AL496" s="369"/>
      <c r="AM496" s="350">
        <v>7048960.5951511357</v>
      </c>
      <c r="AN496" s="350">
        <v>15281065.439502077</v>
      </c>
      <c r="AO496" s="350">
        <v>23300517.346592408</v>
      </c>
      <c r="AP496" s="350">
        <v>31102587.047971003</v>
      </c>
      <c r="AQ496" s="350">
        <v>38684940.516044289</v>
      </c>
      <c r="AR496" s="348">
        <v>115418070.94526091</v>
      </c>
      <c r="AS496" s="369"/>
      <c r="AT496" s="350">
        <f t="shared" si="219"/>
        <v>1192696.5822947584</v>
      </c>
      <c r="AU496" s="350">
        <f t="shared" si="202"/>
        <v>3522547.1618988868</v>
      </c>
      <c r="AV496" s="350">
        <f t="shared" si="203"/>
        <v>5595076.2284077369</v>
      </c>
      <c r="AW496" s="350">
        <f t="shared" si="204"/>
        <v>7405357.3303677067</v>
      </c>
      <c r="AX496" s="350">
        <f t="shared" si="205"/>
        <v>8950192.3400081918</v>
      </c>
      <c r="AY496" s="350">
        <f t="shared" si="206"/>
        <v>26665869.642977282</v>
      </c>
      <c r="AZ496" s="365"/>
      <c r="BA496" s="377">
        <f t="shared" si="207"/>
        <v>0</v>
      </c>
      <c r="BB496" s="377">
        <f t="shared" si="208"/>
        <v>0</v>
      </c>
      <c r="BC496" s="377">
        <f t="shared" si="209"/>
        <v>0</v>
      </c>
      <c r="BD496" s="377">
        <f t="shared" si="210"/>
        <v>0</v>
      </c>
      <c r="BE496" s="377">
        <f t="shared" si="211"/>
        <v>0</v>
      </c>
      <c r="BF496" s="377">
        <f t="shared" si="212"/>
        <v>0</v>
      </c>
      <c r="BG496" s="328"/>
    </row>
    <row r="497" spans="2:59">
      <c r="B497" s="332">
        <v>482</v>
      </c>
      <c r="C497" s="350">
        <v>7653788.2414230965</v>
      </c>
      <c r="D497" s="350">
        <v>14278433.413989373</v>
      </c>
      <c r="E497" s="350">
        <v>20952903.689537294</v>
      </c>
      <c r="F497" s="350">
        <v>27677702.60275032</v>
      </c>
      <c r="G497" s="350">
        <v>34453922.805574454</v>
      </c>
      <c r="H497" s="348">
        <v>105016750.75327453</v>
      </c>
      <c r="I497" s="369"/>
      <c r="J497" s="350">
        <v>8706819.2707913499</v>
      </c>
      <c r="K497" s="350">
        <v>17385092.180981223</v>
      </c>
      <c r="L497" s="350">
        <v>25847419.132915322</v>
      </c>
      <c r="M497" s="350">
        <v>34087699.763774648</v>
      </c>
      <c r="N497" s="350">
        <v>42101945.388242163</v>
      </c>
      <c r="O497" s="348">
        <v>128128975.73670471</v>
      </c>
      <c r="P497" s="369"/>
      <c r="Q497" s="350">
        <f t="shared" si="213"/>
        <v>1053031.0293682534</v>
      </c>
      <c r="R497" s="350">
        <f t="shared" si="214"/>
        <v>3106658.76699185</v>
      </c>
      <c r="S497" s="350">
        <f t="shared" si="215"/>
        <v>4894515.4433780275</v>
      </c>
      <c r="T497" s="350">
        <f t="shared" si="216"/>
        <v>6409997.1610243283</v>
      </c>
      <c r="U497" s="350">
        <f t="shared" si="217"/>
        <v>7648022.5826677084</v>
      </c>
      <c r="V497" s="350">
        <f t="shared" si="218"/>
        <v>23112224.983430177</v>
      </c>
      <c r="W497" s="365"/>
      <c r="X497" s="377">
        <f t="shared" si="196"/>
        <v>0</v>
      </c>
      <c r="Y497" s="377">
        <f t="shared" si="197"/>
        <v>0</v>
      </c>
      <c r="Z497" s="377">
        <f t="shared" si="198"/>
        <v>0</v>
      </c>
      <c r="AA497" s="377">
        <f t="shared" si="199"/>
        <v>0</v>
      </c>
      <c r="AB497" s="377">
        <f t="shared" si="200"/>
        <v>0</v>
      </c>
      <c r="AC497" s="377">
        <f t="shared" si="201"/>
        <v>0</v>
      </c>
      <c r="AD497" s="376"/>
      <c r="AE497" s="332">
        <v>482</v>
      </c>
      <c r="AF497" s="350">
        <v>8621739.3156086616</v>
      </c>
      <c r="AG497" s="350">
        <v>17311186.63788984</v>
      </c>
      <c r="AH497" s="350">
        <v>26066396.162080038</v>
      </c>
      <c r="AI497" s="350">
        <v>34887658.185959741</v>
      </c>
      <c r="AJ497" s="350">
        <v>43776244.859563947</v>
      </c>
      <c r="AK497" s="348">
        <v>130663225.16110224</v>
      </c>
      <c r="AL497" s="369"/>
      <c r="AM497" s="350">
        <v>9857241.4650152735</v>
      </c>
      <c r="AN497" s="350">
        <v>20953768.853522521</v>
      </c>
      <c r="AO497" s="350">
        <v>31721636.617167532</v>
      </c>
      <c r="AP497" s="350">
        <v>42154029.400762089</v>
      </c>
      <c r="AQ497" s="350">
        <v>52246983.930933431</v>
      </c>
      <c r="AR497" s="348">
        <v>156933660.26740086</v>
      </c>
      <c r="AS497" s="369"/>
      <c r="AT497" s="350">
        <f t="shared" si="219"/>
        <v>1235502.1494066119</v>
      </c>
      <c r="AU497" s="350">
        <f t="shared" si="202"/>
        <v>3642582.2156326808</v>
      </c>
      <c r="AV497" s="350">
        <f t="shared" si="203"/>
        <v>5655240.4550874941</v>
      </c>
      <c r="AW497" s="350">
        <f t="shared" si="204"/>
        <v>7266371.2148023471</v>
      </c>
      <c r="AX497" s="350">
        <f t="shared" si="205"/>
        <v>8470739.0713694841</v>
      </c>
      <c r="AY497" s="350">
        <f t="shared" si="206"/>
        <v>26270435.106298625</v>
      </c>
      <c r="AZ497" s="365"/>
      <c r="BA497" s="377">
        <f t="shared" si="207"/>
        <v>0</v>
      </c>
      <c r="BB497" s="377">
        <f t="shared" si="208"/>
        <v>0</v>
      </c>
      <c r="BC497" s="377">
        <f t="shared" si="209"/>
        <v>0</v>
      </c>
      <c r="BD497" s="377">
        <f t="shared" si="210"/>
        <v>0</v>
      </c>
      <c r="BE497" s="377">
        <f t="shared" si="211"/>
        <v>0</v>
      </c>
      <c r="BF497" s="377">
        <f t="shared" si="212"/>
        <v>0</v>
      </c>
      <c r="BG497" s="328"/>
    </row>
    <row r="498" spans="2:59">
      <c r="B498" s="332">
        <v>483</v>
      </c>
      <c r="C498" s="350">
        <v>7816733.1859004833</v>
      </c>
      <c r="D498" s="350">
        <v>14874052.612233477</v>
      </c>
      <c r="E498" s="350">
        <v>21984548.183563523</v>
      </c>
      <c r="F498" s="350">
        <v>29148668.335703388</v>
      </c>
      <c r="G498" s="350">
        <v>36367538.802179374</v>
      </c>
      <c r="H498" s="348">
        <v>110191541.11958024</v>
      </c>
      <c r="I498" s="369"/>
      <c r="J498" s="350">
        <v>9008295.5847396962</v>
      </c>
      <c r="K498" s="350">
        <v>18390476.635475911</v>
      </c>
      <c r="L498" s="350">
        <v>27548140.519498549</v>
      </c>
      <c r="M498" s="350">
        <v>36474535.102274418</v>
      </c>
      <c r="N498" s="350">
        <v>45165292.532948889</v>
      </c>
      <c r="O498" s="348">
        <v>136586740.37493747</v>
      </c>
      <c r="P498" s="369"/>
      <c r="Q498" s="350">
        <f t="shared" si="213"/>
        <v>1191562.398839213</v>
      </c>
      <c r="R498" s="350">
        <f t="shared" si="214"/>
        <v>3516424.0232424345</v>
      </c>
      <c r="S498" s="350">
        <f t="shared" si="215"/>
        <v>5563592.3359350264</v>
      </c>
      <c r="T498" s="350">
        <f t="shared" si="216"/>
        <v>7325866.76657103</v>
      </c>
      <c r="U498" s="350">
        <f t="shared" si="217"/>
        <v>8797753.730769515</v>
      </c>
      <c r="V498" s="350">
        <f t="shared" si="218"/>
        <v>26395199.255357236</v>
      </c>
      <c r="W498" s="365"/>
      <c r="X498" s="377">
        <f t="shared" si="196"/>
        <v>0</v>
      </c>
      <c r="Y498" s="377">
        <f t="shared" si="197"/>
        <v>0</v>
      </c>
      <c r="Z498" s="377">
        <f t="shared" si="198"/>
        <v>0</v>
      </c>
      <c r="AA498" s="377">
        <f t="shared" si="199"/>
        <v>0</v>
      </c>
      <c r="AB498" s="377">
        <f t="shared" si="200"/>
        <v>0</v>
      </c>
      <c r="AC498" s="377">
        <f t="shared" si="201"/>
        <v>0</v>
      </c>
      <c r="AD498" s="376"/>
      <c r="AE498" s="332">
        <v>483</v>
      </c>
      <c r="AF498" s="350">
        <v>5782453.5352477664</v>
      </c>
      <c r="AG498" s="350">
        <v>11610317.675968062</v>
      </c>
      <c r="AH498" s="350">
        <v>17482287.404087186</v>
      </c>
      <c r="AI498" s="350">
        <v>23398557.417376153</v>
      </c>
      <c r="AJ498" s="350">
        <v>29359980.925169874</v>
      </c>
      <c r="AK498" s="348">
        <v>87633596.957849041</v>
      </c>
      <c r="AL498" s="369"/>
      <c r="AM498" s="350">
        <v>6934644.3109094398</v>
      </c>
      <c r="AN498" s="350">
        <v>15012921.036314461</v>
      </c>
      <c r="AO498" s="350">
        <v>22880462.096451677</v>
      </c>
      <c r="AP498" s="350">
        <v>30532605.033890046</v>
      </c>
      <c r="AQ498" s="350">
        <v>37967019.43974942</v>
      </c>
      <c r="AR498" s="348">
        <v>113327651.91731504</v>
      </c>
      <c r="AS498" s="369"/>
      <c r="AT498" s="350">
        <f t="shared" si="219"/>
        <v>1152190.7756616734</v>
      </c>
      <c r="AU498" s="350">
        <f t="shared" si="202"/>
        <v>3402603.3603463992</v>
      </c>
      <c r="AV498" s="350">
        <f t="shared" si="203"/>
        <v>5398174.6923644915</v>
      </c>
      <c r="AW498" s="350">
        <f t="shared" si="204"/>
        <v>7134047.616513893</v>
      </c>
      <c r="AX498" s="350">
        <f t="shared" si="205"/>
        <v>8607038.5145795457</v>
      </c>
      <c r="AY498" s="350">
        <f t="shared" si="206"/>
        <v>25694054.959465995</v>
      </c>
      <c r="AZ498" s="365"/>
      <c r="BA498" s="377">
        <f t="shared" si="207"/>
        <v>0</v>
      </c>
      <c r="BB498" s="377">
        <f t="shared" si="208"/>
        <v>0</v>
      </c>
      <c r="BC498" s="377">
        <f t="shared" si="209"/>
        <v>0</v>
      </c>
      <c r="BD498" s="377">
        <f t="shared" si="210"/>
        <v>0</v>
      </c>
      <c r="BE498" s="377">
        <f t="shared" si="211"/>
        <v>0</v>
      </c>
      <c r="BF498" s="377">
        <f t="shared" si="212"/>
        <v>0</v>
      </c>
      <c r="BG498" s="328"/>
    </row>
    <row r="499" spans="2:59">
      <c r="B499" s="332">
        <v>484</v>
      </c>
      <c r="C499" s="350">
        <v>5541099.9588905973</v>
      </c>
      <c r="D499" s="350">
        <v>10566001.834757384</v>
      </c>
      <c r="E499" s="350">
        <v>15628772.851719776</v>
      </c>
      <c r="F499" s="350">
        <v>20729725.900451072</v>
      </c>
      <c r="G499" s="350">
        <v>25869659.73242433</v>
      </c>
      <c r="H499" s="348">
        <v>78335260.278243154</v>
      </c>
      <c r="I499" s="369"/>
      <c r="J499" s="350">
        <v>6558972.5761157451</v>
      </c>
      <c r="K499" s="350">
        <v>13572322.05059104</v>
      </c>
      <c r="L499" s="350">
        <v>20422798.327074114</v>
      </c>
      <c r="M499" s="350">
        <v>27105860.266788203</v>
      </c>
      <c r="N499" s="350">
        <v>33618900.062646866</v>
      </c>
      <c r="O499" s="348">
        <v>101278853.28321597</v>
      </c>
      <c r="P499" s="369"/>
      <c r="Q499" s="350">
        <f t="shared" si="213"/>
        <v>1017872.6172251478</v>
      </c>
      <c r="R499" s="350">
        <f t="shared" si="214"/>
        <v>3006320.2158336565</v>
      </c>
      <c r="S499" s="350">
        <f t="shared" si="215"/>
        <v>4794025.4753543381</v>
      </c>
      <c r="T499" s="350">
        <f t="shared" si="216"/>
        <v>6376134.3663371317</v>
      </c>
      <c r="U499" s="350">
        <f t="shared" si="217"/>
        <v>7749240.3302225359</v>
      </c>
      <c r="V499" s="350">
        <f t="shared" si="218"/>
        <v>22943593.004972816</v>
      </c>
      <c r="W499" s="365"/>
      <c r="X499" s="377">
        <f t="shared" si="196"/>
        <v>0</v>
      </c>
      <c r="Y499" s="377">
        <f t="shared" si="197"/>
        <v>0</v>
      </c>
      <c r="Z499" s="377">
        <f t="shared" si="198"/>
        <v>0</v>
      </c>
      <c r="AA499" s="377">
        <f t="shared" si="199"/>
        <v>0</v>
      </c>
      <c r="AB499" s="377">
        <f t="shared" si="200"/>
        <v>0</v>
      </c>
      <c r="AC499" s="377">
        <f t="shared" si="201"/>
        <v>0</v>
      </c>
      <c r="AD499" s="376"/>
      <c r="AE499" s="332">
        <v>484</v>
      </c>
      <c r="AF499" s="350">
        <v>6462006.6952751037</v>
      </c>
      <c r="AG499" s="350">
        <v>12974760.644256828</v>
      </c>
      <c r="AH499" s="350">
        <v>19536803.463323362</v>
      </c>
      <c r="AI499" s="350">
        <v>26148352.731101524</v>
      </c>
      <c r="AJ499" s="350">
        <v>32810361.925972261</v>
      </c>
      <c r="AK499" s="348">
        <v>97932285.459929079</v>
      </c>
      <c r="AL499" s="369"/>
      <c r="AM499" s="350">
        <v>8006580.949735892</v>
      </c>
      <c r="AN499" s="350">
        <v>17539359.294503391</v>
      </c>
      <c r="AO499" s="350">
        <v>26844332.924391273</v>
      </c>
      <c r="AP499" s="350">
        <v>35916218.767639749</v>
      </c>
      <c r="AQ499" s="350">
        <v>44752672.804677412</v>
      </c>
      <c r="AR499" s="348">
        <v>133059164.74094771</v>
      </c>
      <c r="AS499" s="369"/>
      <c r="AT499" s="350">
        <f t="shared" si="219"/>
        <v>1544574.2544607883</v>
      </c>
      <c r="AU499" s="350">
        <f t="shared" si="202"/>
        <v>4564598.6502465624</v>
      </c>
      <c r="AV499" s="350">
        <f t="shared" si="203"/>
        <v>7307529.4610679112</v>
      </c>
      <c r="AW499" s="350">
        <f t="shared" si="204"/>
        <v>9767866.0365382247</v>
      </c>
      <c r="AX499" s="350">
        <f t="shared" si="205"/>
        <v>11942310.878705151</v>
      </c>
      <c r="AY499" s="350">
        <f t="shared" si="206"/>
        <v>35126879.28101863</v>
      </c>
      <c r="AZ499" s="365"/>
      <c r="BA499" s="377">
        <f t="shared" si="207"/>
        <v>0</v>
      </c>
      <c r="BB499" s="377">
        <f t="shared" si="208"/>
        <v>0</v>
      </c>
      <c r="BC499" s="377">
        <f t="shared" si="209"/>
        <v>0</v>
      </c>
      <c r="BD499" s="377">
        <f t="shared" si="210"/>
        <v>0</v>
      </c>
      <c r="BE499" s="377">
        <f t="shared" si="211"/>
        <v>0</v>
      </c>
      <c r="BF499" s="377">
        <f t="shared" si="212"/>
        <v>0</v>
      </c>
      <c r="BG499" s="328"/>
    </row>
    <row r="500" spans="2:59">
      <c r="B500" s="332">
        <v>485</v>
      </c>
      <c r="C500" s="350">
        <v>7644297.1181211732</v>
      </c>
      <c r="D500" s="350">
        <v>14498536.990280416</v>
      </c>
      <c r="E500" s="350">
        <v>21404407.739569694</v>
      </c>
      <c r="F500" s="350">
        <v>28362358.605987903</v>
      </c>
      <c r="G500" s="350">
        <v>35373488.893687323</v>
      </c>
      <c r="H500" s="348">
        <v>107283089.3476465</v>
      </c>
      <c r="I500" s="369"/>
      <c r="J500" s="350">
        <v>8776955.8844062649</v>
      </c>
      <c r="K500" s="350">
        <v>17840768.53537409</v>
      </c>
      <c r="L500" s="350">
        <v>26679126.909521215</v>
      </c>
      <c r="M500" s="350">
        <v>35285756.800223991</v>
      </c>
      <c r="N500" s="350">
        <v>43656670.305614926</v>
      </c>
      <c r="O500" s="348">
        <v>132239278.43514049</v>
      </c>
      <c r="P500" s="369"/>
      <c r="Q500" s="350">
        <f t="shared" si="213"/>
        <v>1132658.7662850916</v>
      </c>
      <c r="R500" s="350">
        <f t="shared" si="214"/>
        <v>3342231.5450936742</v>
      </c>
      <c r="S500" s="350">
        <f t="shared" si="215"/>
        <v>5274719.1699515209</v>
      </c>
      <c r="T500" s="350">
        <f t="shared" si="216"/>
        <v>6923398.1942360885</v>
      </c>
      <c r="U500" s="350">
        <f t="shared" si="217"/>
        <v>8283181.4119276032</v>
      </c>
      <c r="V500" s="350">
        <f t="shared" si="218"/>
        <v>24956189.087493986</v>
      </c>
      <c r="W500" s="365"/>
      <c r="X500" s="377">
        <f t="shared" si="196"/>
        <v>0</v>
      </c>
      <c r="Y500" s="377">
        <f t="shared" si="197"/>
        <v>0</v>
      </c>
      <c r="Z500" s="377">
        <f t="shared" si="198"/>
        <v>0</v>
      </c>
      <c r="AA500" s="377">
        <f t="shared" si="199"/>
        <v>0</v>
      </c>
      <c r="AB500" s="377">
        <f t="shared" si="200"/>
        <v>0</v>
      </c>
      <c r="AC500" s="377">
        <f t="shared" si="201"/>
        <v>0</v>
      </c>
      <c r="AD500" s="376"/>
      <c r="AE500" s="332">
        <v>485</v>
      </c>
      <c r="AF500" s="350">
        <v>6821033.1688640956</v>
      </c>
      <c r="AG500" s="350">
        <v>13695633.088288002</v>
      </c>
      <c r="AH500" s="350">
        <v>20622260.347446814</v>
      </c>
      <c r="AI500" s="350">
        <v>27601144.613547694</v>
      </c>
      <c r="AJ500" s="350">
        <v>34633292.339844085</v>
      </c>
      <c r="AK500" s="348">
        <v>103373363.5579907</v>
      </c>
      <c r="AL500" s="369"/>
      <c r="AM500" s="350">
        <v>7756001.9125385359</v>
      </c>
      <c r="AN500" s="350">
        <v>16451423.240982953</v>
      </c>
      <c r="AO500" s="350">
        <v>24885555.02572123</v>
      </c>
      <c r="AP500" s="350">
        <v>33053017.360643581</v>
      </c>
      <c r="AQ500" s="350">
        <v>40950631.69452174</v>
      </c>
      <c r="AR500" s="348">
        <v>123096629.23440804</v>
      </c>
      <c r="AS500" s="369"/>
      <c r="AT500" s="350">
        <f t="shared" si="219"/>
        <v>934968.74367444031</v>
      </c>
      <c r="AU500" s="350">
        <f t="shared" si="202"/>
        <v>2755790.1526949517</v>
      </c>
      <c r="AV500" s="350">
        <f t="shared" si="203"/>
        <v>4263294.6782744154</v>
      </c>
      <c r="AW500" s="350">
        <f t="shared" si="204"/>
        <v>5451872.7470958866</v>
      </c>
      <c r="AX500" s="350">
        <f t="shared" si="205"/>
        <v>6317339.3546776548</v>
      </c>
      <c r="AY500" s="350">
        <f t="shared" si="206"/>
        <v>19723265.676417336</v>
      </c>
      <c r="AZ500" s="365"/>
      <c r="BA500" s="377">
        <f t="shared" si="207"/>
        <v>0</v>
      </c>
      <c r="BB500" s="377">
        <f t="shared" si="208"/>
        <v>0</v>
      </c>
      <c r="BC500" s="377">
        <f t="shared" si="209"/>
        <v>0</v>
      </c>
      <c r="BD500" s="377">
        <f t="shared" si="210"/>
        <v>0</v>
      </c>
      <c r="BE500" s="377">
        <f t="shared" si="211"/>
        <v>0</v>
      </c>
      <c r="BF500" s="377">
        <f t="shared" si="212"/>
        <v>0</v>
      </c>
      <c r="BG500" s="328"/>
    </row>
    <row r="501" spans="2:59">
      <c r="B501" s="332">
        <v>486</v>
      </c>
      <c r="C501" s="350">
        <v>6764222.7059979867</v>
      </c>
      <c r="D501" s="350">
        <v>12776932.965225801</v>
      </c>
      <c r="E501" s="350">
        <v>18834918.320905261</v>
      </c>
      <c r="F501" s="350">
        <v>24938588.121723481</v>
      </c>
      <c r="G501" s="350">
        <v>31088913.346117154</v>
      </c>
      <c r="H501" s="348">
        <v>94403575.459969684</v>
      </c>
      <c r="I501" s="369"/>
      <c r="J501" s="350">
        <v>7529558.6851669736</v>
      </c>
      <c r="K501" s="350">
        <v>15031883.857647594</v>
      </c>
      <c r="L501" s="350">
        <v>22334585.630232587</v>
      </c>
      <c r="M501" s="350">
        <v>29432054.953148536</v>
      </c>
      <c r="N501" s="350">
        <v>36320376.511376582</v>
      </c>
      <c r="O501" s="348">
        <v>110648459.63757229</v>
      </c>
      <c r="P501" s="369"/>
      <c r="Q501" s="350">
        <f t="shared" si="213"/>
        <v>765335.9791689869</v>
      </c>
      <c r="R501" s="350">
        <f t="shared" si="214"/>
        <v>2254950.8924217932</v>
      </c>
      <c r="S501" s="350">
        <f t="shared" si="215"/>
        <v>3499667.3093273267</v>
      </c>
      <c r="T501" s="350">
        <f t="shared" si="216"/>
        <v>4493466.8314250559</v>
      </c>
      <c r="U501" s="350">
        <f t="shared" si="217"/>
        <v>5231463.1652594283</v>
      </c>
      <c r="V501" s="350">
        <f t="shared" si="218"/>
        <v>16244884.177602604</v>
      </c>
      <c r="W501" s="365"/>
      <c r="X501" s="377">
        <f t="shared" si="196"/>
        <v>0</v>
      </c>
      <c r="Y501" s="377">
        <f t="shared" si="197"/>
        <v>0</v>
      </c>
      <c r="Z501" s="377">
        <f t="shared" si="198"/>
        <v>0</v>
      </c>
      <c r="AA501" s="377">
        <f t="shared" si="199"/>
        <v>0</v>
      </c>
      <c r="AB501" s="377">
        <f t="shared" si="200"/>
        <v>0</v>
      </c>
      <c r="AC501" s="377">
        <f t="shared" si="201"/>
        <v>0</v>
      </c>
      <c r="AD501" s="376"/>
      <c r="AE501" s="332">
        <v>486</v>
      </c>
      <c r="AF501" s="350">
        <v>5228927.6003314313</v>
      </c>
      <c r="AG501" s="350">
        <v>10498918.871448223</v>
      </c>
      <c r="AH501" s="350">
        <v>15808793.71826048</v>
      </c>
      <c r="AI501" s="350">
        <v>21158728.201075885</v>
      </c>
      <c r="AJ501" s="350">
        <v>26549493.855681628</v>
      </c>
      <c r="AK501" s="348">
        <v>79244862.246797651</v>
      </c>
      <c r="AL501" s="369"/>
      <c r="AM501" s="350">
        <v>5939746.234109479</v>
      </c>
      <c r="AN501" s="350">
        <v>12593925.884882323</v>
      </c>
      <c r="AO501" s="350">
        <v>19047626.655248486</v>
      </c>
      <c r="AP501" s="350">
        <v>25296726.043273766</v>
      </c>
      <c r="AQ501" s="350">
        <v>31338781.413726069</v>
      </c>
      <c r="AR501" s="348">
        <v>94216806.231240124</v>
      </c>
      <c r="AS501" s="369"/>
      <c r="AT501" s="350">
        <f t="shared" si="219"/>
        <v>710818.63377804775</v>
      </c>
      <c r="AU501" s="350">
        <f t="shared" si="202"/>
        <v>2095007.0134341009</v>
      </c>
      <c r="AV501" s="350">
        <f t="shared" si="203"/>
        <v>3238832.9369880054</v>
      </c>
      <c r="AW501" s="350">
        <f t="shared" si="204"/>
        <v>4137997.8421978801</v>
      </c>
      <c r="AX501" s="350">
        <f t="shared" si="205"/>
        <v>4789287.558044441</v>
      </c>
      <c r="AY501" s="350">
        <f t="shared" si="206"/>
        <v>14971943.984442472</v>
      </c>
      <c r="AZ501" s="365"/>
      <c r="BA501" s="377">
        <f t="shared" si="207"/>
        <v>0</v>
      </c>
      <c r="BB501" s="377">
        <f t="shared" si="208"/>
        <v>0</v>
      </c>
      <c r="BC501" s="377">
        <f t="shared" si="209"/>
        <v>0</v>
      </c>
      <c r="BD501" s="377">
        <f t="shared" si="210"/>
        <v>0</v>
      </c>
      <c r="BE501" s="377">
        <f t="shared" si="211"/>
        <v>0</v>
      </c>
      <c r="BF501" s="377">
        <f t="shared" si="212"/>
        <v>0</v>
      </c>
      <c r="BG501" s="328"/>
    </row>
    <row r="502" spans="2:59">
      <c r="B502" s="332">
        <v>487</v>
      </c>
      <c r="C502" s="350">
        <v>7098902.4333091974</v>
      </c>
      <c r="D502" s="350">
        <v>13376051.26021393</v>
      </c>
      <c r="E502" s="350">
        <v>19700455.692314196</v>
      </c>
      <c r="F502" s="350">
        <v>26072552.792718794</v>
      </c>
      <c r="G502" s="350">
        <v>32493360.468792599</v>
      </c>
      <c r="H502" s="348">
        <v>98741322.647348717</v>
      </c>
      <c r="I502" s="369"/>
      <c r="J502" s="350">
        <v>8150471.7789200209</v>
      </c>
      <c r="K502" s="350">
        <v>16479242.465513704</v>
      </c>
      <c r="L502" s="350">
        <v>24604302.373688016</v>
      </c>
      <c r="M502" s="350">
        <v>32519855.066643689</v>
      </c>
      <c r="N502" s="350">
        <v>40222198.634832337</v>
      </c>
      <c r="O502" s="348">
        <v>121976070.31959777</v>
      </c>
      <c r="P502" s="369"/>
      <c r="Q502" s="350">
        <f t="shared" si="213"/>
        <v>1051569.3456108235</v>
      </c>
      <c r="R502" s="350">
        <f t="shared" si="214"/>
        <v>3103191.2052997742</v>
      </c>
      <c r="S502" s="350">
        <f t="shared" si="215"/>
        <v>4903846.6813738197</v>
      </c>
      <c r="T502" s="350">
        <f t="shared" si="216"/>
        <v>6447302.2739248946</v>
      </c>
      <c r="U502" s="350">
        <f t="shared" si="217"/>
        <v>7728838.1660397388</v>
      </c>
      <c r="V502" s="350">
        <f t="shared" si="218"/>
        <v>23234747.672249049</v>
      </c>
      <c r="W502" s="365"/>
      <c r="X502" s="377">
        <f t="shared" si="196"/>
        <v>0</v>
      </c>
      <c r="Y502" s="377">
        <f t="shared" si="197"/>
        <v>0</v>
      </c>
      <c r="Z502" s="377">
        <f t="shared" si="198"/>
        <v>0</v>
      </c>
      <c r="AA502" s="377">
        <f t="shared" si="199"/>
        <v>0</v>
      </c>
      <c r="AB502" s="377">
        <f t="shared" si="200"/>
        <v>0</v>
      </c>
      <c r="AC502" s="377">
        <f t="shared" si="201"/>
        <v>0</v>
      </c>
      <c r="AD502" s="376"/>
      <c r="AE502" s="332">
        <v>487</v>
      </c>
      <c r="AF502" s="350">
        <v>7036593.5077361483</v>
      </c>
      <c r="AG502" s="350">
        <v>14128446.598571854</v>
      </c>
      <c r="AH502" s="350">
        <v>21273971.212758966</v>
      </c>
      <c r="AI502" s="350">
        <v>28473404.275516711</v>
      </c>
      <c r="AJ502" s="350">
        <v>35727784.046336532</v>
      </c>
      <c r="AK502" s="348">
        <v>106640199.64092022</v>
      </c>
      <c r="AL502" s="369"/>
      <c r="AM502" s="350">
        <v>7966770.5873539876</v>
      </c>
      <c r="AN502" s="350">
        <v>16869487.181923222</v>
      </c>
      <c r="AO502" s="350">
        <v>25501628.423446756</v>
      </c>
      <c r="AP502" s="350">
        <v>33857654.10070017</v>
      </c>
      <c r="AQ502" s="350">
        <v>41934250.435742915</v>
      </c>
      <c r="AR502" s="348">
        <v>126129790.72916704</v>
      </c>
      <c r="AS502" s="369"/>
      <c r="AT502" s="350">
        <f t="shared" si="219"/>
        <v>930177.07961783931</v>
      </c>
      <c r="AU502" s="350">
        <f t="shared" si="202"/>
        <v>2741040.5833513681</v>
      </c>
      <c r="AV502" s="350">
        <f t="shared" si="203"/>
        <v>4227657.2106877901</v>
      </c>
      <c r="AW502" s="350">
        <f t="shared" si="204"/>
        <v>5384249.8251834586</v>
      </c>
      <c r="AX502" s="350">
        <f t="shared" si="205"/>
        <v>6206466.389406383</v>
      </c>
      <c r="AY502" s="350">
        <f t="shared" si="206"/>
        <v>19489591.088246822</v>
      </c>
      <c r="AZ502" s="365"/>
      <c r="BA502" s="377">
        <f t="shared" si="207"/>
        <v>0</v>
      </c>
      <c r="BB502" s="377">
        <f t="shared" si="208"/>
        <v>0</v>
      </c>
      <c r="BC502" s="377">
        <f t="shared" si="209"/>
        <v>0</v>
      </c>
      <c r="BD502" s="377">
        <f t="shared" si="210"/>
        <v>0</v>
      </c>
      <c r="BE502" s="377">
        <f t="shared" si="211"/>
        <v>0</v>
      </c>
      <c r="BF502" s="377">
        <f t="shared" si="212"/>
        <v>0</v>
      </c>
      <c r="BG502" s="328"/>
    </row>
    <row r="503" spans="2:59">
      <c r="B503" s="332">
        <v>488</v>
      </c>
      <c r="C503" s="350">
        <v>9468781.1053588279</v>
      </c>
      <c r="D503" s="350">
        <v>17767083.554930754</v>
      </c>
      <c r="E503" s="350">
        <v>26127833.073830158</v>
      </c>
      <c r="F503" s="350">
        <v>34551629.422602005</v>
      </c>
      <c r="G503" s="350">
        <v>43039827.8192477</v>
      </c>
      <c r="H503" s="348">
        <v>130955154.97596943</v>
      </c>
      <c r="I503" s="369"/>
      <c r="J503" s="350">
        <v>10848782.089488499</v>
      </c>
      <c r="K503" s="350">
        <v>21839326.838141769</v>
      </c>
      <c r="L503" s="350">
        <v>32557955.675399646</v>
      </c>
      <c r="M503" s="350">
        <v>42997118.852394782</v>
      </c>
      <c r="N503" s="350">
        <v>53152013.475730903</v>
      </c>
      <c r="O503" s="348">
        <v>161395196.93115559</v>
      </c>
      <c r="P503" s="369"/>
      <c r="Q503" s="350">
        <f t="shared" si="213"/>
        <v>1380000.984129671</v>
      </c>
      <c r="R503" s="350">
        <f t="shared" si="214"/>
        <v>4072243.2832110152</v>
      </c>
      <c r="S503" s="350">
        <f t="shared" si="215"/>
        <v>6430122.6015694886</v>
      </c>
      <c r="T503" s="350">
        <f t="shared" si="216"/>
        <v>8445489.4297927767</v>
      </c>
      <c r="U503" s="350">
        <f t="shared" si="217"/>
        <v>10112185.656483203</v>
      </c>
      <c r="V503" s="350">
        <f t="shared" si="218"/>
        <v>30440041.955186158</v>
      </c>
      <c r="W503" s="365"/>
      <c r="X503" s="377">
        <f t="shared" si="196"/>
        <v>0</v>
      </c>
      <c r="Y503" s="377">
        <f t="shared" si="197"/>
        <v>0</v>
      </c>
      <c r="Z503" s="377">
        <f t="shared" si="198"/>
        <v>0</v>
      </c>
      <c r="AA503" s="377">
        <f t="shared" si="199"/>
        <v>0</v>
      </c>
      <c r="AB503" s="377">
        <f t="shared" si="200"/>
        <v>0</v>
      </c>
      <c r="AC503" s="377">
        <f t="shared" si="201"/>
        <v>0</v>
      </c>
      <c r="AD503" s="376"/>
      <c r="AE503" s="332">
        <v>488</v>
      </c>
      <c r="AF503" s="350">
        <v>8467075.8474383559</v>
      </c>
      <c r="AG503" s="350">
        <v>17000645.102643892</v>
      </c>
      <c r="AH503" s="350">
        <v>25598796.866212927</v>
      </c>
      <c r="AI503" s="350">
        <v>34261816.228338487</v>
      </c>
      <c r="AJ503" s="350">
        <v>42990952.518238425</v>
      </c>
      <c r="AK503" s="348">
        <v>128319286.56287208</v>
      </c>
      <c r="AL503" s="369"/>
      <c r="AM503" s="350">
        <v>9821648.6047264412</v>
      </c>
      <c r="AN503" s="350">
        <v>20996742.434260022</v>
      </c>
      <c r="AO503" s="350">
        <v>31853302.394048892</v>
      </c>
      <c r="AP503" s="350">
        <v>42384595.441833034</v>
      </c>
      <c r="AQ503" s="350">
        <v>52586872.43746005</v>
      </c>
      <c r="AR503" s="348">
        <v>157643161.31232846</v>
      </c>
      <c r="AS503" s="369"/>
      <c r="AT503" s="350">
        <f t="shared" si="219"/>
        <v>1354572.7572880853</v>
      </c>
      <c r="AU503" s="350">
        <f t="shared" si="202"/>
        <v>3996097.3316161297</v>
      </c>
      <c r="AV503" s="350">
        <f t="shared" si="203"/>
        <v>6254505.5278359652</v>
      </c>
      <c r="AW503" s="350">
        <f t="shared" si="204"/>
        <v>8122779.2134945467</v>
      </c>
      <c r="AX503" s="350">
        <f t="shared" si="205"/>
        <v>9595919.9192216247</v>
      </c>
      <c r="AY503" s="350">
        <f t="shared" si="206"/>
        <v>29323874.749456376</v>
      </c>
      <c r="AZ503" s="365"/>
      <c r="BA503" s="377">
        <f t="shared" si="207"/>
        <v>0</v>
      </c>
      <c r="BB503" s="377">
        <f t="shared" si="208"/>
        <v>0</v>
      </c>
      <c r="BC503" s="377">
        <f t="shared" si="209"/>
        <v>0</v>
      </c>
      <c r="BD503" s="377">
        <f t="shared" si="210"/>
        <v>0</v>
      </c>
      <c r="BE503" s="377">
        <f t="shared" si="211"/>
        <v>0</v>
      </c>
      <c r="BF503" s="377">
        <f t="shared" si="212"/>
        <v>0</v>
      </c>
      <c r="BG503" s="328"/>
    </row>
    <row r="504" spans="2:59">
      <c r="B504" s="332">
        <v>489</v>
      </c>
      <c r="C504" s="350">
        <v>8064986.7283958606</v>
      </c>
      <c r="D504" s="350">
        <v>15151569.848744217</v>
      </c>
      <c r="E504" s="350">
        <v>22291487.589239478</v>
      </c>
      <c r="F504" s="350">
        <v>29485246.607408408</v>
      </c>
      <c r="G504" s="350">
        <v>36734001.827816218</v>
      </c>
      <c r="H504" s="348">
        <v>111727292.60160418</v>
      </c>
      <c r="I504" s="369"/>
      <c r="J504" s="350">
        <v>9188938.1726497803</v>
      </c>
      <c r="K504" s="350">
        <v>18467424.285029881</v>
      </c>
      <c r="L504" s="350">
        <v>27514328.985050499</v>
      </c>
      <c r="M504" s="350">
        <v>36323120.381167397</v>
      </c>
      <c r="N504" s="350">
        <v>44889541.224912226</v>
      </c>
      <c r="O504" s="348">
        <v>136383353.04880977</v>
      </c>
      <c r="P504" s="369"/>
      <c r="Q504" s="350">
        <f t="shared" si="213"/>
        <v>1123951.4442539196</v>
      </c>
      <c r="R504" s="350">
        <f t="shared" si="214"/>
        <v>3315854.4362856634</v>
      </c>
      <c r="S504" s="350">
        <f t="shared" si="215"/>
        <v>5222841.3958110213</v>
      </c>
      <c r="T504" s="350">
        <f t="shared" si="216"/>
        <v>6837873.7737589888</v>
      </c>
      <c r="U504" s="350">
        <f t="shared" si="217"/>
        <v>8155539.3970960081</v>
      </c>
      <c r="V504" s="350">
        <f t="shared" si="218"/>
        <v>24656060.447205588</v>
      </c>
      <c r="W504" s="365"/>
      <c r="X504" s="377">
        <f t="shared" si="196"/>
        <v>0</v>
      </c>
      <c r="Y504" s="377">
        <f t="shared" si="197"/>
        <v>0</v>
      </c>
      <c r="Z504" s="377">
        <f t="shared" si="198"/>
        <v>0</v>
      </c>
      <c r="AA504" s="377">
        <f t="shared" si="199"/>
        <v>0</v>
      </c>
      <c r="AB504" s="377">
        <f t="shared" si="200"/>
        <v>0</v>
      </c>
      <c r="AC504" s="377">
        <f t="shared" si="201"/>
        <v>0</v>
      </c>
      <c r="AD504" s="376"/>
      <c r="AE504" s="332">
        <v>489</v>
      </c>
      <c r="AF504" s="350">
        <v>6281109.5694198404</v>
      </c>
      <c r="AG504" s="350">
        <v>12611545.776200103</v>
      </c>
      <c r="AH504" s="350">
        <v>18989891.062644728</v>
      </c>
      <c r="AI504" s="350">
        <v>25416356.916494206</v>
      </c>
      <c r="AJ504" s="350">
        <v>31891870.124498412</v>
      </c>
      <c r="AK504" s="348">
        <v>95190773.449257284</v>
      </c>
      <c r="AL504" s="369"/>
      <c r="AM504" s="350">
        <v>7441634.2829730054</v>
      </c>
      <c r="AN504" s="350">
        <v>16037618.508945819</v>
      </c>
      <c r="AO504" s="350">
        <v>24401967.78411663</v>
      </c>
      <c r="AP504" s="350">
        <v>32529643.324735474</v>
      </c>
      <c r="AQ504" s="350">
        <v>40418021.568168312</v>
      </c>
      <c r="AR504" s="348">
        <v>120828885.46893924</v>
      </c>
      <c r="AS504" s="369"/>
      <c r="AT504" s="350">
        <f t="shared" si="219"/>
        <v>1160524.7135531651</v>
      </c>
      <c r="AU504" s="350">
        <f t="shared" si="202"/>
        <v>3426072.7327457163</v>
      </c>
      <c r="AV504" s="350">
        <f t="shared" si="203"/>
        <v>5412076.721471902</v>
      </c>
      <c r="AW504" s="350">
        <f t="shared" si="204"/>
        <v>7113286.4082412682</v>
      </c>
      <c r="AX504" s="350">
        <f t="shared" si="205"/>
        <v>8526151.4436699003</v>
      </c>
      <c r="AY504" s="350">
        <f t="shared" si="206"/>
        <v>25638112.01968196</v>
      </c>
      <c r="AZ504" s="365"/>
      <c r="BA504" s="377">
        <f t="shared" si="207"/>
        <v>0</v>
      </c>
      <c r="BB504" s="377">
        <f t="shared" si="208"/>
        <v>0</v>
      </c>
      <c r="BC504" s="377">
        <f t="shared" si="209"/>
        <v>0</v>
      </c>
      <c r="BD504" s="377">
        <f t="shared" si="210"/>
        <v>0</v>
      </c>
      <c r="BE504" s="377">
        <f t="shared" si="211"/>
        <v>0</v>
      </c>
      <c r="BF504" s="377">
        <f t="shared" si="212"/>
        <v>0</v>
      </c>
      <c r="BG504" s="328"/>
    </row>
    <row r="505" spans="2:59">
      <c r="B505" s="332">
        <v>490</v>
      </c>
      <c r="C505" s="350">
        <v>10740724.451401461</v>
      </c>
      <c r="D505" s="350">
        <v>20127322.228266239</v>
      </c>
      <c r="E505" s="350">
        <v>29584548.142126903</v>
      </c>
      <c r="F505" s="350">
        <v>39113088.481516451</v>
      </c>
      <c r="G505" s="350">
        <v>48714479.621669054</v>
      </c>
      <c r="H505" s="348">
        <v>148280162.9249801</v>
      </c>
      <c r="I505" s="369"/>
      <c r="J505" s="350">
        <v>12498704.681823699</v>
      </c>
      <c r="K505" s="350">
        <v>25317834.825287562</v>
      </c>
      <c r="L505" s="350">
        <v>37847726.621698178</v>
      </c>
      <c r="M505" s="350">
        <v>50079272.865500137</v>
      </c>
      <c r="N505" s="350">
        <v>62006704.545587577</v>
      </c>
      <c r="O505" s="348">
        <v>187750243.53989714</v>
      </c>
      <c r="P505" s="369"/>
      <c r="Q505" s="350">
        <f t="shared" si="213"/>
        <v>1757980.2304222379</v>
      </c>
      <c r="R505" s="350">
        <f t="shared" si="214"/>
        <v>5190512.5970213227</v>
      </c>
      <c r="S505" s="350">
        <f t="shared" si="215"/>
        <v>8263178.4795712754</v>
      </c>
      <c r="T505" s="350">
        <f t="shared" si="216"/>
        <v>10966184.383983687</v>
      </c>
      <c r="U505" s="350">
        <f t="shared" si="217"/>
        <v>13292224.923918523</v>
      </c>
      <c r="V505" s="350">
        <f t="shared" si="218"/>
        <v>39470080.61491704</v>
      </c>
      <c r="W505" s="365"/>
      <c r="X505" s="377">
        <f t="shared" si="196"/>
        <v>0</v>
      </c>
      <c r="Y505" s="377">
        <f t="shared" si="197"/>
        <v>0</v>
      </c>
      <c r="Z505" s="377">
        <f t="shared" si="198"/>
        <v>0</v>
      </c>
      <c r="AA505" s="377">
        <f t="shared" si="199"/>
        <v>0</v>
      </c>
      <c r="AB505" s="377">
        <f t="shared" si="200"/>
        <v>0</v>
      </c>
      <c r="AC505" s="377">
        <f t="shared" si="201"/>
        <v>0</v>
      </c>
      <c r="AD505" s="376"/>
      <c r="AE505" s="332">
        <v>490</v>
      </c>
      <c r="AF505" s="350">
        <v>7733347.6451713573</v>
      </c>
      <c r="AG505" s="350">
        <v>15527426.60392027</v>
      </c>
      <c r="AH505" s="350">
        <v>23380491.568932872</v>
      </c>
      <c r="AI505" s="350">
        <v>31292802.925448723</v>
      </c>
      <c r="AJ505" s="350">
        <v>39265501.740034245</v>
      </c>
      <c r="AK505" s="348">
        <v>117199570.48350748</v>
      </c>
      <c r="AL505" s="369"/>
      <c r="AM505" s="350">
        <v>8424863.5029737335</v>
      </c>
      <c r="AN505" s="350">
        <v>17558926.20205253</v>
      </c>
      <c r="AO505" s="350">
        <v>26385714.98660849</v>
      </c>
      <c r="AP505" s="350">
        <v>34899234.613992818</v>
      </c>
      <c r="AQ505" s="350">
        <v>43095508.191840284</v>
      </c>
      <c r="AR505" s="348">
        <v>130364247.49746785</v>
      </c>
      <c r="AS505" s="369"/>
      <c r="AT505" s="350">
        <f t="shared" si="219"/>
        <v>691515.85780237615</v>
      </c>
      <c r="AU505" s="350">
        <f t="shared" si="202"/>
        <v>2031499.5981322601</v>
      </c>
      <c r="AV505" s="350">
        <f t="shared" si="203"/>
        <v>3005223.4176756181</v>
      </c>
      <c r="AW505" s="350">
        <f t="shared" si="204"/>
        <v>3606431.6885440946</v>
      </c>
      <c r="AX505" s="350">
        <f t="shared" si="205"/>
        <v>3830006.4518060386</v>
      </c>
      <c r="AY505" s="350">
        <f t="shared" si="206"/>
        <v>13164677.013960361</v>
      </c>
      <c r="AZ505" s="365"/>
      <c r="BA505" s="377">
        <f t="shared" si="207"/>
        <v>0</v>
      </c>
      <c r="BB505" s="377">
        <f t="shared" si="208"/>
        <v>0</v>
      </c>
      <c r="BC505" s="377">
        <f t="shared" si="209"/>
        <v>0</v>
      </c>
      <c r="BD505" s="377">
        <f t="shared" si="210"/>
        <v>0</v>
      </c>
      <c r="BE505" s="377">
        <f t="shared" si="211"/>
        <v>0</v>
      </c>
      <c r="BF505" s="377">
        <f t="shared" si="212"/>
        <v>0</v>
      </c>
      <c r="BG505" s="328"/>
    </row>
    <row r="506" spans="2:59">
      <c r="B506" s="332">
        <v>491</v>
      </c>
      <c r="C506" s="350">
        <v>8367489.5663636094</v>
      </c>
      <c r="D506" s="350">
        <v>15875637.654290203</v>
      </c>
      <c r="E506" s="350">
        <v>23440344.05813358</v>
      </c>
      <c r="F506" s="350">
        <v>31062099.286325298</v>
      </c>
      <c r="G506" s="350">
        <v>38742106.82704623</v>
      </c>
      <c r="H506" s="348">
        <v>117487677.39215891</v>
      </c>
      <c r="I506" s="369"/>
      <c r="J506" s="350">
        <v>9431624.4649171717</v>
      </c>
      <c r="K506" s="350">
        <v>19013037.817409474</v>
      </c>
      <c r="L506" s="350">
        <v>28339201.487749316</v>
      </c>
      <c r="M506" s="350">
        <v>37403413.033968195</v>
      </c>
      <c r="N506" s="350">
        <v>46201251.245023757</v>
      </c>
      <c r="O506" s="348">
        <v>140388528.04906791</v>
      </c>
      <c r="P506" s="369"/>
      <c r="Q506" s="350">
        <f t="shared" si="213"/>
        <v>1064134.8985535624</v>
      </c>
      <c r="R506" s="350">
        <f t="shared" si="214"/>
        <v>3137400.1631192714</v>
      </c>
      <c r="S506" s="350">
        <f t="shared" si="215"/>
        <v>4898857.429615736</v>
      </c>
      <c r="T506" s="350">
        <f t="shared" si="216"/>
        <v>6341313.7476428971</v>
      </c>
      <c r="U506" s="350">
        <f t="shared" si="217"/>
        <v>7459144.4179775268</v>
      </c>
      <c r="V506" s="350">
        <f t="shared" si="218"/>
        <v>22900850.656909004</v>
      </c>
      <c r="W506" s="365"/>
      <c r="X506" s="377">
        <f t="shared" si="196"/>
        <v>0</v>
      </c>
      <c r="Y506" s="377">
        <f t="shared" si="197"/>
        <v>0</v>
      </c>
      <c r="Z506" s="377">
        <f t="shared" si="198"/>
        <v>0</v>
      </c>
      <c r="AA506" s="377">
        <f t="shared" si="199"/>
        <v>0</v>
      </c>
      <c r="AB506" s="377">
        <f t="shared" si="200"/>
        <v>0</v>
      </c>
      <c r="AC506" s="377">
        <f t="shared" si="201"/>
        <v>0</v>
      </c>
      <c r="AD506" s="376"/>
      <c r="AE506" s="332">
        <v>491</v>
      </c>
      <c r="AF506" s="350">
        <v>5818811.1661805362</v>
      </c>
      <c r="AG506" s="350">
        <v>11683318.460583441</v>
      </c>
      <c r="AH506" s="350">
        <v>17592208.659731336</v>
      </c>
      <c r="AI506" s="350">
        <v>23545677.685572773</v>
      </c>
      <c r="AJ506" s="350">
        <v>29544584.112063393</v>
      </c>
      <c r="AK506" s="348">
        <v>88184600.084131479</v>
      </c>
      <c r="AL506" s="369"/>
      <c r="AM506" s="350">
        <v>6742902.3851449974</v>
      </c>
      <c r="AN506" s="350">
        <v>14409354.624233369</v>
      </c>
      <c r="AO506" s="350">
        <v>21856697.552575793</v>
      </c>
      <c r="AP506" s="350">
        <v>29080305.961199999</v>
      </c>
      <c r="AQ506" s="350">
        <v>36077596.440250009</v>
      </c>
      <c r="AR506" s="348">
        <v>108166856.96340416</v>
      </c>
      <c r="AS506" s="369"/>
      <c r="AT506" s="350">
        <f t="shared" si="219"/>
        <v>924091.21896446124</v>
      </c>
      <c r="AU506" s="350">
        <f t="shared" si="202"/>
        <v>2726036.1636499278</v>
      </c>
      <c r="AV506" s="350">
        <f t="shared" si="203"/>
        <v>4264488.8928444572</v>
      </c>
      <c r="AW506" s="350">
        <f t="shared" si="204"/>
        <v>5534628.2756272256</v>
      </c>
      <c r="AX506" s="350">
        <f t="shared" si="205"/>
        <v>6533012.3281866163</v>
      </c>
      <c r="AY506" s="350">
        <f t="shared" si="206"/>
        <v>19982256.879272684</v>
      </c>
      <c r="AZ506" s="365"/>
      <c r="BA506" s="377">
        <f t="shared" si="207"/>
        <v>0</v>
      </c>
      <c r="BB506" s="377">
        <f t="shared" si="208"/>
        <v>0</v>
      </c>
      <c r="BC506" s="377">
        <f t="shared" si="209"/>
        <v>0</v>
      </c>
      <c r="BD506" s="377">
        <f t="shared" si="210"/>
        <v>0</v>
      </c>
      <c r="BE506" s="377">
        <f t="shared" si="211"/>
        <v>0</v>
      </c>
      <c r="BF506" s="377">
        <f t="shared" si="212"/>
        <v>0</v>
      </c>
      <c r="BG506" s="328"/>
    </row>
    <row r="507" spans="2:59">
      <c r="B507" s="332">
        <v>492</v>
      </c>
      <c r="C507" s="350">
        <v>10255861.302974233</v>
      </c>
      <c r="D507" s="350">
        <v>19428598.287133254</v>
      </c>
      <c r="E507" s="350">
        <v>28670423.251975577</v>
      </c>
      <c r="F507" s="350">
        <v>37981944.139726818</v>
      </c>
      <c r="G507" s="350">
        <v>47364635.036343075</v>
      </c>
      <c r="H507" s="348">
        <v>143701462.01815295</v>
      </c>
      <c r="I507" s="369"/>
      <c r="J507" s="350">
        <v>11770167.414571967</v>
      </c>
      <c r="K507" s="350">
        <v>23896970.696436305</v>
      </c>
      <c r="L507" s="350">
        <v>35720354.152493946</v>
      </c>
      <c r="M507" s="350">
        <v>47231998.031299397</v>
      </c>
      <c r="N507" s="350">
        <v>58426639.138480842</v>
      </c>
      <c r="O507" s="348">
        <v>177046129.43328243</v>
      </c>
      <c r="P507" s="369"/>
      <c r="Q507" s="350">
        <f t="shared" si="213"/>
        <v>1514306.1115977336</v>
      </c>
      <c r="R507" s="350">
        <f t="shared" si="214"/>
        <v>4468372.4093030505</v>
      </c>
      <c r="S507" s="350">
        <f t="shared" si="215"/>
        <v>7049930.9005183689</v>
      </c>
      <c r="T507" s="350">
        <f t="shared" si="216"/>
        <v>9250053.8915725797</v>
      </c>
      <c r="U507" s="350">
        <f t="shared" si="217"/>
        <v>11062004.102137767</v>
      </c>
      <c r="V507" s="350">
        <f t="shared" si="218"/>
        <v>33344667.415129483</v>
      </c>
      <c r="W507" s="365"/>
      <c r="X507" s="377">
        <f t="shared" si="196"/>
        <v>0</v>
      </c>
      <c r="Y507" s="377">
        <f t="shared" si="197"/>
        <v>0</v>
      </c>
      <c r="Z507" s="377">
        <f t="shared" si="198"/>
        <v>0</v>
      </c>
      <c r="AA507" s="377">
        <f t="shared" si="199"/>
        <v>0</v>
      </c>
      <c r="AB507" s="377">
        <f t="shared" si="200"/>
        <v>0</v>
      </c>
      <c r="AC507" s="377">
        <f t="shared" si="201"/>
        <v>0</v>
      </c>
      <c r="AD507" s="376"/>
      <c r="AE507" s="332">
        <v>492</v>
      </c>
      <c r="AF507" s="350">
        <v>5274231.2031740509</v>
      </c>
      <c r="AG507" s="350">
        <v>10589881.854144489</v>
      </c>
      <c r="AH507" s="350">
        <v>15945761.633438265</v>
      </c>
      <c r="AI507" s="350">
        <v>21342048.126755431</v>
      </c>
      <c r="AJ507" s="350">
        <v>26779519.554494925</v>
      </c>
      <c r="AK507" s="348">
        <v>79931442.372007161</v>
      </c>
      <c r="AL507" s="369"/>
      <c r="AM507" s="350">
        <v>6066043.018681406</v>
      </c>
      <c r="AN507" s="350">
        <v>12924977.601538671</v>
      </c>
      <c r="AO507" s="350">
        <v>19583937.668927349</v>
      </c>
      <c r="AP507" s="350">
        <v>26038743.835411265</v>
      </c>
      <c r="AQ507" s="350">
        <v>32287008.092617154</v>
      </c>
      <c r="AR507" s="348">
        <v>96900710.217175841</v>
      </c>
      <c r="AS507" s="369"/>
      <c r="AT507" s="350">
        <f t="shared" si="219"/>
        <v>791811.81550735515</v>
      </c>
      <c r="AU507" s="350">
        <f t="shared" si="202"/>
        <v>2335095.7473941818</v>
      </c>
      <c r="AV507" s="350">
        <f t="shared" si="203"/>
        <v>3638176.0354890842</v>
      </c>
      <c r="AW507" s="350">
        <f t="shared" si="204"/>
        <v>4696695.7086558342</v>
      </c>
      <c r="AX507" s="350">
        <f t="shared" si="205"/>
        <v>5507488.5381222293</v>
      </c>
      <c r="AY507" s="350">
        <f t="shared" si="206"/>
        <v>16969267.84516868</v>
      </c>
      <c r="AZ507" s="365"/>
      <c r="BA507" s="377">
        <f t="shared" si="207"/>
        <v>0</v>
      </c>
      <c r="BB507" s="377">
        <f t="shared" si="208"/>
        <v>0</v>
      </c>
      <c r="BC507" s="377">
        <f t="shared" si="209"/>
        <v>0</v>
      </c>
      <c r="BD507" s="377">
        <f t="shared" si="210"/>
        <v>0</v>
      </c>
      <c r="BE507" s="377">
        <f t="shared" si="211"/>
        <v>0</v>
      </c>
      <c r="BF507" s="377">
        <f t="shared" si="212"/>
        <v>0</v>
      </c>
      <c r="BG507" s="328"/>
    </row>
    <row r="508" spans="2:59">
      <c r="B508" s="332">
        <v>493</v>
      </c>
      <c r="C508" s="350">
        <v>9493073.9187120721</v>
      </c>
      <c r="D508" s="350">
        <v>17926221.718083501</v>
      </c>
      <c r="E508" s="350">
        <v>26422868.569845296</v>
      </c>
      <c r="F508" s="350">
        <v>34983590.145401895</v>
      </c>
      <c r="G508" s="350">
        <v>43609748.96312359</v>
      </c>
      <c r="H508" s="348">
        <v>132435503.31516635</v>
      </c>
      <c r="I508" s="369"/>
      <c r="J508" s="350">
        <v>10800912.718475323</v>
      </c>
      <c r="K508" s="350">
        <v>21784106.445597604</v>
      </c>
      <c r="L508" s="350">
        <v>32484246.911732711</v>
      </c>
      <c r="M508" s="350">
        <v>42893797.212159842</v>
      </c>
      <c r="N508" s="350">
        <v>53007914.348120719</v>
      </c>
      <c r="O508" s="348">
        <v>160970977.6360862</v>
      </c>
      <c r="P508" s="369"/>
      <c r="Q508" s="350">
        <f t="shared" si="213"/>
        <v>1307838.7997632511</v>
      </c>
      <c r="R508" s="350">
        <f t="shared" si="214"/>
        <v>3857884.7275141031</v>
      </c>
      <c r="S508" s="350">
        <f t="shared" si="215"/>
        <v>6061378.3418874145</v>
      </c>
      <c r="T508" s="350">
        <f t="shared" si="216"/>
        <v>7910207.0667579472</v>
      </c>
      <c r="U508" s="350">
        <f t="shared" si="217"/>
        <v>9398165.3849971294</v>
      </c>
      <c r="V508" s="350">
        <f t="shared" si="218"/>
        <v>28535474.320919842</v>
      </c>
      <c r="W508" s="365"/>
      <c r="X508" s="377">
        <f t="shared" si="196"/>
        <v>0</v>
      </c>
      <c r="Y508" s="377">
        <f t="shared" si="197"/>
        <v>0</v>
      </c>
      <c r="Z508" s="377">
        <f t="shared" si="198"/>
        <v>0</v>
      </c>
      <c r="AA508" s="377">
        <f t="shared" si="199"/>
        <v>0</v>
      </c>
      <c r="AB508" s="377">
        <f t="shared" si="200"/>
        <v>0</v>
      </c>
      <c r="AC508" s="377">
        <f t="shared" si="201"/>
        <v>0</v>
      </c>
      <c r="AD508" s="376"/>
      <c r="AE508" s="332">
        <v>493</v>
      </c>
      <c r="AF508" s="350">
        <v>5793775.8688915558</v>
      </c>
      <c r="AG508" s="350">
        <v>11633051.259495605</v>
      </c>
      <c r="AH508" s="350">
        <v>17516518.598447695</v>
      </c>
      <c r="AI508" s="350">
        <v>23444372.964746829</v>
      </c>
      <c r="AJ508" s="350">
        <v>29417469.23835453</v>
      </c>
      <c r="AK508" s="348">
        <v>87805187.929936215</v>
      </c>
      <c r="AL508" s="369"/>
      <c r="AM508" s="350">
        <v>6633156.4088939298</v>
      </c>
      <c r="AN508" s="350">
        <v>14107923.013290297</v>
      </c>
      <c r="AO508" s="350">
        <v>21362104.986888759</v>
      </c>
      <c r="AP508" s="350">
        <v>28391119.855364878</v>
      </c>
      <c r="AQ508" s="350">
        <v>35192313.558498591</v>
      </c>
      <c r="AR508" s="348">
        <v>105686617.82293646</v>
      </c>
      <c r="AS508" s="369"/>
      <c r="AT508" s="350">
        <f t="shared" si="219"/>
        <v>839380.54000237398</v>
      </c>
      <c r="AU508" s="350">
        <f t="shared" si="202"/>
        <v>2474871.7537946925</v>
      </c>
      <c r="AV508" s="350">
        <f t="shared" si="203"/>
        <v>3845586.3884410635</v>
      </c>
      <c r="AW508" s="350">
        <f t="shared" si="204"/>
        <v>4946746.8906180486</v>
      </c>
      <c r="AX508" s="350">
        <f t="shared" si="205"/>
        <v>5774844.320144061</v>
      </c>
      <c r="AY508" s="350">
        <f t="shared" si="206"/>
        <v>17881429.893000245</v>
      </c>
      <c r="AZ508" s="365"/>
      <c r="BA508" s="377">
        <f t="shared" si="207"/>
        <v>0</v>
      </c>
      <c r="BB508" s="377">
        <f t="shared" si="208"/>
        <v>0</v>
      </c>
      <c r="BC508" s="377">
        <f t="shared" si="209"/>
        <v>0</v>
      </c>
      <c r="BD508" s="377">
        <f t="shared" si="210"/>
        <v>0</v>
      </c>
      <c r="BE508" s="377">
        <f t="shared" si="211"/>
        <v>0</v>
      </c>
      <c r="BF508" s="377">
        <f t="shared" si="212"/>
        <v>0</v>
      </c>
      <c r="BG508" s="328"/>
    </row>
    <row r="509" spans="2:59">
      <c r="B509" s="332">
        <v>494</v>
      </c>
      <c r="C509" s="350">
        <v>7129188.6864592507</v>
      </c>
      <c r="D509" s="350">
        <v>13337003.93722593</v>
      </c>
      <c r="E509" s="350">
        <v>19591521.601647094</v>
      </c>
      <c r="F509" s="350">
        <v>25893202.299049068</v>
      </c>
      <c r="G509" s="350">
        <v>32243065.043324888</v>
      </c>
      <c r="H509" s="348">
        <v>98193981.567706227</v>
      </c>
      <c r="I509" s="369"/>
      <c r="J509" s="350">
        <v>8140167.691999007</v>
      </c>
      <c r="K509" s="350">
        <v>16319981.002261223</v>
      </c>
      <c r="L509" s="350">
        <v>24300492.403031431</v>
      </c>
      <c r="M509" s="350">
        <v>32075879.425327655</v>
      </c>
      <c r="N509" s="350">
        <v>39642332.598132901</v>
      </c>
      <c r="O509" s="348">
        <v>120478853.12075222</v>
      </c>
      <c r="P509" s="369"/>
      <c r="Q509" s="350">
        <f t="shared" si="213"/>
        <v>1010979.0055397563</v>
      </c>
      <c r="R509" s="350">
        <f t="shared" si="214"/>
        <v>2982977.0650352929</v>
      </c>
      <c r="S509" s="350">
        <f t="shared" si="215"/>
        <v>4708970.8013843372</v>
      </c>
      <c r="T509" s="350">
        <f t="shared" si="216"/>
        <v>6182677.1262785867</v>
      </c>
      <c r="U509" s="350">
        <f t="shared" si="217"/>
        <v>7399267.5548080131</v>
      </c>
      <c r="V509" s="350">
        <f t="shared" si="218"/>
        <v>22284871.553045988</v>
      </c>
      <c r="W509" s="365"/>
      <c r="X509" s="377">
        <f t="shared" si="196"/>
        <v>0</v>
      </c>
      <c r="Y509" s="377">
        <f t="shared" si="197"/>
        <v>0</v>
      </c>
      <c r="Z509" s="377">
        <f t="shared" si="198"/>
        <v>0</v>
      </c>
      <c r="AA509" s="377">
        <f t="shared" si="199"/>
        <v>0</v>
      </c>
      <c r="AB509" s="377">
        <f t="shared" si="200"/>
        <v>0</v>
      </c>
      <c r="AC509" s="377">
        <f t="shared" si="201"/>
        <v>0</v>
      </c>
      <c r="AD509" s="376"/>
      <c r="AE509" s="332">
        <v>494</v>
      </c>
      <c r="AF509" s="350">
        <v>4256055.4885026487</v>
      </c>
      <c r="AG509" s="350">
        <v>8545534.5152109191</v>
      </c>
      <c r="AH509" s="350">
        <v>12867476.548526704</v>
      </c>
      <c r="AI509" s="350">
        <v>17222024.891722899</v>
      </c>
      <c r="AJ509" s="350">
        <v>21609807.531907491</v>
      </c>
      <c r="AK509" s="348">
        <v>64500898.975870661</v>
      </c>
      <c r="AL509" s="369"/>
      <c r="AM509" s="350">
        <v>4993270.2143814927</v>
      </c>
      <c r="AN509" s="350">
        <v>10721256.766754663</v>
      </c>
      <c r="AO509" s="350">
        <v>16290816.24717108</v>
      </c>
      <c r="AP509" s="350">
        <v>21698548.297399566</v>
      </c>
      <c r="AQ509" s="350">
        <v>26942625.421795286</v>
      </c>
      <c r="AR509" s="348">
        <v>80646516.947502077</v>
      </c>
      <c r="AS509" s="369"/>
      <c r="AT509" s="350">
        <f t="shared" si="219"/>
        <v>737214.72587884404</v>
      </c>
      <c r="AU509" s="350">
        <f t="shared" si="202"/>
        <v>2175722.2515437435</v>
      </c>
      <c r="AV509" s="350">
        <f t="shared" si="203"/>
        <v>3423339.6986443754</v>
      </c>
      <c r="AW509" s="350">
        <f t="shared" si="204"/>
        <v>4476523.4056766666</v>
      </c>
      <c r="AX509" s="350">
        <f t="shared" si="205"/>
        <v>5332817.8898877949</v>
      </c>
      <c r="AY509" s="350">
        <f t="shared" si="206"/>
        <v>16145617.971631415</v>
      </c>
      <c r="AZ509" s="365"/>
      <c r="BA509" s="377">
        <f t="shared" si="207"/>
        <v>0</v>
      </c>
      <c r="BB509" s="377">
        <f t="shared" si="208"/>
        <v>0</v>
      </c>
      <c r="BC509" s="377">
        <f t="shared" si="209"/>
        <v>0</v>
      </c>
      <c r="BD509" s="377">
        <f t="shared" si="210"/>
        <v>0</v>
      </c>
      <c r="BE509" s="377">
        <f t="shared" si="211"/>
        <v>0</v>
      </c>
      <c r="BF509" s="377">
        <f t="shared" si="212"/>
        <v>0</v>
      </c>
      <c r="BG509" s="328"/>
    </row>
    <row r="510" spans="2:59">
      <c r="B510" s="332">
        <v>495</v>
      </c>
      <c r="C510" s="350">
        <v>7168726.4673768887</v>
      </c>
      <c r="D510" s="350">
        <v>13377497.284198208</v>
      </c>
      <c r="E510" s="350">
        <v>19632966.65739388</v>
      </c>
      <c r="F510" s="350">
        <v>25935605.315080464</v>
      </c>
      <c r="G510" s="350">
        <v>32286436.795472592</v>
      </c>
      <c r="H510" s="348">
        <v>98401232.519522041</v>
      </c>
      <c r="I510" s="369"/>
      <c r="J510" s="350">
        <v>8257312.7630413491</v>
      </c>
      <c r="K510" s="350">
        <v>16590639.072351757</v>
      </c>
      <c r="L510" s="350">
        <v>24726219.751150839</v>
      </c>
      <c r="M510" s="350">
        <v>32658254.463508707</v>
      </c>
      <c r="N510" s="350">
        <v>40383052.079329073</v>
      </c>
      <c r="O510" s="348">
        <v>122615478.12938173</v>
      </c>
      <c r="P510" s="369"/>
      <c r="Q510" s="350">
        <f t="shared" si="213"/>
        <v>1088586.2956644604</v>
      </c>
      <c r="R510" s="350">
        <f t="shared" si="214"/>
        <v>3213141.7881535497</v>
      </c>
      <c r="S510" s="350">
        <f t="shared" si="215"/>
        <v>5093253.0937569588</v>
      </c>
      <c r="T510" s="350">
        <f t="shared" si="216"/>
        <v>6722649.1484282427</v>
      </c>
      <c r="U510" s="350">
        <f t="shared" si="217"/>
        <v>8096615.2838564813</v>
      </c>
      <c r="V510" s="350">
        <f t="shared" si="218"/>
        <v>24214245.60985969</v>
      </c>
      <c r="W510" s="365"/>
      <c r="X510" s="377">
        <f t="shared" si="196"/>
        <v>0</v>
      </c>
      <c r="Y510" s="377">
        <f t="shared" si="197"/>
        <v>0</v>
      </c>
      <c r="Z510" s="377">
        <f t="shared" si="198"/>
        <v>0</v>
      </c>
      <c r="AA510" s="377">
        <f t="shared" si="199"/>
        <v>0</v>
      </c>
      <c r="AB510" s="377">
        <f t="shared" si="200"/>
        <v>0</v>
      </c>
      <c r="AC510" s="377">
        <f t="shared" si="201"/>
        <v>0</v>
      </c>
      <c r="AD510" s="376"/>
      <c r="AE510" s="332">
        <v>495</v>
      </c>
      <c r="AF510" s="350">
        <v>5457755.8418369871</v>
      </c>
      <c r="AG510" s="350">
        <v>10958372.382128064</v>
      </c>
      <c r="AH510" s="350">
        <v>16500617.882481903</v>
      </c>
      <c r="AI510" s="350">
        <v>22084676.107954405</v>
      </c>
      <c r="AJ510" s="350">
        <v>27711352.358268868</v>
      </c>
      <c r="AK510" s="348">
        <v>82712774.572670221</v>
      </c>
      <c r="AL510" s="369"/>
      <c r="AM510" s="350">
        <v>6525626.6739734812</v>
      </c>
      <c r="AN510" s="350">
        <v>14111719.29517404</v>
      </c>
      <c r="AO510" s="350">
        <v>21498321.849073924</v>
      </c>
      <c r="AP510" s="350">
        <v>28681039.235438962</v>
      </c>
      <c r="AQ510" s="350">
        <v>35657652.030717842</v>
      </c>
      <c r="AR510" s="348">
        <v>106474359.08437824</v>
      </c>
      <c r="AS510" s="369"/>
      <c r="AT510" s="350">
        <f t="shared" si="219"/>
        <v>1067870.8321364941</v>
      </c>
      <c r="AU510" s="350">
        <f t="shared" si="202"/>
        <v>3153346.9130459763</v>
      </c>
      <c r="AV510" s="350">
        <f t="shared" si="203"/>
        <v>4997703.9665920213</v>
      </c>
      <c r="AW510" s="350">
        <f t="shared" si="204"/>
        <v>6596363.1274845563</v>
      </c>
      <c r="AX510" s="350">
        <f t="shared" si="205"/>
        <v>7946299.6724489741</v>
      </c>
      <c r="AY510" s="350">
        <f t="shared" si="206"/>
        <v>23761584.511708021</v>
      </c>
      <c r="AZ510" s="365"/>
      <c r="BA510" s="377">
        <f t="shared" si="207"/>
        <v>0</v>
      </c>
      <c r="BB510" s="377">
        <f t="shared" si="208"/>
        <v>0</v>
      </c>
      <c r="BC510" s="377">
        <f t="shared" si="209"/>
        <v>0</v>
      </c>
      <c r="BD510" s="377">
        <f t="shared" si="210"/>
        <v>0</v>
      </c>
      <c r="BE510" s="377">
        <f t="shared" si="211"/>
        <v>0</v>
      </c>
      <c r="BF510" s="377">
        <f t="shared" si="212"/>
        <v>0</v>
      </c>
      <c r="BG510" s="328"/>
    </row>
    <row r="511" spans="2:59">
      <c r="B511" s="332">
        <v>496</v>
      </c>
      <c r="C511" s="350">
        <v>8963341.8780460674</v>
      </c>
      <c r="D511" s="350">
        <v>16744259.588515894</v>
      </c>
      <c r="E511" s="350">
        <v>24583706.498776205</v>
      </c>
      <c r="F511" s="350">
        <v>32482267.151127361</v>
      </c>
      <c r="G511" s="350">
        <v>40441221.916723363</v>
      </c>
      <c r="H511" s="348">
        <v>123214797.03318891</v>
      </c>
      <c r="I511" s="369"/>
      <c r="J511" s="350">
        <v>10228210.946469363</v>
      </c>
      <c r="K511" s="350">
        <v>20476325.824533995</v>
      </c>
      <c r="L511" s="350">
        <v>30478949.422950819</v>
      </c>
      <c r="M511" s="350">
        <v>40228617.073356397</v>
      </c>
      <c r="N511" s="350">
        <v>49720373.368714027</v>
      </c>
      <c r="O511" s="348">
        <v>151132476.63602459</v>
      </c>
      <c r="P511" s="369"/>
      <c r="Q511" s="350">
        <f t="shared" si="213"/>
        <v>1264869.0684232954</v>
      </c>
      <c r="R511" s="350">
        <f t="shared" si="214"/>
        <v>3732066.2360181008</v>
      </c>
      <c r="S511" s="350">
        <f t="shared" si="215"/>
        <v>5895242.9241746143</v>
      </c>
      <c r="T511" s="350">
        <f t="shared" si="216"/>
        <v>7746349.9222290367</v>
      </c>
      <c r="U511" s="350">
        <f t="shared" si="217"/>
        <v>9279151.451990664</v>
      </c>
      <c r="V511" s="350">
        <f t="shared" si="218"/>
        <v>27917679.602835685</v>
      </c>
      <c r="W511" s="365"/>
      <c r="X511" s="377">
        <f t="shared" si="196"/>
        <v>0</v>
      </c>
      <c r="Y511" s="377">
        <f t="shared" si="197"/>
        <v>0</v>
      </c>
      <c r="Z511" s="377">
        <f t="shared" si="198"/>
        <v>0</v>
      </c>
      <c r="AA511" s="377">
        <f t="shared" si="199"/>
        <v>0</v>
      </c>
      <c r="AB511" s="377">
        <f t="shared" si="200"/>
        <v>0</v>
      </c>
      <c r="AC511" s="377">
        <f t="shared" si="201"/>
        <v>0</v>
      </c>
      <c r="AD511" s="376"/>
      <c r="AE511" s="332">
        <v>496</v>
      </c>
      <c r="AF511" s="350">
        <v>5490911.2861921284</v>
      </c>
      <c r="AG511" s="350">
        <v>11024943.6462644</v>
      </c>
      <c r="AH511" s="350">
        <v>16600857.859110089</v>
      </c>
      <c r="AI511" s="350">
        <v>22218838.806143586</v>
      </c>
      <c r="AJ511" s="350">
        <v>27879696.679221686</v>
      </c>
      <c r="AK511" s="348">
        <v>83215248.276931897</v>
      </c>
      <c r="AL511" s="369"/>
      <c r="AM511" s="350">
        <v>6831239.112609203</v>
      </c>
      <c r="AN511" s="350">
        <v>14986235.107413501</v>
      </c>
      <c r="AO511" s="350">
        <v>22948495.02644242</v>
      </c>
      <c r="AP511" s="350">
        <v>30713521.843453627</v>
      </c>
      <c r="AQ511" s="350">
        <v>38279352.017085887</v>
      </c>
      <c r="AR511" s="348">
        <v>113758843.10700464</v>
      </c>
      <c r="AS511" s="369"/>
      <c r="AT511" s="350">
        <f t="shared" si="219"/>
        <v>1340327.8264170745</v>
      </c>
      <c r="AU511" s="350">
        <f t="shared" si="202"/>
        <v>3961291.4611491002</v>
      </c>
      <c r="AV511" s="350">
        <f t="shared" si="203"/>
        <v>6347637.1673323307</v>
      </c>
      <c r="AW511" s="350">
        <f t="shared" si="204"/>
        <v>8494683.0373100415</v>
      </c>
      <c r="AX511" s="350">
        <f t="shared" si="205"/>
        <v>10399655.337864202</v>
      </c>
      <c r="AY511" s="350">
        <f t="shared" si="206"/>
        <v>30543594.830072746</v>
      </c>
      <c r="AZ511" s="365"/>
      <c r="BA511" s="377">
        <f t="shared" si="207"/>
        <v>0</v>
      </c>
      <c r="BB511" s="377">
        <f t="shared" si="208"/>
        <v>0</v>
      </c>
      <c r="BC511" s="377">
        <f t="shared" si="209"/>
        <v>0</v>
      </c>
      <c r="BD511" s="377">
        <f t="shared" si="210"/>
        <v>0</v>
      </c>
      <c r="BE511" s="377">
        <f t="shared" si="211"/>
        <v>0</v>
      </c>
      <c r="BF511" s="377">
        <f t="shared" si="212"/>
        <v>0</v>
      </c>
      <c r="BG511" s="328"/>
    </row>
    <row r="512" spans="2:59">
      <c r="B512" s="332">
        <v>497</v>
      </c>
      <c r="C512" s="350">
        <v>9719274.1886657253</v>
      </c>
      <c r="D512" s="350">
        <v>18406388.334835693</v>
      </c>
      <c r="E512" s="350">
        <v>27158930.974442966</v>
      </c>
      <c r="F512" s="350">
        <v>35977479.529650003</v>
      </c>
      <c r="G512" s="350">
        <v>44863430.770086519</v>
      </c>
      <c r="H512" s="348">
        <v>136125503.79768091</v>
      </c>
      <c r="I512" s="369"/>
      <c r="J512" s="350">
        <v>10655243.494264219</v>
      </c>
      <c r="K512" s="350">
        <v>21160774.282729089</v>
      </c>
      <c r="L512" s="350">
        <v>31368797.966366809</v>
      </c>
      <c r="M512" s="350">
        <v>41271381.783316933</v>
      </c>
      <c r="N512" s="350">
        <v>50862833.848521307</v>
      </c>
      <c r="O512" s="348">
        <v>155319031.37519836</v>
      </c>
      <c r="P512" s="369"/>
      <c r="Q512" s="350">
        <f t="shared" si="213"/>
        <v>935969.30559849367</v>
      </c>
      <c r="R512" s="350">
        <f t="shared" si="214"/>
        <v>2754385.947893396</v>
      </c>
      <c r="S512" s="350">
        <f t="shared" si="215"/>
        <v>4209866.9919238426</v>
      </c>
      <c r="T512" s="350">
        <f t="shared" si="216"/>
        <v>5293902.2536669299</v>
      </c>
      <c r="U512" s="350">
        <f t="shared" si="217"/>
        <v>5999403.0784347877</v>
      </c>
      <c r="V512" s="350">
        <f t="shared" si="218"/>
        <v>19193527.57751745</v>
      </c>
      <c r="W512" s="365"/>
      <c r="X512" s="377">
        <f t="shared" si="196"/>
        <v>0</v>
      </c>
      <c r="Y512" s="377">
        <f t="shared" si="197"/>
        <v>0</v>
      </c>
      <c r="Z512" s="377">
        <f t="shared" si="198"/>
        <v>0</v>
      </c>
      <c r="AA512" s="377">
        <f t="shared" si="199"/>
        <v>0</v>
      </c>
      <c r="AB512" s="377">
        <f t="shared" si="200"/>
        <v>0</v>
      </c>
      <c r="AC512" s="377">
        <f t="shared" si="201"/>
        <v>0</v>
      </c>
      <c r="AD512" s="376"/>
      <c r="AE512" s="332">
        <v>497</v>
      </c>
      <c r="AF512" s="350">
        <v>7270450.3909161827</v>
      </c>
      <c r="AG512" s="350">
        <v>14597996.8833915</v>
      </c>
      <c r="AH512" s="350">
        <v>21980998.639482982</v>
      </c>
      <c r="AI512" s="350">
        <v>29419700.458474666</v>
      </c>
      <c r="AJ512" s="350">
        <v>36915175.105777413</v>
      </c>
      <c r="AK512" s="348">
        <v>110184321.47804275</v>
      </c>
      <c r="AL512" s="369"/>
      <c r="AM512" s="350">
        <v>8509078.5825171508</v>
      </c>
      <c r="AN512" s="350">
        <v>18253228.244506866</v>
      </c>
      <c r="AO512" s="350">
        <v>27726122.475051336</v>
      </c>
      <c r="AP512" s="350">
        <v>36921958.439565383</v>
      </c>
      <c r="AQ512" s="350">
        <v>45837593.308890283</v>
      </c>
      <c r="AR512" s="348">
        <v>137247981.05053103</v>
      </c>
      <c r="AS512" s="369"/>
      <c r="AT512" s="350">
        <f t="shared" si="219"/>
        <v>1238628.1916009681</v>
      </c>
      <c r="AU512" s="350">
        <f t="shared" si="202"/>
        <v>3655231.3611153662</v>
      </c>
      <c r="AV512" s="350">
        <f t="shared" si="203"/>
        <v>5745123.8355683535</v>
      </c>
      <c r="AW512" s="350">
        <f t="shared" si="204"/>
        <v>7502257.981090717</v>
      </c>
      <c r="AX512" s="350">
        <f t="shared" si="205"/>
        <v>8922418.2031128705</v>
      </c>
      <c r="AY512" s="350">
        <f t="shared" si="206"/>
        <v>27063659.572488278</v>
      </c>
      <c r="AZ512" s="365"/>
      <c r="BA512" s="377">
        <f t="shared" si="207"/>
        <v>0</v>
      </c>
      <c r="BB512" s="377">
        <f t="shared" si="208"/>
        <v>0</v>
      </c>
      <c r="BC512" s="377">
        <f t="shared" si="209"/>
        <v>0</v>
      </c>
      <c r="BD512" s="377">
        <f t="shared" si="210"/>
        <v>0</v>
      </c>
      <c r="BE512" s="377">
        <f t="shared" si="211"/>
        <v>0</v>
      </c>
      <c r="BF512" s="377">
        <f t="shared" si="212"/>
        <v>0</v>
      </c>
      <c r="BG512" s="328"/>
    </row>
    <row r="513" spans="2:59">
      <c r="B513" s="332">
        <v>498</v>
      </c>
      <c r="C513" s="350">
        <v>8809388.2036481686</v>
      </c>
      <c r="D513" s="350">
        <v>16362715.406829577</v>
      </c>
      <c r="E513" s="350">
        <v>23972828.742122706</v>
      </c>
      <c r="F513" s="350">
        <v>31640323.914072633</v>
      </c>
      <c r="G513" s="350">
        <v>39366456.139070936</v>
      </c>
      <c r="H513" s="348">
        <v>120151712.40574402</v>
      </c>
      <c r="I513" s="369"/>
      <c r="J513" s="350">
        <v>10063401.885208379</v>
      </c>
      <c r="K513" s="350">
        <v>20063150.694057398</v>
      </c>
      <c r="L513" s="350">
        <v>29820240.773139201</v>
      </c>
      <c r="M513" s="350">
        <v>39327652.493155316</v>
      </c>
      <c r="N513" s="350">
        <v>48580827.942374364</v>
      </c>
      <c r="O513" s="348">
        <v>147855273.78793466</v>
      </c>
      <c r="P513" s="369"/>
      <c r="Q513" s="350">
        <f t="shared" si="213"/>
        <v>1254013.6815602109</v>
      </c>
      <c r="R513" s="350">
        <f t="shared" si="214"/>
        <v>3700435.2872278206</v>
      </c>
      <c r="S513" s="350">
        <f t="shared" si="215"/>
        <v>5847412.0310164951</v>
      </c>
      <c r="T513" s="350">
        <f t="shared" si="216"/>
        <v>7687328.5790826827</v>
      </c>
      <c r="U513" s="350">
        <f t="shared" si="217"/>
        <v>9214371.803303428</v>
      </c>
      <c r="V513" s="350">
        <f t="shared" si="218"/>
        <v>27703561.382190645</v>
      </c>
      <c r="W513" s="365"/>
      <c r="X513" s="377">
        <f t="shared" si="196"/>
        <v>0</v>
      </c>
      <c r="Y513" s="377">
        <f t="shared" si="197"/>
        <v>0</v>
      </c>
      <c r="Z513" s="377">
        <f t="shared" si="198"/>
        <v>0</v>
      </c>
      <c r="AA513" s="377">
        <f t="shared" si="199"/>
        <v>0</v>
      </c>
      <c r="AB513" s="377">
        <f t="shared" si="200"/>
        <v>0</v>
      </c>
      <c r="AC513" s="377">
        <f t="shared" si="201"/>
        <v>0</v>
      </c>
      <c r="AD513" s="376"/>
      <c r="AE513" s="332">
        <v>498</v>
      </c>
      <c r="AF513" s="350">
        <v>4791756.6290215794</v>
      </c>
      <c r="AG513" s="350">
        <v>9621143.7497495748</v>
      </c>
      <c r="AH513" s="350">
        <v>14487079.930406362</v>
      </c>
      <c r="AI513" s="350">
        <v>19389726.511559438</v>
      </c>
      <c r="AJ513" s="350">
        <v>24329790.523790479</v>
      </c>
      <c r="AK513" s="348">
        <v>72619497.344527438</v>
      </c>
      <c r="AL513" s="369"/>
      <c r="AM513" s="350">
        <v>5619673.4215679551</v>
      </c>
      <c r="AN513" s="350">
        <v>12064522.443074672</v>
      </c>
      <c r="AO513" s="350">
        <v>18330940.909655884</v>
      </c>
      <c r="AP513" s="350">
        <v>24415101.057867356</v>
      </c>
      <c r="AQ513" s="350">
        <v>30314943.252521358</v>
      </c>
      <c r="AR513" s="348">
        <v>90745181.084687233</v>
      </c>
      <c r="AS513" s="369"/>
      <c r="AT513" s="350">
        <f t="shared" si="219"/>
        <v>827916.79254637565</v>
      </c>
      <c r="AU513" s="350">
        <f t="shared" si="202"/>
        <v>2443378.6933250967</v>
      </c>
      <c r="AV513" s="350">
        <f t="shared" si="203"/>
        <v>3843860.9792495221</v>
      </c>
      <c r="AW513" s="350">
        <f t="shared" si="204"/>
        <v>5025374.5463079177</v>
      </c>
      <c r="AX513" s="350">
        <f t="shared" si="205"/>
        <v>5985152.7287308797</v>
      </c>
      <c r="AY513" s="350">
        <f t="shared" si="206"/>
        <v>18125683.740159795</v>
      </c>
      <c r="AZ513" s="365"/>
      <c r="BA513" s="377">
        <f t="shared" si="207"/>
        <v>0</v>
      </c>
      <c r="BB513" s="377">
        <f t="shared" si="208"/>
        <v>0</v>
      </c>
      <c r="BC513" s="377">
        <f t="shared" si="209"/>
        <v>0</v>
      </c>
      <c r="BD513" s="377">
        <f t="shared" si="210"/>
        <v>0</v>
      </c>
      <c r="BE513" s="377">
        <f t="shared" si="211"/>
        <v>0</v>
      </c>
      <c r="BF513" s="377">
        <f t="shared" si="212"/>
        <v>0</v>
      </c>
      <c r="BG513" s="328"/>
    </row>
    <row r="514" spans="2:59">
      <c r="B514" s="332">
        <v>499</v>
      </c>
      <c r="C514" s="350">
        <v>9103885.4265892077</v>
      </c>
      <c r="D514" s="350">
        <v>17177365.904093459</v>
      </c>
      <c r="E514" s="350">
        <v>25311632.740944326</v>
      </c>
      <c r="F514" s="350">
        <v>33507241.152108036</v>
      </c>
      <c r="G514" s="350">
        <v>41765497.327533193</v>
      </c>
      <c r="H514" s="348">
        <v>126865622.55126822</v>
      </c>
      <c r="I514" s="369"/>
      <c r="J514" s="350">
        <v>10703871.465129606</v>
      </c>
      <c r="K514" s="350">
        <v>21902552.746120803</v>
      </c>
      <c r="L514" s="350">
        <v>32842728.187983423</v>
      </c>
      <c r="M514" s="350">
        <v>43516999.623742342</v>
      </c>
      <c r="N514" s="350">
        <v>53920993.060769118</v>
      </c>
      <c r="O514" s="348">
        <v>162887145.0837453</v>
      </c>
      <c r="P514" s="369"/>
      <c r="Q514" s="350">
        <f t="shared" si="213"/>
        <v>1599986.0385403987</v>
      </c>
      <c r="R514" s="350">
        <f t="shared" si="214"/>
        <v>4725186.8420273438</v>
      </c>
      <c r="S514" s="350">
        <f t="shared" si="215"/>
        <v>7531095.4470390975</v>
      </c>
      <c r="T514" s="350">
        <f t="shared" si="216"/>
        <v>10009758.471634306</v>
      </c>
      <c r="U514" s="350">
        <f t="shared" si="217"/>
        <v>12155495.733235925</v>
      </c>
      <c r="V514" s="350">
        <f t="shared" si="218"/>
        <v>36021522.532477081</v>
      </c>
      <c r="W514" s="365"/>
      <c r="X514" s="377">
        <f t="shared" si="196"/>
        <v>0</v>
      </c>
      <c r="Y514" s="377">
        <f t="shared" si="197"/>
        <v>0</v>
      </c>
      <c r="Z514" s="377">
        <f t="shared" si="198"/>
        <v>0</v>
      </c>
      <c r="AA514" s="377">
        <f t="shared" si="199"/>
        <v>0</v>
      </c>
      <c r="AB514" s="377">
        <f t="shared" si="200"/>
        <v>0</v>
      </c>
      <c r="AC514" s="377">
        <f t="shared" si="201"/>
        <v>0</v>
      </c>
      <c r="AD514" s="376"/>
      <c r="AE514" s="332">
        <v>499</v>
      </c>
      <c r="AF514" s="350">
        <v>7055894.3625555299</v>
      </c>
      <c r="AG514" s="350">
        <v>14167199.881154206</v>
      </c>
      <c r="AH514" s="350">
        <v>21332324.140117604</v>
      </c>
      <c r="AI514" s="350">
        <v>28551504.714533284</v>
      </c>
      <c r="AJ514" s="350">
        <v>35825782.711761564</v>
      </c>
      <c r="AK514" s="348">
        <v>106932705.81012219</v>
      </c>
      <c r="AL514" s="369"/>
      <c r="AM514" s="350">
        <v>8289622.3683960857</v>
      </c>
      <c r="AN514" s="350">
        <v>17808435.120338485</v>
      </c>
      <c r="AO514" s="350">
        <v>27064945.381620806</v>
      </c>
      <c r="AP514" s="350">
        <v>36053512.610800304</v>
      </c>
      <c r="AQ514" s="350">
        <v>44771118.782437854</v>
      </c>
      <c r="AR514" s="348">
        <v>133987634.26359352</v>
      </c>
      <c r="AS514" s="369"/>
      <c r="AT514" s="350">
        <f t="shared" si="219"/>
        <v>1233728.0058405558</v>
      </c>
      <c r="AU514" s="350">
        <f t="shared" si="202"/>
        <v>3641235.239184279</v>
      </c>
      <c r="AV514" s="350">
        <f t="shared" si="203"/>
        <v>5732621.2415032014</v>
      </c>
      <c r="AW514" s="350">
        <f t="shared" si="204"/>
        <v>7502007.8962670192</v>
      </c>
      <c r="AX514" s="350">
        <f t="shared" si="205"/>
        <v>8945336.0706762895</v>
      </c>
      <c r="AY514" s="350">
        <f t="shared" si="206"/>
        <v>27054928.453471333</v>
      </c>
      <c r="AZ514" s="365"/>
      <c r="BA514" s="377">
        <f t="shared" si="207"/>
        <v>0</v>
      </c>
      <c r="BB514" s="377">
        <f t="shared" si="208"/>
        <v>0</v>
      </c>
      <c r="BC514" s="377">
        <f t="shared" si="209"/>
        <v>0</v>
      </c>
      <c r="BD514" s="377">
        <f t="shared" si="210"/>
        <v>0</v>
      </c>
      <c r="BE514" s="377">
        <f t="shared" si="211"/>
        <v>0</v>
      </c>
      <c r="BF514" s="377">
        <f t="shared" si="212"/>
        <v>0</v>
      </c>
      <c r="BG514" s="328"/>
    </row>
    <row r="515" spans="2:59">
      <c r="B515" s="332">
        <v>500</v>
      </c>
      <c r="C515" s="350">
        <v>8098979.6753865071</v>
      </c>
      <c r="D515" s="350">
        <v>15130985.265673757</v>
      </c>
      <c r="E515" s="350">
        <v>22215887.101194266</v>
      </c>
      <c r="F515" s="350">
        <v>29354213.03338521</v>
      </c>
      <c r="G515" s="350">
        <v>36547120.011324421</v>
      </c>
      <c r="H515" s="348">
        <v>111347185.08696416</v>
      </c>
      <c r="I515" s="369"/>
      <c r="J515" s="350">
        <v>9144520.6386394538</v>
      </c>
      <c r="K515" s="350">
        <v>18214422.658446953</v>
      </c>
      <c r="L515" s="350">
        <v>27046048.709643587</v>
      </c>
      <c r="M515" s="350">
        <v>35633207.80829291</v>
      </c>
      <c r="N515" s="350">
        <v>43971871.27156499</v>
      </c>
      <c r="O515" s="348">
        <v>134010071.08658789</v>
      </c>
      <c r="P515" s="369"/>
      <c r="Q515" s="350">
        <f t="shared" si="213"/>
        <v>1045540.9632529467</v>
      </c>
      <c r="R515" s="350">
        <f t="shared" si="214"/>
        <v>3083437.3927731961</v>
      </c>
      <c r="S515" s="350">
        <f t="shared" si="215"/>
        <v>4830161.6084493212</v>
      </c>
      <c r="T515" s="350">
        <f t="shared" si="216"/>
        <v>6278994.7749077007</v>
      </c>
      <c r="U515" s="350">
        <f t="shared" si="217"/>
        <v>7424751.2602405697</v>
      </c>
      <c r="V515" s="350">
        <f t="shared" si="218"/>
        <v>22662885.999623731</v>
      </c>
      <c r="W515" s="365"/>
      <c r="X515" s="377">
        <f t="shared" si="196"/>
        <v>0</v>
      </c>
      <c r="Y515" s="377">
        <f t="shared" si="197"/>
        <v>0</v>
      </c>
      <c r="Z515" s="377">
        <f t="shared" si="198"/>
        <v>0</v>
      </c>
      <c r="AA515" s="377">
        <f t="shared" si="199"/>
        <v>0</v>
      </c>
      <c r="AB515" s="377">
        <f t="shared" si="200"/>
        <v>0</v>
      </c>
      <c r="AC515" s="377">
        <f t="shared" si="201"/>
        <v>0</v>
      </c>
      <c r="AD515" s="376"/>
      <c r="AE515" s="332">
        <v>500</v>
      </c>
      <c r="AF515" s="350">
        <v>8260611.8027387643</v>
      </c>
      <c r="AG515" s="350">
        <v>16586095.615472816</v>
      </c>
      <c r="AH515" s="350">
        <v>24974587.134816632</v>
      </c>
      <c r="AI515" s="350">
        <v>33426364.499227427</v>
      </c>
      <c r="AJ515" s="350">
        <v>41942646.573856339</v>
      </c>
      <c r="AK515" s="348">
        <v>125190305.62611197</v>
      </c>
      <c r="AL515" s="369"/>
      <c r="AM515" s="350">
        <v>9795522.817604294</v>
      </c>
      <c r="AN515" s="350">
        <v>21117539.421968512</v>
      </c>
      <c r="AO515" s="350">
        <v>32135179.851749852</v>
      </c>
      <c r="AP515" s="350">
        <v>42841814.896910883</v>
      </c>
      <c r="AQ515" s="350">
        <v>53234002.92999205</v>
      </c>
      <c r="AR515" s="348">
        <v>159124059.91822559</v>
      </c>
      <c r="AS515" s="369"/>
      <c r="AT515" s="350">
        <f t="shared" si="219"/>
        <v>1534911.0148655297</v>
      </c>
      <c r="AU515" s="350">
        <f t="shared" si="202"/>
        <v>4531443.8064956963</v>
      </c>
      <c r="AV515" s="350">
        <f t="shared" si="203"/>
        <v>7160592.7169332206</v>
      </c>
      <c r="AW515" s="350">
        <f t="shared" si="204"/>
        <v>9415450.3976834565</v>
      </c>
      <c r="AX515" s="350">
        <f t="shared" si="205"/>
        <v>11291356.356135711</v>
      </c>
      <c r="AY515" s="350">
        <f t="shared" si="206"/>
        <v>33933754.292113617</v>
      </c>
      <c r="AZ515" s="365"/>
      <c r="BA515" s="377">
        <f t="shared" si="207"/>
        <v>0</v>
      </c>
      <c r="BB515" s="377">
        <f t="shared" si="208"/>
        <v>0</v>
      </c>
      <c r="BC515" s="377">
        <f t="shared" si="209"/>
        <v>0</v>
      </c>
      <c r="BD515" s="377">
        <f t="shared" si="210"/>
        <v>0</v>
      </c>
      <c r="BE515" s="377">
        <f t="shared" si="211"/>
        <v>0</v>
      </c>
      <c r="BF515" s="377">
        <f t="shared" si="212"/>
        <v>0</v>
      </c>
      <c r="BG515" s="328"/>
    </row>
    <row r="516" spans="2:59">
      <c r="B516" s="332">
        <v>501</v>
      </c>
      <c r="C516" s="350">
        <v>7837165.8465951756</v>
      </c>
      <c r="D516" s="350">
        <v>14836424.603938196</v>
      </c>
      <c r="E516" s="350">
        <v>21888397.674332902</v>
      </c>
      <c r="F516" s="350">
        <v>28993551.932618242</v>
      </c>
      <c r="G516" s="350">
        <v>36153013.478881031</v>
      </c>
      <c r="H516" s="348">
        <v>109708553.53636555</v>
      </c>
      <c r="I516" s="369"/>
      <c r="J516" s="350">
        <v>9042817.7097712867</v>
      </c>
      <c r="K516" s="350">
        <v>18394776.754532337</v>
      </c>
      <c r="L516" s="350">
        <v>27521854.177267119</v>
      </c>
      <c r="M516" s="350">
        <v>36417484.575505733</v>
      </c>
      <c r="N516" s="350">
        <v>45077490.169907674</v>
      </c>
      <c r="O516" s="348">
        <v>136454423.38698417</v>
      </c>
      <c r="P516" s="369"/>
      <c r="Q516" s="350">
        <f t="shared" si="213"/>
        <v>1205651.8631761111</v>
      </c>
      <c r="R516" s="350">
        <f t="shared" si="214"/>
        <v>3558352.1505941413</v>
      </c>
      <c r="S516" s="350">
        <f t="shared" si="215"/>
        <v>5633456.5029342175</v>
      </c>
      <c r="T516" s="350">
        <f t="shared" si="216"/>
        <v>7423932.6428874917</v>
      </c>
      <c r="U516" s="350">
        <f t="shared" si="217"/>
        <v>8924476.6910266429</v>
      </c>
      <c r="V516" s="350">
        <f t="shared" si="218"/>
        <v>26745869.850618616</v>
      </c>
      <c r="W516" s="365"/>
      <c r="X516" s="377">
        <f t="shared" si="196"/>
        <v>0</v>
      </c>
      <c r="Y516" s="377">
        <f t="shared" si="197"/>
        <v>0</v>
      </c>
      <c r="Z516" s="377">
        <f t="shared" si="198"/>
        <v>0</v>
      </c>
      <c r="AA516" s="377">
        <f t="shared" si="199"/>
        <v>0</v>
      </c>
      <c r="AB516" s="377">
        <f t="shared" si="200"/>
        <v>0</v>
      </c>
      <c r="AC516" s="377">
        <f t="shared" si="201"/>
        <v>0</v>
      </c>
      <c r="AD516" s="376"/>
      <c r="AE516" s="332">
        <v>501</v>
      </c>
      <c r="AF516" s="350">
        <v>7378488.2920706989</v>
      </c>
      <c r="AG516" s="350">
        <v>14814921.125982068</v>
      </c>
      <c r="AH516" s="350">
        <v>22307633.281163108</v>
      </c>
      <c r="AI516" s="350">
        <v>29856873.194581822</v>
      </c>
      <c r="AJ516" s="350">
        <v>37463729.572796762</v>
      </c>
      <c r="AK516" s="348">
        <v>111821645.46659446</v>
      </c>
      <c r="AL516" s="369"/>
      <c r="AM516" s="350">
        <v>8271365.9836267307</v>
      </c>
      <c r="AN516" s="350">
        <v>17444487.94052808</v>
      </c>
      <c r="AO516" s="350">
        <v>26331417.049855176</v>
      </c>
      <c r="AP516" s="350">
        <v>34926367.244614944</v>
      </c>
      <c r="AQ516" s="350">
        <v>43225780.188627832</v>
      </c>
      <c r="AR516" s="348">
        <v>130199418.40725276</v>
      </c>
      <c r="AS516" s="369"/>
      <c r="AT516" s="350">
        <f t="shared" si="219"/>
        <v>892877.69155603182</v>
      </c>
      <c r="AU516" s="350">
        <f t="shared" si="202"/>
        <v>2629566.8145460114</v>
      </c>
      <c r="AV516" s="350">
        <f t="shared" si="203"/>
        <v>4023783.7686920688</v>
      </c>
      <c r="AW516" s="350">
        <f t="shared" si="204"/>
        <v>5069494.0500331223</v>
      </c>
      <c r="AX516" s="350">
        <f t="shared" si="205"/>
        <v>5762050.6158310696</v>
      </c>
      <c r="AY516" s="350">
        <f t="shared" si="206"/>
        <v>18377772.940658301</v>
      </c>
      <c r="AZ516" s="365"/>
      <c r="BA516" s="377">
        <f t="shared" si="207"/>
        <v>0</v>
      </c>
      <c r="BB516" s="377">
        <f t="shared" si="208"/>
        <v>0</v>
      </c>
      <c r="BC516" s="377">
        <f t="shared" si="209"/>
        <v>0</v>
      </c>
      <c r="BD516" s="377">
        <f t="shared" si="210"/>
        <v>0</v>
      </c>
      <c r="BE516" s="377">
        <f t="shared" si="211"/>
        <v>0</v>
      </c>
      <c r="BF516" s="377">
        <f t="shared" si="212"/>
        <v>0</v>
      </c>
      <c r="BG516" s="328"/>
    </row>
    <row r="517" spans="2:59">
      <c r="B517" s="332">
        <v>502</v>
      </c>
      <c r="C517" s="350">
        <v>10536681.187065307</v>
      </c>
      <c r="D517" s="350">
        <v>19928233.539750166</v>
      </c>
      <c r="E517" s="350">
        <v>29390511.5720734</v>
      </c>
      <c r="F517" s="350">
        <v>38924147.172844857</v>
      </c>
      <c r="G517" s="350">
        <v>48530653.701424524</v>
      </c>
      <c r="H517" s="348">
        <v>147310227.17315826</v>
      </c>
      <c r="I517" s="369"/>
      <c r="J517" s="350">
        <v>11876975.778708026</v>
      </c>
      <c r="K517" s="350">
        <v>23879990.971270572</v>
      </c>
      <c r="L517" s="350">
        <v>35569029.463016234</v>
      </c>
      <c r="M517" s="350">
        <v>46935515.516052336</v>
      </c>
      <c r="N517" s="350">
        <v>57973720.52506642</v>
      </c>
      <c r="O517" s="348">
        <v>176235232.25411361</v>
      </c>
      <c r="P517" s="369"/>
      <c r="Q517" s="350">
        <f t="shared" si="213"/>
        <v>1340294.5916427188</v>
      </c>
      <c r="R517" s="350">
        <f t="shared" si="214"/>
        <v>3951757.4315204062</v>
      </c>
      <c r="S517" s="350">
        <f t="shared" si="215"/>
        <v>6178517.8909428343</v>
      </c>
      <c r="T517" s="350">
        <f t="shared" si="216"/>
        <v>8011368.3432074785</v>
      </c>
      <c r="U517" s="350">
        <f t="shared" si="217"/>
        <v>9443066.8236418962</v>
      </c>
      <c r="V517" s="350">
        <f t="shared" si="218"/>
        <v>28925005.080955356</v>
      </c>
      <c r="W517" s="365"/>
      <c r="X517" s="377">
        <f t="shared" si="196"/>
        <v>0</v>
      </c>
      <c r="Y517" s="377">
        <f t="shared" si="197"/>
        <v>0</v>
      </c>
      <c r="Z517" s="377">
        <f t="shared" si="198"/>
        <v>0</v>
      </c>
      <c r="AA517" s="377">
        <f t="shared" si="199"/>
        <v>0</v>
      </c>
      <c r="AB517" s="377">
        <f t="shared" si="200"/>
        <v>0</v>
      </c>
      <c r="AC517" s="377">
        <f t="shared" si="201"/>
        <v>0</v>
      </c>
      <c r="AD517" s="376"/>
      <c r="AE517" s="332">
        <v>502</v>
      </c>
      <c r="AF517" s="350">
        <v>6906781.702421261</v>
      </c>
      <c r="AG517" s="350">
        <v>13867803.55343372</v>
      </c>
      <c r="AH517" s="350">
        <v>20881506.789979823</v>
      </c>
      <c r="AI517" s="350">
        <v>27948123.966457829</v>
      </c>
      <c r="AJ517" s="350">
        <v>35068674.188440621</v>
      </c>
      <c r="AK517" s="348">
        <v>104672890.20073324</v>
      </c>
      <c r="AL517" s="369"/>
      <c r="AM517" s="350">
        <v>8018825.4209731007</v>
      </c>
      <c r="AN517" s="350">
        <v>17148531.711353097</v>
      </c>
      <c r="AO517" s="350">
        <v>26018615.161503322</v>
      </c>
      <c r="AP517" s="350">
        <v>34623581.474472448</v>
      </c>
      <c r="AQ517" s="350">
        <v>42960379.572568223</v>
      </c>
      <c r="AR517" s="348">
        <v>128769933.34087019</v>
      </c>
      <c r="AS517" s="369"/>
      <c r="AT517" s="350">
        <f t="shared" si="219"/>
        <v>1112043.7185518397</v>
      </c>
      <c r="AU517" s="350">
        <f t="shared" si="202"/>
        <v>3280728.1579193771</v>
      </c>
      <c r="AV517" s="350">
        <f t="shared" si="203"/>
        <v>5137108.3715234995</v>
      </c>
      <c r="AW517" s="350">
        <f t="shared" si="204"/>
        <v>6675457.5080146194</v>
      </c>
      <c r="AX517" s="350">
        <f t="shared" si="205"/>
        <v>7891705.384127602</v>
      </c>
      <c r="AY517" s="350">
        <f t="shared" si="206"/>
        <v>24097043.140136942</v>
      </c>
      <c r="AZ517" s="365"/>
      <c r="BA517" s="377">
        <f t="shared" si="207"/>
        <v>0</v>
      </c>
      <c r="BB517" s="377">
        <f t="shared" si="208"/>
        <v>0</v>
      </c>
      <c r="BC517" s="377">
        <f t="shared" si="209"/>
        <v>0</v>
      </c>
      <c r="BD517" s="377">
        <f t="shared" si="210"/>
        <v>0</v>
      </c>
      <c r="BE517" s="377">
        <f t="shared" si="211"/>
        <v>0</v>
      </c>
      <c r="BF517" s="377">
        <f t="shared" si="212"/>
        <v>0</v>
      </c>
      <c r="BG517" s="328"/>
    </row>
    <row r="518" spans="2:59">
      <c r="B518" s="332">
        <v>503</v>
      </c>
      <c r="C518" s="350">
        <v>6266125.6034292635</v>
      </c>
      <c r="D518" s="350">
        <v>11790680.930045098</v>
      </c>
      <c r="E518" s="350">
        <v>17356820.920470357</v>
      </c>
      <c r="F518" s="350">
        <v>22964935.025632393</v>
      </c>
      <c r="G518" s="350">
        <v>28615921.195488095</v>
      </c>
      <c r="H518" s="348">
        <v>86994483.675065205</v>
      </c>
      <c r="I518" s="369"/>
      <c r="J518" s="350">
        <v>7123453.0431732424</v>
      </c>
      <c r="K518" s="350">
        <v>14319658.913569693</v>
      </c>
      <c r="L518" s="350">
        <v>21340606.768690206</v>
      </c>
      <c r="M518" s="350">
        <v>28180975.632277798</v>
      </c>
      <c r="N518" s="350">
        <v>34837187.473839447</v>
      </c>
      <c r="O518" s="348">
        <v>105801881.83155039</v>
      </c>
      <c r="P518" s="369"/>
      <c r="Q518" s="350">
        <f t="shared" si="213"/>
        <v>857327.4397439789</v>
      </c>
      <c r="R518" s="350">
        <f t="shared" si="214"/>
        <v>2528977.9835245945</v>
      </c>
      <c r="S518" s="350">
        <f t="shared" si="215"/>
        <v>3983785.8482198492</v>
      </c>
      <c r="T518" s="350">
        <f t="shared" si="216"/>
        <v>5216040.6066454053</v>
      </c>
      <c r="U518" s="350">
        <f t="shared" si="217"/>
        <v>6221266.2783513516</v>
      </c>
      <c r="V518" s="350">
        <f t="shared" si="218"/>
        <v>18807398.156485185</v>
      </c>
      <c r="W518" s="365"/>
      <c r="X518" s="377">
        <f t="shared" si="196"/>
        <v>0</v>
      </c>
      <c r="Y518" s="377">
        <f t="shared" si="197"/>
        <v>0</v>
      </c>
      <c r="Z518" s="377">
        <f t="shared" si="198"/>
        <v>0</v>
      </c>
      <c r="AA518" s="377">
        <f t="shared" si="199"/>
        <v>0</v>
      </c>
      <c r="AB518" s="377">
        <f t="shared" si="200"/>
        <v>0</v>
      </c>
      <c r="AC518" s="377">
        <f t="shared" si="201"/>
        <v>0</v>
      </c>
      <c r="AD518" s="376"/>
      <c r="AE518" s="332">
        <v>503</v>
      </c>
      <c r="AF518" s="350">
        <v>6233775.3070543781</v>
      </c>
      <c r="AG518" s="350">
        <v>12516505.527338494</v>
      </c>
      <c r="AH518" s="350">
        <v>18846783.785830606</v>
      </c>
      <c r="AI518" s="350">
        <v>25224819.976505633</v>
      </c>
      <c r="AJ518" s="350">
        <v>31651533.901874974</v>
      </c>
      <c r="AK518" s="348">
        <v>94473418.498604089</v>
      </c>
      <c r="AL518" s="369"/>
      <c r="AM518" s="350">
        <v>7633183.7710594535</v>
      </c>
      <c r="AN518" s="350">
        <v>16651155.650204724</v>
      </c>
      <c r="AO518" s="350">
        <v>25446654.752498675</v>
      </c>
      <c r="AP518" s="350">
        <v>34014610.227533072</v>
      </c>
      <c r="AQ518" s="350">
        <v>42352669.074328601</v>
      </c>
      <c r="AR518" s="348">
        <v>126098273.47562453</v>
      </c>
      <c r="AS518" s="369"/>
      <c r="AT518" s="350">
        <f t="shared" si="219"/>
        <v>1399408.4640050754</v>
      </c>
      <c r="AU518" s="350">
        <f t="shared" si="202"/>
        <v>4134650.1228662301</v>
      </c>
      <c r="AV518" s="350">
        <f t="shared" si="203"/>
        <v>6599870.9666680694</v>
      </c>
      <c r="AW518" s="350">
        <f t="shared" si="204"/>
        <v>8789790.2510274388</v>
      </c>
      <c r="AX518" s="350">
        <f t="shared" si="205"/>
        <v>10701135.172453627</v>
      </c>
      <c r="AY518" s="350">
        <f t="shared" si="206"/>
        <v>31624854.977020442</v>
      </c>
      <c r="AZ518" s="365"/>
      <c r="BA518" s="377">
        <f t="shared" si="207"/>
        <v>0</v>
      </c>
      <c r="BB518" s="377">
        <f t="shared" si="208"/>
        <v>0</v>
      </c>
      <c r="BC518" s="377">
        <f t="shared" si="209"/>
        <v>0</v>
      </c>
      <c r="BD518" s="377">
        <f t="shared" si="210"/>
        <v>0</v>
      </c>
      <c r="BE518" s="377">
        <f t="shared" si="211"/>
        <v>0</v>
      </c>
      <c r="BF518" s="377">
        <f t="shared" si="212"/>
        <v>0</v>
      </c>
      <c r="BG518" s="328"/>
    </row>
    <row r="519" spans="2:59">
      <c r="B519" s="332">
        <v>504</v>
      </c>
      <c r="C519" s="350">
        <v>5195908.7131514587</v>
      </c>
      <c r="D519" s="350">
        <v>9603448.0748324022</v>
      </c>
      <c r="E519" s="350">
        <v>14044107.516781069</v>
      </c>
      <c r="F519" s="350">
        <v>18518249.120339215</v>
      </c>
      <c r="G519" s="350">
        <v>23026611.630663447</v>
      </c>
      <c r="H519" s="348">
        <v>70388325.055767596</v>
      </c>
      <c r="I519" s="369"/>
      <c r="J519" s="350">
        <v>6122136.6836315542</v>
      </c>
      <c r="K519" s="350">
        <v>12339524.299263041</v>
      </c>
      <c r="L519" s="350">
        <v>18419002.593479544</v>
      </c>
      <c r="M519" s="350">
        <v>24356528.851399165</v>
      </c>
      <c r="N519" s="350">
        <v>30149744.067690786</v>
      </c>
      <c r="O519" s="348">
        <v>91386936.495464101</v>
      </c>
      <c r="P519" s="369"/>
      <c r="Q519" s="350">
        <f t="shared" si="213"/>
        <v>926227.9704800956</v>
      </c>
      <c r="R519" s="350">
        <f t="shared" si="214"/>
        <v>2736076.2244306393</v>
      </c>
      <c r="S519" s="350">
        <f t="shared" si="215"/>
        <v>4374895.0766984746</v>
      </c>
      <c r="T519" s="350">
        <f t="shared" si="216"/>
        <v>5838279.7310599498</v>
      </c>
      <c r="U519" s="350">
        <f t="shared" si="217"/>
        <v>7123132.4370273389</v>
      </c>
      <c r="V519" s="350">
        <f t="shared" si="218"/>
        <v>20998611.439696506</v>
      </c>
      <c r="W519" s="365"/>
      <c r="X519" s="377">
        <f t="shared" si="196"/>
        <v>0</v>
      </c>
      <c r="Y519" s="377">
        <f t="shared" si="197"/>
        <v>0</v>
      </c>
      <c r="Z519" s="377">
        <f t="shared" si="198"/>
        <v>0</v>
      </c>
      <c r="AA519" s="377">
        <f t="shared" si="199"/>
        <v>0</v>
      </c>
      <c r="AB519" s="377">
        <f t="shared" si="200"/>
        <v>0</v>
      </c>
      <c r="AC519" s="377">
        <f t="shared" si="201"/>
        <v>0</v>
      </c>
      <c r="AD519" s="376"/>
      <c r="AE519" s="332">
        <v>504</v>
      </c>
      <c r="AF519" s="350">
        <v>5735344.1466954602</v>
      </c>
      <c r="AG519" s="350">
        <v>11515728.940705625</v>
      </c>
      <c r="AH519" s="350">
        <v>17339859.995880272</v>
      </c>
      <c r="AI519" s="350">
        <v>23207930.423796445</v>
      </c>
      <c r="AJ519" s="350">
        <v>29120786.482731022</v>
      </c>
      <c r="AK519" s="348">
        <v>86919649.989808828</v>
      </c>
      <c r="AL519" s="369"/>
      <c r="AM519" s="350">
        <v>6993588.1355972895</v>
      </c>
      <c r="AN519" s="350">
        <v>15232972.761951569</v>
      </c>
      <c r="AO519" s="350">
        <v>23266796.043207005</v>
      </c>
      <c r="AP519" s="350">
        <v>31090400.856032334</v>
      </c>
      <c r="AQ519" s="350">
        <v>38701592.691001005</v>
      </c>
      <c r="AR519" s="348">
        <v>115285350.48778918</v>
      </c>
      <c r="AS519" s="369"/>
      <c r="AT519" s="350">
        <f t="shared" si="219"/>
        <v>1258243.9889018293</v>
      </c>
      <c r="AU519" s="350">
        <f t="shared" si="202"/>
        <v>3717243.8212459441</v>
      </c>
      <c r="AV519" s="350">
        <f t="shared" si="203"/>
        <v>5926936.0473267324</v>
      </c>
      <c r="AW519" s="350">
        <f t="shared" si="204"/>
        <v>7882470.4322358891</v>
      </c>
      <c r="AX519" s="350">
        <f t="shared" si="205"/>
        <v>9580806.2082699835</v>
      </c>
      <c r="AY519" s="350">
        <f t="shared" si="206"/>
        <v>28365700.497980356</v>
      </c>
      <c r="AZ519" s="365"/>
      <c r="BA519" s="377">
        <f t="shared" si="207"/>
        <v>0</v>
      </c>
      <c r="BB519" s="377">
        <f t="shared" si="208"/>
        <v>0</v>
      </c>
      <c r="BC519" s="377">
        <f t="shared" si="209"/>
        <v>0</v>
      </c>
      <c r="BD519" s="377">
        <f t="shared" si="210"/>
        <v>0</v>
      </c>
      <c r="BE519" s="377">
        <f t="shared" si="211"/>
        <v>0</v>
      </c>
      <c r="BF519" s="377">
        <f t="shared" si="212"/>
        <v>0</v>
      </c>
      <c r="BG519" s="328"/>
    </row>
    <row r="520" spans="2:59">
      <c r="B520" s="332">
        <v>505</v>
      </c>
      <c r="C520" s="350">
        <v>8849376.9048561268</v>
      </c>
      <c r="D520" s="350">
        <v>16660060.421261102</v>
      </c>
      <c r="E520" s="350">
        <v>24529539.642235838</v>
      </c>
      <c r="F520" s="350">
        <v>32458362.632837411</v>
      </c>
      <c r="G520" s="350">
        <v>40447797.818137705</v>
      </c>
      <c r="H520" s="348">
        <v>122945137.41932818</v>
      </c>
      <c r="I520" s="369"/>
      <c r="J520" s="350">
        <v>10090379.781256724</v>
      </c>
      <c r="K520" s="350">
        <v>20321269.290494926</v>
      </c>
      <c r="L520" s="350">
        <v>30292157.76298137</v>
      </c>
      <c r="M520" s="350">
        <v>39996025.438674532</v>
      </c>
      <c r="N520" s="350">
        <v>49428375.790853843</v>
      </c>
      <c r="O520" s="348">
        <v>150128208.06426138</v>
      </c>
      <c r="P520" s="369"/>
      <c r="Q520" s="350">
        <f t="shared" si="213"/>
        <v>1241002.8764005974</v>
      </c>
      <c r="R520" s="350">
        <f t="shared" si="214"/>
        <v>3661208.8692338243</v>
      </c>
      <c r="S520" s="350">
        <f t="shared" si="215"/>
        <v>5762618.1207455322</v>
      </c>
      <c r="T520" s="350">
        <f t="shared" si="216"/>
        <v>7537662.8058371209</v>
      </c>
      <c r="U520" s="350">
        <f t="shared" si="217"/>
        <v>8980577.9727161378</v>
      </c>
      <c r="V520" s="350">
        <f t="shared" si="218"/>
        <v>27183070.644933194</v>
      </c>
      <c r="W520" s="365"/>
      <c r="X520" s="377">
        <f t="shared" si="196"/>
        <v>0</v>
      </c>
      <c r="Y520" s="377">
        <f t="shared" si="197"/>
        <v>0</v>
      </c>
      <c r="Z520" s="377">
        <f t="shared" si="198"/>
        <v>0</v>
      </c>
      <c r="AA520" s="377">
        <f t="shared" si="199"/>
        <v>0</v>
      </c>
      <c r="AB520" s="377">
        <f t="shared" si="200"/>
        <v>0</v>
      </c>
      <c r="AC520" s="377">
        <f t="shared" si="201"/>
        <v>0</v>
      </c>
      <c r="AD520" s="376"/>
      <c r="AE520" s="332">
        <v>505</v>
      </c>
      <c r="AF520" s="350">
        <v>6868881.7882955298</v>
      </c>
      <c r="AG520" s="350">
        <v>13791706.090616357</v>
      </c>
      <c r="AH520" s="350">
        <v>20766922.697380126</v>
      </c>
      <c r="AI520" s="350">
        <v>27794762.886878207</v>
      </c>
      <c r="AJ520" s="350">
        <v>34876240.172496654</v>
      </c>
      <c r="AK520" s="348">
        <v>104098513.63566688</v>
      </c>
      <c r="AL520" s="369"/>
      <c r="AM520" s="350">
        <v>8146088.3882139865</v>
      </c>
      <c r="AN520" s="350">
        <v>17562353.603570614</v>
      </c>
      <c r="AO520" s="350">
        <v>26725550.06187392</v>
      </c>
      <c r="AP520" s="350">
        <v>35630165.175181843</v>
      </c>
      <c r="AQ520" s="350">
        <v>44273338.05947455</v>
      </c>
      <c r="AR520" s="348">
        <v>132337495.28831491</v>
      </c>
      <c r="AS520" s="369"/>
      <c r="AT520" s="350">
        <f t="shared" si="219"/>
        <v>1277206.5999184567</v>
      </c>
      <c r="AU520" s="350">
        <f t="shared" si="202"/>
        <v>3770647.5129542574</v>
      </c>
      <c r="AV520" s="350">
        <f t="shared" si="203"/>
        <v>5958627.3644937947</v>
      </c>
      <c r="AW520" s="350">
        <f t="shared" si="204"/>
        <v>7835402.288303636</v>
      </c>
      <c r="AX520" s="350">
        <f t="shared" si="205"/>
        <v>9397097.8869778961</v>
      </c>
      <c r="AY520" s="350">
        <f t="shared" si="206"/>
        <v>28238981.652648032</v>
      </c>
      <c r="AZ520" s="365"/>
      <c r="BA520" s="377">
        <f t="shared" si="207"/>
        <v>0</v>
      </c>
      <c r="BB520" s="377">
        <f t="shared" si="208"/>
        <v>0</v>
      </c>
      <c r="BC520" s="377">
        <f t="shared" si="209"/>
        <v>0</v>
      </c>
      <c r="BD520" s="377">
        <f t="shared" si="210"/>
        <v>0</v>
      </c>
      <c r="BE520" s="377">
        <f t="shared" si="211"/>
        <v>0</v>
      </c>
      <c r="BF520" s="377">
        <f t="shared" si="212"/>
        <v>0</v>
      </c>
      <c r="BG520" s="328"/>
    </row>
    <row r="521" spans="2:59">
      <c r="B521" s="332">
        <v>506</v>
      </c>
      <c r="C521" s="350">
        <v>6935160.6401706133</v>
      </c>
      <c r="D521" s="350">
        <v>13012502.798064075</v>
      </c>
      <c r="E521" s="350">
        <v>19135578.49744698</v>
      </c>
      <c r="F521" s="350">
        <v>25304827.137294661</v>
      </c>
      <c r="G521" s="350">
        <v>31521241.293611154</v>
      </c>
      <c r="H521" s="348">
        <v>95909310.36658749</v>
      </c>
      <c r="I521" s="369"/>
      <c r="J521" s="350">
        <v>7834576.4369454719</v>
      </c>
      <c r="K521" s="350">
        <v>15664915.891005129</v>
      </c>
      <c r="L521" s="350">
        <v>23293828.459373869</v>
      </c>
      <c r="M521" s="350">
        <v>30715752.73736266</v>
      </c>
      <c r="N521" s="350">
        <v>37926992.797059238</v>
      </c>
      <c r="O521" s="348">
        <v>115436066.32174638</v>
      </c>
      <c r="P521" s="369"/>
      <c r="Q521" s="350">
        <f t="shared" si="213"/>
        <v>899415.79677485861</v>
      </c>
      <c r="R521" s="350">
        <f t="shared" si="214"/>
        <v>2652413.0929410532</v>
      </c>
      <c r="S521" s="350">
        <f t="shared" si="215"/>
        <v>4158249.9619268887</v>
      </c>
      <c r="T521" s="350">
        <f t="shared" si="216"/>
        <v>5410925.6000679992</v>
      </c>
      <c r="U521" s="350">
        <f t="shared" si="217"/>
        <v>6405751.503448084</v>
      </c>
      <c r="V521" s="350">
        <f t="shared" si="218"/>
        <v>19526755.955158889</v>
      </c>
      <c r="W521" s="365"/>
      <c r="X521" s="377">
        <f t="shared" si="196"/>
        <v>0</v>
      </c>
      <c r="Y521" s="377">
        <f t="shared" si="197"/>
        <v>0</v>
      </c>
      <c r="Z521" s="377">
        <f t="shared" si="198"/>
        <v>0</v>
      </c>
      <c r="AA521" s="377">
        <f t="shared" si="199"/>
        <v>0</v>
      </c>
      <c r="AB521" s="377">
        <f t="shared" si="200"/>
        <v>0</v>
      </c>
      <c r="AC521" s="377">
        <f t="shared" si="201"/>
        <v>0</v>
      </c>
      <c r="AD521" s="376"/>
      <c r="AE521" s="332">
        <v>506</v>
      </c>
      <c r="AF521" s="350">
        <v>6961723.872076517</v>
      </c>
      <c r="AG521" s="350">
        <v>13978119.363083731</v>
      </c>
      <c r="AH521" s="350">
        <v>21047615.310292576</v>
      </c>
      <c r="AI521" s="350">
        <v>28170446.118028484</v>
      </c>
      <c r="AJ521" s="350">
        <v>35347638.99866049</v>
      </c>
      <c r="AK521" s="348">
        <v>105505543.66214179</v>
      </c>
      <c r="AL521" s="369"/>
      <c r="AM521" s="350">
        <v>8206085.1892705169</v>
      </c>
      <c r="AN521" s="350">
        <v>17651125.307444908</v>
      </c>
      <c r="AO521" s="350">
        <v>26838175.344034337</v>
      </c>
      <c r="AP521" s="350">
        <v>35761662.373653188</v>
      </c>
      <c r="AQ521" s="350">
        <v>44418636.095531479</v>
      </c>
      <c r="AR521" s="348">
        <v>132875684.30993442</v>
      </c>
      <c r="AS521" s="369"/>
      <c r="AT521" s="350">
        <f t="shared" si="219"/>
        <v>1244361.3171939999</v>
      </c>
      <c r="AU521" s="350">
        <f t="shared" si="202"/>
        <v>3673005.9443611763</v>
      </c>
      <c r="AV521" s="350">
        <f t="shared" si="203"/>
        <v>5790560.033741761</v>
      </c>
      <c r="AW521" s="350">
        <f t="shared" si="204"/>
        <v>7591216.2556247041</v>
      </c>
      <c r="AX521" s="350">
        <f t="shared" si="205"/>
        <v>9070997.0968709886</v>
      </c>
      <c r="AY521" s="350">
        <f t="shared" si="206"/>
        <v>27370140.647792637</v>
      </c>
      <c r="AZ521" s="365"/>
      <c r="BA521" s="377">
        <f t="shared" si="207"/>
        <v>0</v>
      </c>
      <c r="BB521" s="377">
        <f t="shared" si="208"/>
        <v>0</v>
      </c>
      <c r="BC521" s="377">
        <f t="shared" si="209"/>
        <v>0</v>
      </c>
      <c r="BD521" s="377">
        <f t="shared" si="210"/>
        <v>0</v>
      </c>
      <c r="BE521" s="377">
        <f t="shared" si="211"/>
        <v>0</v>
      </c>
      <c r="BF521" s="377">
        <f t="shared" si="212"/>
        <v>0</v>
      </c>
      <c r="BG521" s="328"/>
    </row>
    <row r="522" spans="2:59">
      <c r="B522" s="332">
        <v>507</v>
      </c>
      <c r="C522" s="350">
        <v>6697873.345943138</v>
      </c>
      <c r="D522" s="350">
        <v>12500030.544198675</v>
      </c>
      <c r="E522" s="350">
        <v>18345828.395415716</v>
      </c>
      <c r="F522" s="350">
        <v>24235706.441412866</v>
      </c>
      <c r="G522" s="350">
        <v>30170621.032824934</v>
      </c>
      <c r="H522" s="348">
        <v>91950059.759795338</v>
      </c>
      <c r="I522" s="369"/>
      <c r="J522" s="350">
        <v>7543326.825769823</v>
      </c>
      <c r="K522" s="350">
        <v>14993106.603482187</v>
      </c>
      <c r="L522" s="350">
        <v>22249043.269251034</v>
      </c>
      <c r="M522" s="350">
        <v>29305914.446721941</v>
      </c>
      <c r="N522" s="350">
        <v>36160252.348690517</v>
      </c>
      <c r="O522" s="348">
        <v>110251643.4939155</v>
      </c>
      <c r="P522" s="369"/>
      <c r="Q522" s="350">
        <f t="shared" si="213"/>
        <v>845453.47982668504</v>
      </c>
      <c r="R522" s="350">
        <f t="shared" si="214"/>
        <v>2493076.0592835117</v>
      </c>
      <c r="S522" s="350">
        <f t="shared" si="215"/>
        <v>3903214.8738353178</v>
      </c>
      <c r="T522" s="350">
        <f t="shared" si="216"/>
        <v>5070208.0053090751</v>
      </c>
      <c r="U522" s="350">
        <f t="shared" si="217"/>
        <v>5989631.3158655837</v>
      </c>
      <c r="V522" s="350">
        <f t="shared" si="218"/>
        <v>18301583.73412016</v>
      </c>
      <c r="W522" s="365"/>
      <c r="X522" s="377">
        <f t="shared" si="196"/>
        <v>0</v>
      </c>
      <c r="Y522" s="377">
        <f t="shared" si="197"/>
        <v>0</v>
      </c>
      <c r="Z522" s="377">
        <f t="shared" si="198"/>
        <v>0</v>
      </c>
      <c r="AA522" s="377">
        <f t="shared" si="199"/>
        <v>0</v>
      </c>
      <c r="AB522" s="377">
        <f t="shared" si="200"/>
        <v>0</v>
      </c>
      <c r="AC522" s="377">
        <f t="shared" si="201"/>
        <v>0</v>
      </c>
      <c r="AD522" s="376"/>
      <c r="AE522" s="332">
        <v>507</v>
      </c>
      <c r="AF522" s="350">
        <v>5649652.4901154898</v>
      </c>
      <c r="AG522" s="350">
        <v>11343672.676179014</v>
      </c>
      <c r="AH522" s="350">
        <v>17080785.511436671</v>
      </c>
      <c r="AI522" s="350">
        <v>22861181.222189479</v>
      </c>
      <c r="AJ522" s="350">
        <v>28685693.42278716</v>
      </c>
      <c r="AK522" s="348">
        <v>85620985.322707802</v>
      </c>
      <c r="AL522" s="369"/>
      <c r="AM522" s="350">
        <v>6817196.1562078465</v>
      </c>
      <c r="AN522" s="350">
        <v>14792140.203704668</v>
      </c>
      <c r="AO522" s="350">
        <v>22562440.738443807</v>
      </c>
      <c r="AP522" s="350">
        <v>30123530.555324867</v>
      </c>
      <c r="AQ522" s="350">
        <v>37473175.114258766</v>
      </c>
      <c r="AR522" s="348">
        <v>111768482.76793995</v>
      </c>
      <c r="AS522" s="369"/>
      <c r="AT522" s="350">
        <f t="shared" si="219"/>
        <v>1167543.6660923567</v>
      </c>
      <c r="AU522" s="350">
        <f t="shared" si="202"/>
        <v>3448467.5275256541</v>
      </c>
      <c r="AV522" s="350">
        <f t="shared" si="203"/>
        <v>5481655.2270071357</v>
      </c>
      <c r="AW522" s="350">
        <f t="shared" si="204"/>
        <v>7262349.3331353888</v>
      </c>
      <c r="AX522" s="350">
        <f t="shared" si="205"/>
        <v>8787481.6914716065</v>
      </c>
      <c r="AY522" s="350">
        <f t="shared" si="206"/>
        <v>26147497.445232153</v>
      </c>
      <c r="AZ522" s="365"/>
      <c r="BA522" s="377">
        <f t="shared" si="207"/>
        <v>0</v>
      </c>
      <c r="BB522" s="377">
        <f t="shared" si="208"/>
        <v>0</v>
      </c>
      <c r="BC522" s="377">
        <f t="shared" si="209"/>
        <v>0</v>
      </c>
      <c r="BD522" s="377">
        <f t="shared" si="210"/>
        <v>0</v>
      </c>
      <c r="BE522" s="377">
        <f t="shared" si="211"/>
        <v>0</v>
      </c>
      <c r="BF522" s="377">
        <f t="shared" si="212"/>
        <v>0</v>
      </c>
      <c r="BG522" s="328"/>
    </row>
    <row r="523" spans="2:59">
      <c r="B523" s="332">
        <v>508</v>
      </c>
      <c r="C523" s="350">
        <v>7050452.0875098715</v>
      </c>
      <c r="D523" s="350">
        <v>13456877.915323243</v>
      </c>
      <c r="E523" s="350">
        <v>19911588.505532995</v>
      </c>
      <c r="F523" s="350">
        <v>26414979.093480989</v>
      </c>
      <c r="G523" s="350">
        <v>32968066.434583567</v>
      </c>
      <c r="H523" s="348">
        <v>99801964.036430657</v>
      </c>
      <c r="I523" s="369"/>
      <c r="J523" s="350">
        <v>8106277.9689622046</v>
      </c>
      <c r="K523" s="350">
        <v>16572365.39720792</v>
      </c>
      <c r="L523" s="350">
        <v>24830551.118499056</v>
      </c>
      <c r="M523" s="350">
        <v>32874845.724336497</v>
      </c>
      <c r="N523" s="350">
        <v>40701402.761020295</v>
      </c>
      <c r="O523" s="348">
        <v>123085442.97002599</v>
      </c>
      <c r="P523" s="369"/>
      <c r="Q523" s="350">
        <f t="shared" si="213"/>
        <v>1055825.8814523332</v>
      </c>
      <c r="R523" s="350">
        <f t="shared" si="214"/>
        <v>3115487.481884677</v>
      </c>
      <c r="S523" s="350">
        <f t="shared" si="215"/>
        <v>4918962.6129660606</v>
      </c>
      <c r="T523" s="350">
        <f t="shared" si="216"/>
        <v>6459866.6308555081</v>
      </c>
      <c r="U523" s="350">
        <f t="shared" si="217"/>
        <v>7733336.3264367282</v>
      </c>
      <c r="V523" s="350">
        <f t="shared" si="218"/>
        <v>23283478.93359533</v>
      </c>
      <c r="W523" s="365"/>
      <c r="X523" s="377">
        <f t="shared" si="196"/>
        <v>0</v>
      </c>
      <c r="Y523" s="377">
        <f t="shared" si="197"/>
        <v>0</v>
      </c>
      <c r="Z523" s="377">
        <f t="shared" si="198"/>
        <v>0</v>
      </c>
      <c r="AA523" s="377">
        <f t="shared" si="199"/>
        <v>0</v>
      </c>
      <c r="AB523" s="377">
        <f t="shared" si="200"/>
        <v>0</v>
      </c>
      <c r="AC523" s="377">
        <f t="shared" si="201"/>
        <v>0</v>
      </c>
      <c r="AD523" s="376"/>
      <c r="AE523" s="332">
        <v>508</v>
      </c>
      <c r="AF523" s="350">
        <v>6318776.3268408654</v>
      </c>
      <c r="AG523" s="350">
        <v>12687175.094588215</v>
      </c>
      <c r="AH523" s="350">
        <v>19103770.244690962</v>
      </c>
      <c r="AI523" s="350">
        <v>25568774.533146001</v>
      </c>
      <c r="AJ523" s="350">
        <v>32083120.30448743</v>
      </c>
      <c r="AK523" s="348">
        <v>95761616.503753468</v>
      </c>
      <c r="AL523" s="369"/>
      <c r="AM523" s="350">
        <v>7348967.1335858842</v>
      </c>
      <c r="AN523" s="350">
        <v>15726621.566033375</v>
      </c>
      <c r="AO523" s="350">
        <v>23867139.991865903</v>
      </c>
      <c r="AP523" s="350">
        <v>31765492.242255133</v>
      </c>
      <c r="AQ523" s="350">
        <v>39418899.975497186</v>
      </c>
      <c r="AR523" s="348">
        <v>118127120.90923749</v>
      </c>
      <c r="AS523" s="369"/>
      <c r="AT523" s="350">
        <f t="shared" si="219"/>
        <v>1030190.8067450188</v>
      </c>
      <c r="AU523" s="350">
        <f t="shared" si="202"/>
        <v>3039446.47144516</v>
      </c>
      <c r="AV523" s="350">
        <f t="shared" si="203"/>
        <v>4763369.747174941</v>
      </c>
      <c r="AW523" s="350">
        <f t="shared" si="204"/>
        <v>6196717.7091091312</v>
      </c>
      <c r="AX523" s="350">
        <f t="shared" si="205"/>
        <v>7335779.6710097566</v>
      </c>
      <c r="AY523" s="350">
        <f t="shared" si="206"/>
        <v>22365504.405484021</v>
      </c>
      <c r="AZ523" s="365"/>
      <c r="BA523" s="377">
        <f t="shared" si="207"/>
        <v>0</v>
      </c>
      <c r="BB523" s="377">
        <f t="shared" si="208"/>
        <v>0</v>
      </c>
      <c r="BC523" s="377">
        <f t="shared" si="209"/>
        <v>0</v>
      </c>
      <c r="BD523" s="377">
        <f t="shared" si="210"/>
        <v>0</v>
      </c>
      <c r="BE523" s="377">
        <f t="shared" si="211"/>
        <v>0</v>
      </c>
      <c r="BF523" s="377">
        <f t="shared" si="212"/>
        <v>0</v>
      </c>
      <c r="BG523" s="328"/>
    </row>
    <row r="524" spans="2:59">
      <c r="B524" s="332">
        <v>509</v>
      </c>
      <c r="C524" s="350">
        <v>10846013.949861759</v>
      </c>
      <c r="D524" s="350">
        <v>20328409.532691516</v>
      </c>
      <c r="E524" s="350">
        <v>29882155.313418981</v>
      </c>
      <c r="F524" s="350">
        <v>39507943.454471953</v>
      </c>
      <c r="G524" s="350">
        <v>49207325.519271418</v>
      </c>
      <c r="H524" s="348">
        <v>149771847.76971561</v>
      </c>
      <c r="I524" s="369"/>
      <c r="J524" s="350">
        <v>12426326.420743287</v>
      </c>
      <c r="K524" s="350">
        <v>24991783.170228586</v>
      </c>
      <c r="L524" s="350">
        <v>37241873.799056284</v>
      </c>
      <c r="M524" s="350">
        <v>49168149.311687931</v>
      </c>
      <c r="N524" s="350">
        <v>60765307.135207064</v>
      </c>
      <c r="O524" s="348">
        <v>184593439.83692315</v>
      </c>
      <c r="P524" s="369"/>
      <c r="Q524" s="350">
        <f t="shared" si="213"/>
        <v>1580312.4708815273</v>
      </c>
      <c r="R524" s="350">
        <f t="shared" si="214"/>
        <v>4663373.6375370696</v>
      </c>
      <c r="S524" s="350">
        <f t="shared" si="215"/>
        <v>7359718.4856373034</v>
      </c>
      <c r="T524" s="350">
        <f t="shared" si="216"/>
        <v>9660205.8572159782</v>
      </c>
      <c r="U524" s="350">
        <f t="shared" si="217"/>
        <v>11557981.615935646</v>
      </c>
      <c r="V524" s="350">
        <f t="shared" si="218"/>
        <v>34821592.067207545</v>
      </c>
      <c r="W524" s="365"/>
      <c r="X524" s="377">
        <f t="shared" si="196"/>
        <v>0</v>
      </c>
      <c r="Y524" s="377">
        <f t="shared" si="197"/>
        <v>0</v>
      </c>
      <c r="Z524" s="377">
        <f t="shared" si="198"/>
        <v>0</v>
      </c>
      <c r="AA524" s="377">
        <f t="shared" si="199"/>
        <v>0</v>
      </c>
      <c r="AB524" s="377">
        <f t="shared" si="200"/>
        <v>0</v>
      </c>
      <c r="AC524" s="377">
        <f t="shared" si="201"/>
        <v>0</v>
      </c>
      <c r="AD524" s="376"/>
      <c r="AE524" s="332">
        <v>509</v>
      </c>
      <c r="AF524" s="350">
        <v>6175884.511607619</v>
      </c>
      <c r="AG524" s="350">
        <v>12400269.310038293</v>
      </c>
      <c r="AH524" s="350">
        <v>18671760.585404992</v>
      </c>
      <c r="AI524" s="350">
        <v>24990566.282473914</v>
      </c>
      <c r="AJ524" s="350">
        <v>31357597.661886331</v>
      </c>
      <c r="AK524" s="348">
        <v>93596078.351411149</v>
      </c>
      <c r="AL524" s="369"/>
      <c r="AM524" s="350">
        <v>7532650.4724205453</v>
      </c>
      <c r="AN524" s="350">
        <v>16408599.017603796</v>
      </c>
      <c r="AO524" s="350">
        <v>25063252.881148402</v>
      </c>
      <c r="AP524" s="350">
        <v>33491596.688971248</v>
      </c>
      <c r="AQ524" s="350">
        <v>41691269.266389355</v>
      </c>
      <c r="AR524" s="348">
        <v>124187368.32653335</v>
      </c>
      <c r="AS524" s="369"/>
      <c r="AT524" s="350">
        <f t="shared" si="219"/>
        <v>1356765.9608129263</v>
      </c>
      <c r="AU524" s="350">
        <f t="shared" si="202"/>
        <v>4008329.7075655032</v>
      </c>
      <c r="AV524" s="350">
        <f t="shared" si="203"/>
        <v>6391492.2957434095</v>
      </c>
      <c r="AW524" s="350">
        <f t="shared" si="204"/>
        <v>8501030.4064973332</v>
      </c>
      <c r="AX524" s="350">
        <f t="shared" si="205"/>
        <v>10333671.604503024</v>
      </c>
      <c r="AY524" s="350">
        <f t="shared" si="206"/>
        <v>30591289.975122198</v>
      </c>
      <c r="AZ524" s="365"/>
      <c r="BA524" s="377">
        <f t="shared" si="207"/>
        <v>0</v>
      </c>
      <c r="BB524" s="377">
        <f t="shared" si="208"/>
        <v>0</v>
      </c>
      <c r="BC524" s="377">
        <f t="shared" si="209"/>
        <v>0</v>
      </c>
      <c r="BD524" s="377">
        <f t="shared" si="210"/>
        <v>0</v>
      </c>
      <c r="BE524" s="377">
        <f t="shared" si="211"/>
        <v>0</v>
      </c>
      <c r="BF524" s="377">
        <f t="shared" si="212"/>
        <v>0</v>
      </c>
      <c r="BG524" s="328"/>
    </row>
    <row r="525" spans="2:59">
      <c r="B525" s="332">
        <v>510</v>
      </c>
      <c r="C525" s="350">
        <v>8882843.0407671314</v>
      </c>
      <c r="D525" s="350">
        <v>16786496.843673892</v>
      </c>
      <c r="E525" s="350">
        <v>24749666.846085586</v>
      </c>
      <c r="F525" s="350">
        <v>32772888.86994645</v>
      </c>
      <c r="G525" s="350">
        <v>40857438.272986844</v>
      </c>
      <c r="H525" s="348">
        <v>124049333.87345991</v>
      </c>
      <c r="I525" s="369"/>
      <c r="J525" s="350">
        <v>10122853.318462852</v>
      </c>
      <c r="K525" s="350">
        <v>20444519.254254874</v>
      </c>
      <c r="L525" s="350">
        <v>30503199.871206224</v>
      </c>
      <c r="M525" s="350">
        <v>40291742.546020895</v>
      </c>
      <c r="N525" s="350">
        <v>49805537.016497374</v>
      </c>
      <c r="O525" s="348">
        <v>151167852.00644222</v>
      </c>
      <c r="P525" s="369"/>
      <c r="Q525" s="350">
        <f t="shared" si="213"/>
        <v>1240010.277695721</v>
      </c>
      <c r="R525" s="350">
        <f t="shared" si="214"/>
        <v>3658022.4105809815</v>
      </c>
      <c r="S525" s="350">
        <f t="shared" si="215"/>
        <v>5753533.0251206383</v>
      </c>
      <c r="T525" s="350">
        <f t="shared" si="216"/>
        <v>7518853.6760744452</v>
      </c>
      <c r="U525" s="350">
        <f t="shared" si="217"/>
        <v>8948098.7435105294</v>
      </c>
      <c r="V525" s="350">
        <f t="shared" si="218"/>
        <v>27118518.132982314</v>
      </c>
      <c r="W525" s="365"/>
      <c r="X525" s="377">
        <f t="shared" si="196"/>
        <v>0</v>
      </c>
      <c r="Y525" s="377">
        <f t="shared" si="197"/>
        <v>0</v>
      </c>
      <c r="Z525" s="377">
        <f t="shared" si="198"/>
        <v>0</v>
      </c>
      <c r="AA525" s="377">
        <f t="shared" si="199"/>
        <v>0</v>
      </c>
      <c r="AB525" s="377">
        <f t="shared" si="200"/>
        <v>0</v>
      </c>
      <c r="AC525" s="377">
        <f t="shared" si="201"/>
        <v>0</v>
      </c>
      <c r="AD525" s="376"/>
      <c r="AE525" s="332">
        <v>510</v>
      </c>
      <c r="AF525" s="350">
        <v>7822117.5559051428</v>
      </c>
      <c r="AG525" s="350">
        <v>15705663.550815582</v>
      </c>
      <c r="AH525" s="350">
        <v>23648872.643302664</v>
      </c>
      <c r="AI525" s="350">
        <v>31652008.207528144</v>
      </c>
      <c r="AJ525" s="350">
        <v>39716224.408186436</v>
      </c>
      <c r="AK525" s="348">
        <v>118544886.36573797</v>
      </c>
      <c r="AL525" s="369"/>
      <c r="AM525" s="350">
        <v>9384864.4393770862</v>
      </c>
      <c r="AN525" s="350">
        <v>20320756.605076715</v>
      </c>
      <c r="AO525" s="350">
        <v>30971703.61040096</v>
      </c>
      <c r="AP525" s="350">
        <v>41331397.222885072</v>
      </c>
      <c r="AQ525" s="350">
        <v>51396689.21367532</v>
      </c>
      <c r="AR525" s="348">
        <v>153405411.09141517</v>
      </c>
      <c r="AS525" s="369"/>
      <c r="AT525" s="350">
        <f t="shared" si="219"/>
        <v>1562746.8834719434</v>
      </c>
      <c r="AU525" s="350">
        <f t="shared" si="202"/>
        <v>4615093.0542611331</v>
      </c>
      <c r="AV525" s="350">
        <f t="shared" si="203"/>
        <v>7322830.9670982957</v>
      </c>
      <c r="AW525" s="350">
        <f t="shared" si="204"/>
        <v>9679389.0153569281</v>
      </c>
      <c r="AX525" s="350">
        <f t="shared" si="205"/>
        <v>11680464.805488884</v>
      </c>
      <c r="AY525" s="350">
        <f t="shared" si="206"/>
        <v>34860524.725677192</v>
      </c>
      <c r="AZ525" s="365"/>
      <c r="BA525" s="377">
        <f t="shared" si="207"/>
        <v>0</v>
      </c>
      <c r="BB525" s="377">
        <f t="shared" si="208"/>
        <v>0</v>
      </c>
      <c r="BC525" s="377">
        <f t="shared" si="209"/>
        <v>0</v>
      </c>
      <c r="BD525" s="377">
        <f t="shared" si="210"/>
        <v>0</v>
      </c>
      <c r="BE525" s="377">
        <f t="shared" si="211"/>
        <v>0</v>
      </c>
      <c r="BF525" s="377">
        <f t="shared" si="212"/>
        <v>0</v>
      </c>
      <c r="BG525" s="328"/>
    </row>
    <row r="526" spans="2:59">
      <c r="B526" s="332">
        <v>511</v>
      </c>
      <c r="C526" s="350">
        <v>5200266.0716484804</v>
      </c>
      <c r="D526" s="350">
        <v>9838406.718606364</v>
      </c>
      <c r="E526" s="350">
        <v>14511477.145396743</v>
      </c>
      <c r="F526" s="350">
        <v>19219788.527740225</v>
      </c>
      <c r="G526" s="350">
        <v>23964087.870308951</v>
      </c>
      <c r="H526" s="348">
        <v>72734026.333700761</v>
      </c>
      <c r="I526" s="369"/>
      <c r="J526" s="350">
        <v>5872342.7827980565</v>
      </c>
      <c r="K526" s="350">
        <v>11820147.9633842</v>
      </c>
      <c r="L526" s="350">
        <v>17613691.047011979</v>
      </c>
      <c r="M526" s="350">
        <v>23248711.791121569</v>
      </c>
      <c r="N526" s="350">
        <v>28722368.914466254</v>
      </c>
      <c r="O526" s="348">
        <v>87277262.498782068</v>
      </c>
      <c r="P526" s="369"/>
      <c r="Q526" s="350">
        <f t="shared" si="213"/>
        <v>672076.71114957612</v>
      </c>
      <c r="R526" s="350">
        <f t="shared" si="214"/>
        <v>1981741.2447778359</v>
      </c>
      <c r="S526" s="350">
        <f t="shared" si="215"/>
        <v>3102213.901615236</v>
      </c>
      <c r="T526" s="350">
        <f t="shared" si="216"/>
        <v>4028923.2633813433</v>
      </c>
      <c r="U526" s="350">
        <f t="shared" si="217"/>
        <v>4758281.0441573039</v>
      </c>
      <c r="V526" s="350">
        <f t="shared" si="218"/>
        <v>14543236.165081307</v>
      </c>
      <c r="W526" s="365"/>
      <c r="X526" s="377">
        <f t="shared" si="196"/>
        <v>0</v>
      </c>
      <c r="Y526" s="377">
        <f t="shared" si="197"/>
        <v>0</v>
      </c>
      <c r="Z526" s="377">
        <f t="shared" si="198"/>
        <v>0</v>
      </c>
      <c r="AA526" s="377">
        <f t="shared" si="199"/>
        <v>0</v>
      </c>
      <c r="AB526" s="377">
        <f t="shared" si="200"/>
        <v>0</v>
      </c>
      <c r="AC526" s="377">
        <f t="shared" si="201"/>
        <v>0</v>
      </c>
      <c r="AD526" s="376"/>
      <c r="AE526" s="332">
        <v>511</v>
      </c>
      <c r="AF526" s="350">
        <v>5179045.963552596</v>
      </c>
      <c r="AG526" s="350">
        <v>10398763.868789008</v>
      </c>
      <c r="AH526" s="350">
        <v>15657984.878200078</v>
      </c>
      <c r="AI526" s="350">
        <v>20956883.372556694</v>
      </c>
      <c r="AJ526" s="350">
        <v>26296223.527538799</v>
      </c>
      <c r="AK526" s="348">
        <v>78488901.610637173</v>
      </c>
      <c r="AL526" s="369"/>
      <c r="AM526" s="350">
        <v>5770284.1478851251</v>
      </c>
      <c r="AN526" s="350">
        <v>12139255.088640524</v>
      </c>
      <c r="AO526" s="350">
        <v>18306281.245777238</v>
      </c>
      <c r="AP526" s="350">
        <v>24267311.34808936</v>
      </c>
      <c r="AQ526" s="350">
        <v>30019811.822488241</v>
      </c>
      <c r="AR526" s="348">
        <v>90502943.65288049</v>
      </c>
      <c r="AS526" s="369"/>
      <c r="AT526" s="350">
        <f t="shared" si="219"/>
        <v>591238.18433252908</v>
      </c>
      <c r="AU526" s="350">
        <f t="shared" si="202"/>
        <v>1740491.2198515162</v>
      </c>
      <c r="AV526" s="350">
        <f t="shared" si="203"/>
        <v>2648296.3675771598</v>
      </c>
      <c r="AW526" s="350">
        <f t="shared" si="204"/>
        <v>3310427.9755326658</v>
      </c>
      <c r="AX526" s="350">
        <f t="shared" si="205"/>
        <v>3723588.2949494421</v>
      </c>
      <c r="AY526" s="350">
        <f t="shared" si="206"/>
        <v>12014042.042243317</v>
      </c>
      <c r="AZ526" s="365"/>
      <c r="BA526" s="377">
        <f t="shared" si="207"/>
        <v>0</v>
      </c>
      <c r="BB526" s="377">
        <f t="shared" si="208"/>
        <v>0</v>
      </c>
      <c r="BC526" s="377">
        <f t="shared" si="209"/>
        <v>0</v>
      </c>
      <c r="BD526" s="377">
        <f t="shared" si="210"/>
        <v>0</v>
      </c>
      <c r="BE526" s="377">
        <f t="shared" si="211"/>
        <v>0</v>
      </c>
      <c r="BF526" s="377">
        <f t="shared" si="212"/>
        <v>0</v>
      </c>
      <c r="BG526" s="328"/>
    </row>
    <row r="527" spans="2:59">
      <c r="B527" s="332">
        <v>512</v>
      </c>
      <c r="C527" s="350">
        <v>9889379.3141105976</v>
      </c>
      <c r="D527" s="350">
        <v>18743157.74294775</v>
      </c>
      <c r="E527" s="350">
        <v>27663624.627493382</v>
      </c>
      <c r="F527" s="350">
        <v>36651364.195460305</v>
      </c>
      <c r="G527" s="350">
        <v>45707798.154900245</v>
      </c>
      <c r="H527" s="348">
        <v>138655324.03491229</v>
      </c>
      <c r="I527" s="369"/>
      <c r="J527" s="350">
        <v>11261027.171684338</v>
      </c>
      <c r="K527" s="350">
        <v>22789232.197914552</v>
      </c>
      <c r="L527" s="350">
        <v>34018685.901948348</v>
      </c>
      <c r="M527" s="350">
        <v>44941506.11084941</v>
      </c>
      <c r="N527" s="350">
        <v>55552650.686137475</v>
      </c>
      <c r="O527" s="348">
        <v>168563102.06853411</v>
      </c>
      <c r="P527" s="369"/>
      <c r="Q527" s="350">
        <f t="shared" si="213"/>
        <v>1371647.8575737402</v>
      </c>
      <c r="R527" s="350">
        <f t="shared" si="214"/>
        <v>4046074.4549668022</v>
      </c>
      <c r="S527" s="350">
        <f t="shared" si="215"/>
        <v>6355061.2744549662</v>
      </c>
      <c r="T527" s="350">
        <f t="shared" si="216"/>
        <v>8290141.9153891057</v>
      </c>
      <c r="U527" s="350">
        <f t="shared" si="217"/>
        <v>9844852.5312372297</v>
      </c>
      <c r="V527" s="350">
        <f t="shared" si="218"/>
        <v>29907778.033621818</v>
      </c>
      <c r="W527" s="365"/>
      <c r="X527" s="377">
        <f t="shared" si="196"/>
        <v>0</v>
      </c>
      <c r="Y527" s="377">
        <f t="shared" si="197"/>
        <v>0</v>
      </c>
      <c r="Z527" s="377">
        <f t="shared" si="198"/>
        <v>0</v>
      </c>
      <c r="AA527" s="377">
        <f t="shared" si="199"/>
        <v>0</v>
      </c>
      <c r="AB527" s="377">
        <f t="shared" si="200"/>
        <v>0</v>
      </c>
      <c r="AC527" s="377">
        <f t="shared" si="201"/>
        <v>0</v>
      </c>
      <c r="AD527" s="376"/>
      <c r="AE527" s="332">
        <v>512</v>
      </c>
      <c r="AF527" s="350">
        <v>7152481.2682802333</v>
      </c>
      <c r="AG527" s="350">
        <v>14361132.206241973</v>
      </c>
      <c r="AH527" s="350">
        <v>21624338.599906668</v>
      </c>
      <c r="AI527" s="350">
        <v>28942341.276485756</v>
      </c>
      <c r="AJ527" s="350">
        <v>36316195.594876409</v>
      </c>
      <c r="AK527" s="348">
        <v>108396488.94579104</v>
      </c>
      <c r="AL527" s="369"/>
      <c r="AM527" s="350">
        <v>8471932.544522617</v>
      </c>
      <c r="AN527" s="350">
        <v>18256356.025118262</v>
      </c>
      <c r="AO527" s="350">
        <v>27776948.031522624</v>
      </c>
      <c r="AP527" s="350">
        <v>37027971.340819597</v>
      </c>
      <c r="AQ527" s="350">
        <v>46006436.328047618</v>
      </c>
      <c r="AR527" s="348">
        <v>137539644.27003074</v>
      </c>
      <c r="AS527" s="369"/>
      <c r="AT527" s="350">
        <f t="shared" si="219"/>
        <v>1319451.2762423838</v>
      </c>
      <c r="AU527" s="350">
        <f t="shared" si="202"/>
        <v>3895223.8188762888</v>
      </c>
      <c r="AV527" s="350">
        <f t="shared" si="203"/>
        <v>6152609.4316159561</v>
      </c>
      <c r="AW527" s="350">
        <f t="shared" si="204"/>
        <v>8085630.0643338412</v>
      </c>
      <c r="AX527" s="350">
        <f t="shared" si="205"/>
        <v>9690240.7331712097</v>
      </c>
      <c r="AY527" s="350">
        <f t="shared" si="206"/>
        <v>29143155.324239701</v>
      </c>
      <c r="AZ527" s="365"/>
      <c r="BA527" s="377">
        <f t="shared" si="207"/>
        <v>0</v>
      </c>
      <c r="BB527" s="377">
        <f t="shared" si="208"/>
        <v>0</v>
      </c>
      <c r="BC527" s="377">
        <f t="shared" si="209"/>
        <v>0</v>
      </c>
      <c r="BD527" s="377">
        <f t="shared" si="210"/>
        <v>0</v>
      </c>
      <c r="BE527" s="377">
        <f t="shared" si="211"/>
        <v>0</v>
      </c>
      <c r="BF527" s="377">
        <f t="shared" si="212"/>
        <v>0</v>
      </c>
      <c r="BG527" s="328"/>
    </row>
    <row r="528" spans="2:59">
      <c r="B528" s="332">
        <v>513</v>
      </c>
      <c r="C528" s="350">
        <v>7033662.2729880847</v>
      </c>
      <c r="D528" s="350">
        <v>13206465.765611023</v>
      </c>
      <c r="E528" s="350">
        <v>19425724.168807358</v>
      </c>
      <c r="F528" s="350">
        <v>25691881.058877725</v>
      </c>
      <c r="G528" s="350">
        <v>32005943.417469777</v>
      </c>
      <c r="H528" s="348">
        <v>97363676.683753967</v>
      </c>
      <c r="I528" s="369"/>
      <c r="J528" s="350">
        <v>7999852.197748933</v>
      </c>
      <c r="K528" s="350">
        <v>16056690.663435787</v>
      </c>
      <c r="L528" s="350">
        <v>23910667.978134099</v>
      </c>
      <c r="M528" s="350">
        <v>31556125.075315725</v>
      </c>
      <c r="N528" s="350">
        <v>38989367.407609493</v>
      </c>
      <c r="O528" s="348">
        <v>118512703.32224403</v>
      </c>
      <c r="P528" s="369"/>
      <c r="Q528" s="350">
        <f t="shared" si="213"/>
        <v>966189.92476084828</v>
      </c>
      <c r="R528" s="350">
        <f t="shared" si="214"/>
        <v>2850224.8978247643</v>
      </c>
      <c r="S528" s="350">
        <f t="shared" si="215"/>
        <v>4484943.8093267418</v>
      </c>
      <c r="T528" s="350">
        <f t="shared" si="216"/>
        <v>5864244.0164379999</v>
      </c>
      <c r="U528" s="350">
        <f t="shared" si="217"/>
        <v>6983423.9901397154</v>
      </c>
      <c r="V528" s="350">
        <f t="shared" si="218"/>
        <v>21149026.638490066</v>
      </c>
      <c r="W528" s="365"/>
      <c r="X528" s="377">
        <f t="shared" ref="X528:X591" si="220">IF(Q528&lt;Q$8,1,0)</f>
        <v>0</v>
      </c>
      <c r="Y528" s="377">
        <f t="shared" ref="Y528:Y591" si="221">IF(R528&lt;R$8,1,0)</f>
        <v>0</v>
      </c>
      <c r="Z528" s="377">
        <f t="shared" ref="Z528:Z591" si="222">IF(S528&lt;S$8,1,0)</f>
        <v>0</v>
      </c>
      <c r="AA528" s="377">
        <f t="shared" ref="AA528:AA591" si="223">IF(T528&lt;T$8,1,0)</f>
        <v>0</v>
      </c>
      <c r="AB528" s="377">
        <f t="shared" ref="AB528:AB591" si="224">IF(U528&lt;U$8,1,0)</f>
        <v>0</v>
      </c>
      <c r="AC528" s="377">
        <f t="shared" ref="AC528:AC591" si="225">IF(V528&lt;V$8,1,0)</f>
        <v>0</v>
      </c>
      <c r="AD528" s="376"/>
      <c r="AE528" s="332">
        <v>513</v>
      </c>
      <c r="AF528" s="350">
        <v>6542663.0826268364</v>
      </c>
      <c r="AG528" s="350">
        <v>13136706.827488793</v>
      </c>
      <c r="AH528" s="350">
        <v>19780654.64795687</v>
      </c>
      <c r="AI528" s="350">
        <v>26474726.838394165</v>
      </c>
      <c r="AJ528" s="350">
        <v>33219888.778147571</v>
      </c>
      <c r="AK528" s="348">
        <v>99154640.174614236</v>
      </c>
      <c r="AL528" s="369"/>
      <c r="AM528" s="350">
        <v>7478952.3659991985</v>
      </c>
      <c r="AN528" s="350">
        <v>15897109.238360466</v>
      </c>
      <c r="AO528" s="350">
        <v>24065822.288220733</v>
      </c>
      <c r="AP528" s="350">
        <v>31979920.000779539</v>
      </c>
      <c r="AQ528" s="350">
        <v>39636393.524291225</v>
      </c>
      <c r="AR528" s="348">
        <v>119058197.41765115</v>
      </c>
      <c r="AS528" s="369"/>
      <c r="AT528" s="350">
        <f t="shared" si="219"/>
        <v>936289.28337236214</v>
      </c>
      <c r="AU528" s="350">
        <f t="shared" ref="AU528:AU591" si="226">AN528-AG528</f>
        <v>2760402.4108716734</v>
      </c>
      <c r="AV528" s="350">
        <f t="shared" ref="AV528:AV591" si="227">AO528-AH528</f>
        <v>4285167.6402638629</v>
      </c>
      <c r="AW528" s="350">
        <f t="shared" ref="AW528:AW591" si="228">AP528-AI528</f>
        <v>5505193.1623853743</v>
      </c>
      <c r="AX528" s="350">
        <f t="shared" ref="AX528:AX591" si="229">AQ528-AJ528</f>
        <v>6416504.746143654</v>
      </c>
      <c r="AY528" s="350">
        <f t="shared" ref="AY528:AY591" si="230">AR528-AK528</f>
        <v>19903557.243036911</v>
      </c>
      <c r="AZ528" s="365"/>
      <c r="BA528" s="377">
        <f t="shared" ref="BA528:BA591" si="231">IF(AT528&lt;AT$8,1,0)</f>
        <v>0</v>
      </c>
      <c r="BB528" s="377">
        <f t="shared" ref="BB528:BB591" si="232">IF(AU528&lt;AU$8,1,0)</f>
        <v>0</v>
      </c>
      <c r="BC528" s="377">
        <f t="shared" ref="BC528:BC591" si="233">IF(AV528&lt;AV$8,1,0)</f>
        <v>0</v>
      </c>
      <c r="BD528" s="377">
        <f t="shared" ref="BD528:BD591" si="234">IF(AW528&lt;AW$8,1,0)</f>
        <v>0</v>
      </c>
      <c r="BE528" s="377">
        <f t="shared" ref="BE528:BE591" si="235">IF(AX528&lt;AX$8,1,0)</f>
        <v>0</v>
      </c>
      <c r="BF528" s="377">
        <f t="shared" ref="BF528:BF591" si="236">IF(AY528&lt;AY$8,1,0)</f>
        <v>0</v>
      </c>
      <c r="BG528" s="328"/>
    </row>
    <row r="529" spans="2:59">
      <c r="B529" s="332">
        <v>514</v>
      </c>
      <c r="C529" s="350">
        <v>8113241.8950449722</v>
      </c>
      <c r="D529" s="350">
        <v>15053272.863348745</v>
      </c>
      <c r="E529" s="350">
        <v>22045473.685941905</v>
      </c>
      <c r="F529" s="350">
        <v>29090396.695908871</v>
      </c>
      <c r="G529" s="350">
        <v>36189197.365925774</v>
      </c>
      <c r="H529" s="348">
        <v>110491582.50617027</v>
      </c>
      <c r="I529" s="369"/>
      <c r="J529" s="350">
        <v>9258019.4326938186</v>
      </c>
      <c r="K529" s="350">
        <v>18431235.573750615</v>
      </c>
      <c r="L529" s="350">
        <v>27386536.734311346</v>
      </c>
      <c r="M529" s="350">
        <v>36117251.958818771</v>
      </c>
      <c r="N529" s="350">
        <v>44618951.222264871</v>
      </c>
      <c r="O529" s="348">
        <v>135811994.92183942</v>
      </c>
      <c r="P529" s="369"/>
      <c r="Q529" s="350">
        <f t="shared" ref="Q529:Q592" si="237">J529-C529</f>
        <v>1144777.5376488464</v>
      </c>
      <c r="R529" s="350">
        <f t="shared" ref="R529:R592" si="238">K529-D529</f>
        <v>3377962.7104018703</v>
      </c>
      <c r="S529" s="350">
        <f t="shared" ref="S529:S592" si="239">L529-E529</f>
        <v>5341063.0483694412</v>
      </c>
      <c r="T529" s="350">
        <f t="shared" ref="T529:T592" si="240">M529-F529</f>
        <v>7026855.2629099004</v>
      </c>
      <c r="U529" s="350">
        <f t="shared" ref="U529:U592" si="241">N529-G529</f>
        <v>8429753.856339097</v>
      </c>
      <c r="V529" s="350">
        <f t="shared" ref="V529:V592" si="242">O529-H529</f>
        <v>25320412.415669143</v>
      </c>
      <c r="W529" s="365"/>
      <c r="X529" s="377">
        <f t="shared" si="220"/>
        <v>0</v>
      </c>
      <c r="Y529" s="377">
        <f t="shared" si="221"/>
        <v>0</v>
      </c>
      <c r="Z529" s="377">
        <f t="shared" si="222"/>
        <v>0</v>
      </c>
      <c r="AA529" s="377">
        <f t="shared" si="223"/>
        <v>0</v>
      </c>
      <c r="AB529" s="377">
        <f t="shared" si="224"/>
        <v>0</v>
      </c>
      <c r="AC529" s="377">
        <f t="shared" si="225"/>
        <v>0</v>
      </c>
      <c r="AD529" s="376"/>
      <c r="AE529" s="332">
        <v>514</v>
      </c>
      <c r="AF529" s="350">
        <v>5427804.8831757521</v>
      </c>
      <c r="AG529" s="350">
        <v>10898235.254758684</v>
      </c>
      <c r="AH529" s="350">
        <v>16410066.135865714</v>
      </c>
      <c r="AI529" s="350">
        <v>21963480.283090707</v>
      </c>
      <c r="AJ529" s="350">
        <v>27559278.576849937</v>
      </c>
      <c r="AK529" s="348">
        <v>82258865.133740798</v>
      </c>
      <c r="AL529" s="369"/>
      <c r="AM529" s="350">
        <v>6692225.9648600016</v>
      </c>
      <c r="AN529" s="350">
        <v>14634567.367422733</v>
      </c>
      <c r="AO529" s="350">
        <v>22384575.718093805</v>
      </c>
      <c r="AP529" s="350">
        <v>29937822.786784049</v>
      </c>
      <c r="AQ529" s="350">
        <v>37292306.324021861</v>
      </c>
      <c r="AR529" s="348">
        <v>110941498.16118245</v>
      </c>
      <c r="AS529" s="369"/>
      <c r="AT529" s="350">
        <f t="shared" ref="AT529:AT592" si="243">AM529-AF529</f>
        <v>1264421.0816842495</v>
      </c>
      <c r="AU529" s="350">
        <f t="shared" si="226"/>
        <v>3736332.1126640495</v>
      </c>
      <c r="AV529" s="350">
        <f t="shared" si="227"/>
        <v>5974509.5822280906</v>
      </c>
      <c r="AW529" s="350">
        <f t="shared" si="228"/>
        <v>7974342.5036933422</v>
      </c>
      <c r="AX529" s="350">
        <f t="shared" si="229"/>
        <v>9733027.7471719235</v>
      </c>
      <c r="AY529" s="350">
        <f t="shared" si="230"/>
        <v>28682633.027441651</v>
      </c>
      <c r="AZ529" s="365"/>
      <c r="BA529" s="377">
        <f t="shared" si="231"/>
        <v>0</v>
      </c>
      <c r="BB529" s="377">
        <f t="shared" si="232"/>
        <v>0</v>
      </c>
      <c r="BC529" s="377">
        <f t="shared" si="233"/>
        <v>0</v>
      </c>
      <c r="BD529" s="377">
        <f t="shared" si="234"/>
        <v>0</v>
      </c>
      <c r="BE529" s="377">
        <f t="shared" si="235"/>
        <v>0</v>
      </c>
      <c r="BF529" s="377">
        <f t="shared" si="236"/>
        <v>0</v>
      </c>
      <c r="BG529" s="328"/>
    </row>
    <row r="530" spans="2:59">
      <c r="B530" s="332">
        <v>515</v>
      </c>
      <c r="C530" s="350">
        <v>5875071.6428960357</v>
      </c>
      <c r="D530" s="350">
        <v>11076628.968669549</v>
      </c>
      <c r="E530" s="350">
        <v>16317346.771772286</v>
      </c>
      <c r="F530" s="350">
        <v>21597585.283818386</v>
      </c>
      <c r="G530" s="350">
        <v>26918187.149067197</v>
      </c>
      <c r="H530" s="348">
        <v>81784819.816223457</v>
      </c>
      <c r="I530" s="369"/>
      <c r="J530" s="350">
        <v>6540086.729734093</v>
      </c>
      <c r="K530" s="350">
        <v>13036051.450998116</v>
      </c>
      <c r="L530" s="350">
        <v>19352993.919574067</v>
      </c>
      <c r="M530" s="350">
        <v>25486318.836592704</v>
      </c>
      <c r="N530" s="350">
        <v>31432906.357447855</v>
      </c>
      <c r="O530" s="348">
        <v>95848357.294346839</v>
      </c>
      <c r="P530" s="369"/>
      <c r="Q530" s="350">
        <f t="shared" si="237"/>
        <v>665015.08683805726</v>
      </c>
      <c r="R530" s="350">
        <f t="shared" si="238"/>
        <v>1959422.4823285677</v>
      </c>
      <c r="S530" s="350">
        <f t="shared" si="239"/>
        <v>3035647.1478017811</v>
      </c>
      <c r="T530" s="350">
        <f t="shared" si="240"/>
        <v>3888733.5527743176</v>
      </c>
      <c r="U530" s="350">
        <f t="shared" si="241"/>
        <v>4514719.2083806582</v>
      </c>
      <c r="V530" s="350">
        <f t="shared" si="242"/>
        <v>14063537.478123382</v>
      </c>
      <c r="W530" s="365"/>
      <c r="X530" s="377">
        <f t="shared" si="220"/>
        <v>0</v>
      </c>
      <c r="Y530" s="377">
        <f t="shared" si="221"/>
        <v>0</v>
      </c>
      <c r="Z530" s="377">
        <f t="shared" si="222"/>
        <v>0</v>
      </c>
      <c r="AA530" s="377">
        <f t="shared" si="223"/>
        <v>0</v>
      </c>
      <c r="AB530" s="377">
        <f t="shared" si="224"/>
        <v>0</v>
      </c>
      <c r="AC530" s="377">
        <f t="shared" si="225"/>
        <v>0</v>
      </c>
      <c r="AD530" s="376"/>
      <c r="AE530" s="332">
        <v>515</v>
      </c>
      <c r="AF530" s="350">
        <v>6011310.9384559197</v>
      </c>
      <c r="AG530" s="350">
        <v>12069829.739064978</v>
      </c>
      <c r="AH530" s="350">
        <v>18174199.733870659</v>
      </c>
      <c r="AI530" s="350">
        <v>24324623.326374084</v>
      </c>
      <c r="AJ530" s="350">
        <v>30521987.494149126</v>
      </c>
      <c r="AK530" s="348">
        <v>91101951.231914759</v>
      </c>
      <c r="AL530" s="369"/>
      <c r="AM530" s="350">
        <v>7424141.9695474748</v>
      </c>
      <c r="AN530" s="350">
        <v>16244843.415229067</v>
      </c>
      <c r="AO530" s="350">
        <v>24852909.203850884</v>
      </c>
      <c r="AP530" s="350">
        <v>33243431.526685704</v>
      </c>
      <c r="AQ530" s="350">
        <v>41414205.526200727</v>
      </c>
      <c r="AR530" s="348">
        <v>123179531.64151385</v>
      </c>
      <c r="AS530" s="369"/>
      <c r="AT530" s="350">
        <f t="shared" si="243"/>
        <v>1412831.031091555</v>
      </c>
      <c r="AU530" s="350">
        <f t="shared" si="226"/>
        <v>4175013.6761640888</v>
      </c>
      <c r="AV530" s="350">
        <f t="shared" si="227"/>
        <v>6678709.469980225</v>
      </c>
      <c r="AW530" s="350">
        <f t="shared" si="228"/>
        <v>8918808.2003116198</v>
      </c>
      <c r="AX530" s="350">
        <f t="shared" si="229"/>
        <v>10892218.032051601</v>
      </c>
      <c r="AY530" s="350">
        <f t="shared" si="230"/>
        <v>32077580.409599096</v>
      </c>
      <c r="AZ530" s="365"/>
      <c r="BA530" s="377">
        <f t="shared" si="231"/>
        <v>0</v>
      </c>
      <c r="BB530" s="377">
        <f t="shared" si="232"/>
        <v>0</v>
      </c>
      <c r="BC530" s="377">
        <f t="shared" si="233"/>
        <v>0</v>
      </c>
      <c r="BD530" s="377">
        <f t="shared" si="234"/>
        <v>0</v>
      </c>
      <c r="BE530" s="377">
        <f t="shared" si="235"/>
        <v>0</v>
      </c>
      <c r="BF530" s="377">
        <f t="shared" si="236"/>
        <v>0</v>
      </c>
      <c r="BG530" s="328"/>
    </row>
    <row r="531" spans="2:59">
      <c r="B531" s="332">
        <v>516</v>
      </c>
      <c r="C531" s="350">
        <v>6675067.9422203414</v>
      </c>
      <c r="D531" s="350">
        <v>12710981.643073868</v>
      </c>
      <c r="E531" s="350">
        <v>18792378.280362029</v>
      </c>
      <c r="F531" s="350">
        <v>24919638.685218439</v>
      </c>
      <c r="G531" s="350">
        <v>31093724.487890989</v>
      </c>
      <c r="H531" s="348">
        <v>94191791.038765669</v>
      </c>
      <c r="I531" s="369"/>
      <c r="J531" s="350">
        <v>7583896.025266761</v>
      </c>
      <c r="K531" s="350">
        <v>15391416.206859458</v>
      </c>
      <c r="L531" s="350">
        <v>23002037.869841013</v>
      </c>
      <c r="M531" s="350">
        <v>30410076.610664256</v>
      </c>
      <c r="N531" s="350">
        <v>37611748.309021853</v>
      </c>
      <c r="O531" s="348">
        <v>113999175.02165335</v>
      </c>
      <c r="P531" s="369"/>
      <c r="Q531" s="350">
        <f t="shared" si="237"/>
        <v>908828.08304641955</v>
      </c>
      <c r="R531" s="350">
        <f t="shared" si="238"/>
        <v>2680434.5637855902</v>
      </c>
      <c r="S531" s="350">
        <f t="shared" si="239"/>
        <v>4209659.5894789845</v>
      </c>
      <c r="T531" s="350">
        <f t="shared" si="240"/>
        <v>5490437.9254458174</v>
      </c>
      <c r="U531" s="350">
        <f t="shared" si="241"/>
        <v>6518023.8211308643</v>
      </c>
      <c r="V531" s="350">
        <f t="shared" si="242"/>
        <v>19807383.982887685</v>
      </c>
      <c r="W531" s="365"/>
      <c r="X531" s="377">
        <f t="shared" si="220"/>
        <v>0</v>
      </c>
      <c r="Y531" s="377">
        <f t="shared" si="221"/>
        <v>0</v>
      </c>
      <c r="Z531" s="377">
        <f t="shared" si="222"/>
        <v>0</v>
      </c>
      <c r="AA531" s="377">
        <f t="shared" si="223"/>
        <v>0</v>
      </c>
      <c r="AB531" s="377">
        <f t="shared" si="224"/>
        <v>0</v>
      </c>
      <c r="AC531" s="377">
        <f t="shared" si="225"/>
        <v>0</v>
      </c>
      <c r="AD531" s="376"/>
      <c r="AE531" s="332">
        <v>516</v>
      </c>
      <c r="AF531" s="350">
        <v>6126230.0864395378</v>
      </c>
      <c r="AG531" s="350">
        <v>12300570.514932575</v>
      </c>
      <c r="AH531" s="350">
        <v>18521638.681894366</v>
      </c>
      <c r="AI531" s="350">
        <v>24789640.86020463</v>
      </c>
      <c r="AJ531" s="350">
        <v>31105480.983922798</v>
      </c>
      <c r="AK531" s="348">
        <v>92843561.127393901</v>
      </c>
      <c r="AL531" s="369"/>
      <c r="AM531" s="350">
        <v>7133185.3844478261</v>
      </c>
      <c r="AN531" s="350">
        <v>15271588.656285806</v>
      </c>
      <c r="AO531" s="350">
        <v>23180326.239321548</v>
      </c>
      <c r="AP531" s="350">
        <v>30854518.937446352</v>
      </c>
      <c r="AQ531" s="350">
        <v>38291481.331467427</v>
      </c>
      <c r="AR531" s="348">
        <v>114731100.54896897</v>
      </c>
      <c r="AS531" s="369"/>
      <c r="AT531" s="350">
        <f t="shared" si="243"/>
        <v>1006955.2980082883</v>
      </c>
      <c r="AU531" s="350">
        <f t="shared" si="226"/>
        <v>2971018.1413532309</v>
      </c>
      <c r="AV531" s="350">
        <f t="shared" si="227"/>
        <v>4658687.5574271828</v>
      </c>
      <c r="AW531" s="350">
        <f t="shared" si="228"/>
        <v>6064878.0772417225</v>
      </c>
      <c r="AX531" s="350">
        <f t="shared" si="229"/>
        <v>7186000.3475446291</v>
      </c>
      <c r="AY531" s="350">
        <f t="shared" si="230"/>
        <v>21887539.421575069</v>
      </c>
      <c r="AZ531" s="365"/>
      <c r="BA531" s="377">
        <f t="shared" si="231"/>
        <v>0</v>
      </c>
      <c r="BB531" s="377">
        <f t="shared" si="232"/>
        <v>0</v>
      </c>
      <c r="BC531" s="377">
        <f t="shared" si="233"/>
        <v>0</v>
      </c>
      <c r="BD531" s="377">
        <f t="shared" si="234"/>
        <v>0</v>
      </c>
      <c r="BE531" s="377">
        <f t="shared" si="235"/>
        <v>0</v>
      </c>
      <c r="BF531" s="377">
        <f t="shared" si="236"/>
        <v>0</v>
      </c>
      <c r="BG531" s="328"/>
    </row>
    <row r="532" spans="2:59">
      <c r="B532" s="332">
        <v>517</v>
      </c>
      <c r="C532" s="350">
        <v>7076029.6472262889</v>
      </c>
      <c r="D532" s="350">
        <v>13406959.198282987</v>
      </c>
      <c r="E532" s="350">
        <v>19785573.276525214</v>
      </c>
      <c r="F532" s="350">
        <v>26212290.834771991</v>
      </c>
      <c r="G532" s="350">
        <v>32688128.992481347</v>
      </c>
      <c r="H532" s="348">
        <v>99168981.949287832</v>
      </c>
      <c r="I532" s="369"/>
      <c r="J532" s="350">
        <v>8013764.6344953626</v>
      </c>
      <c r="K532" s="350">
        <v>16172400.952793365</v>
      </c>
      <c r="L532" s="350">
        <v>24117071.894433994</v>
      </c>
      <c r="M532" s="350">
        <v>31842121.351700798</v>
      </c>
      <c r="N532" s="350">
        <v>39343866.125127718</v>
      </c>
      <c r="O532" s="348">
        <v>119489224.95855124</v>
      </c>
      <c r="P532" s="369"/>
      <c r="Q532" s="350">
        <f t="shared" si="237"/>
        <v>937734.98726907372</v>
      </c>
      <c r="R532" s="350">
        <f t="shared" si="238"/>
        <v>2765441.7545103785</v>
      </c>
      <c r="S532" s="350">
        <f t="shared" si="239"/>
        <v>4331498.6179087795</v>
      </c>
      <c r="T532" s="350">
        <f t="shared" si="240"/>
        <v>5629830.5169288069</v>
      </c>
      <c r="U532" s="350">
        <f t="shared" si="241"/>
        <v>6655737.1326463707</v>
      </c>
      <c r="V532" s="350">
        <f t="shared" si="242"/>
        <v>20320243.009263411</v>
      </c>
      <c r="W532" s="365"/>
      <c r="X532" s="377">
        <f t="shared" si="220"/>
        <v>0</v>
      </c>
      <c r="Y532" s="377">
        <f t="shared" si="221"/>
        <v>0</v>
      </c>
      <c r="Z532" s="377">
        <f t="shared" si="222"/>
        <v>0</v>
      </c>
      <c r="AA532" s="377">
        <f t="shared" si="223"/>
        <v>0</v>
      </c>
      <c r="AB532" s="377">
        <f t="shared" si="224"/>
        <v>0</v>
      </c>
      <c r="AC532" s="377">
        <f t="shared" si="225"/>
        <v>0</v>
      </c>
      <c r="AD532" s="376"/>
      <c r="AE532" s="332">
        <v>517</v>
      </c>
      <c r="AF532" s="350">
        <v>6117321.9253591383</v>
      </c>
      <c r="AG532" s="350">
        <v>12282684.235445557</v>
      </c>
      <c r="AH532" s="350">
        <v>18494706.337120622</v>
      </c>
      <c r="AI532" s="350">
        <v>24753594.203322325</v>
      </c>
      <c r="AJ532" s="350">
        <v>31060250.453698117</v>
      </c>
      <c r="AK532" s="348">
        <v>92708557.154945761</v>
      </c>
      <c r="AL532" s="369"/>
      <c r="AM532" s="350">
        <v>6983442.2715153676</v>
      </c>
      <c r="AN532" s="350">
        <v>14836049.536877219</v>
      </c>
      <c r="AO532" s="350">
        <v>22455150.873171154</v>
      </c>
      <c r="AP532" s="350">
        <v>29835913.598349489</v>
      </c>
      <c r="AQ532" s="350">
        <v>36975515.048208848</v>
      </c>
      <c r="AR532" s="348">
        <v>111086071.32812206</v>
      </c>
      <c r="AS532" s="369"/>
      <c r="AT532" s="350">
        <f t="shared" si="243"/>
        <v>866120.34615622927</v>
      </c>
      <c r="AU532" s="350">
        <f t="shared" si="226"/>
        <v>2553365.3014316615</v>
      </c>
      <c r="AV532" s="350">
        <f t="shared" si="227"/>
        <v>3960444.536050532</v>
      </c>
      <c r="AW532" s="350">
        <f t="shared" si="228"/>
        <v>5082319.3950271644</v>
      </c>
      <c r="AX532" s="350">
        <f t="shared" si="229"/>
        <v>5915264.5945107304</v>
      </c>
      <c r="AY532" s="350">
        <f t="shared" si="230"/>
        <v>18377514.173176304</v>
      </c>
      <c r="AZ532" s="365"/>
      <c r="BA532" s="377">
        <f t="shared" si="231"/>
        <v>0</v>
      </c>
      <c r="BB532" s="377">
        <f t="shared" si="232"/>
        <v>0</v>
      </c>
      <c r="BC532" s="377">
        <f t="shared" si="233"/>
        <v>0</v>
      </c>
      <c r="BD532" s="377">
        <f t="shared" si="234"/>
        <v>0</v>
      </c>
      <c r="BE532" s="377">
        <f t="shared" si="235"/>
        <v>0</v>
      </c>
      <c r="BF532" s="377">
        <f t="shared" si="236"/>
        <v>0</v>
      </c>
      <c r="BG532" s="328"/>
    </row>
    <row r="533" spans="2:59">
      <c r="B533" s="332">
        <v>518</v>
      </c>
      <c r="C533" s="350">
        <v>7176374.6552951653</v>
      </c>
      <c r="D533" s="350">
        <v>13534939.207605068</v>
      </c>
      <c r="E533" s="350">
        <v>19941376.474574104</v>
      </c>
      <c r="F533" s="350">
        <v>26396125.375149995</v>
      </c>
      <c r="G533" s="350">
        <v>32900215.360129688</v>
      </c>
      <c r="H533" s="348">
        <v>99949031.072754025</v>
      </c>
      <c r="I533" s="369"/>
      <c r="J533" s="350">
        <v>8339506.5240811436</v>
      </c>
      <c r="K533" s="350">
        <v>16968787.174090799</v>
      </c>
      <c r="L533" s="350">
        <v>25396135.221519545</v>
      </c>
      <c r="M533" s="350">
        <v>33615584.345951706</v>
      </c>
      <c r="N533" s="350">
        <v>41623416.576987721</v>
      </c>
      <c r="O533" s="348">
        <v>125943429.84263092</v>
      </c>
      <c r="P533" s="369"/>
      <c r="Q533" s="350">
        <f t="shared" si="237"/>
        <v>1163131.8687859783</v>
      </c>
      <c r="R533" s="350">
        <f t="shared" si="238"/>
        <v>3433847.9664857313</v>
      </c>
      <c r="S533" s="350">
        <f t="shared" si="239"/>
        <v>5454758.7469454408</v>
      </c>
      <c r="T533" s="350">
        <f t="shared" si="240"/>
        <v>7219458.9708017111</v>
      </c>
      <c r="U533" s="350">
        <f t="shared" si="241"/>
        <v>8723201.2168580331</v>
      </c>
      <c r="V533" s="350">
        <f t="shared" si="242"/>
        <v>25994398.769876897</v>
      </c>
      <c r="W533" s="365"/>
      <c r="X533" s="377">
        <f t="shared" si="220"/>
        <v>0</v>
      </c>
      <c r="Y533" s="377">
        <f t="shared" si="221"/>
        <v>0</v>
      </c>
      <c r="Z533" s="377">
        <f t="shared" si="222"/>
        <v>0</v>
      </c>
      <c r="AA533" s="377">
        <f t="shared" si="223"/>
        <v>0</v>
      </c>
      <c r="AB533" s="377">
        <f t="shared" si="224"/>
        <v>0</v>
      </c>
      <c r="AC533" s="377">
        <f t="shared" si="225"/>
        <v>0</v>
      </c>
      <c r="AD533" s="376"/>
      <c r="AE533" s="332">
        <v>518</v>
      </c>
      <c r="AF533" s="350">
        <v>7988415.2356112283</v>
      </c>
      <c r="AG533" s="350">
        <v>16039564.874603968</v>
      </c>
      <c r="AH533" s="350">
        <v>24151646.044512551</v>
      </c>
      <c r="AI533" s="350">
        <v>32324927.718815248</v>
      </c>
      <c r="AJ533" s="350">
        <v>40560588.599668272</v>
      </c>
      <c r="AK533" s="348">
        <v>121065142.47321126</v>
      </c>
      <c r="AL533" s="369"/>
      <c r="AM533" s="350">
        <v>9511359.2429315317</v>
      </c>
      <c r="AN533" s="350">
        <v>20536198.542308338</v>
      </c>
      <c r="AO533" s="350">
        <v>31267847.592147514</v>
      </c>
      <c r="AP533" s="350">
        <v>41699884.702075794</v>
      </c>
      <c r="AQ533" s="350">
        <v>51829020.753115997</v>
      </c>
      <c r="AR533" s="348">
        <v>154844310.8325792</v>
      </c>
      <c r="AS533" s="369"/>
      <c r="AT533" s="350">
        <f t="shared" si="243"/>
        <v>1522944.0073203035</v>
      </c>
      <c r="AU533" s="350">
        <f t="shared" si="226"/>
        <v>4496633.6677043699</v>
      </c>
      <c r="AV533" s="350">
        <f t="shared" si="227"/>
        <v>7116201.5476349629</v>
      </c>
      <c r="AW533" s="350">
        <f t="shared" si="228"/>
        <v>9374956.9832605459</v>
      </c>
      <c r="AX533" s="350">
        <f t="shared" si="229"/>
        <v>11268432.153447725</v>
      </c>
      <c r="AY533" s="350">
        <f t="shared" si="230"/>
        <v>33779168.359367937</v>
      </c>
      <c r="AZ533" s="365"/>
      <c r="BA533" s="377">
        <f t="shared" si="231"/>
        <v>0</v>
      </c>
      <c r="BB533" s="377">
        <f t="shared" si="232"/>
        <v>0</v>
      </c>
      <c r="BC533" s="377">
        <f t="shared" si="233"/>
        <v>0</v>
      </c>
      <c r="BD533" s="377">
        <f t="shared" si="234"/>
        <v>0</v>
      </c>
      <c r="BE533" s="377">
        <f t="shared" si="235"/>
        <v>0</v>
      </c>
      <c r="BF533" s="377">
        <f t="shared" si="236"/>
        <v>0</v>
      </c>
      <c r="BG533" s="328"/>
    </row>
    <row r="534" spans="2:59">
      <c r="B534" s="332">
        <v>519</v>
      </c>
      <c r="C534" s="350">
        <v>10566010.128017064</v>
      </c>
      <c r="D534" s="350">
        <v>20016985.143625848</v>
      </c>
      <c r="E534" s="350">
        <v>29539144.067387886</v>
      </c>
      <c r="F534" s="350">
        <v>39133113.035884686</v>
      </c>
      <c r="G534" s="350">
        <v>48800410.741517454</v>
      </c>
      <c r="H534" s="348">
        <v>148055663.11643293</v>
      </c>
      <c r="I534" s="369"/>
      <c r="J534" s="350">
        <v>12036449.867276181</v>
      </c>
      <c r="K534" s="350">
        <v>24354577.313622639</v>
      </c>
      <c r="L534" s="350">
        <v>36354323.232788041</v>
      </c>
      <c r="M534" s="350">
        <v>48027263.41164124</v>
      </c>
      <c r="N534" s="350">
        <v>59368011.466431722</v>
      </c>
      <c r="O534" s="348">
        <v>180140625.29175982</v>
      </c>
      <c r="P534" s="369"/>
      <c r="Q534" s="350">
        <f t="shared" si="237"/>
        <v>1470439.7392591164</v>
      </c>
      <c r="R534" s="350">
        <f t="shared" si="238"/>
        <v>4337592.1699967906</v>
      </c>
      <c r="S534" s="350">
        <f t="shared" si="239"/>
        <v>6815179.1654001549</v>
      </c>
      <c r="T534" s="350">
        <f t="shared" si="240"/>
        <v>8894150.3757565543</v>
      </c>
      <c r="U534" s="350">
        <f t="shared" si="241"/>
        <v>10567600.724914268</v>
      </c>
      <c r="V534" s="350">
        <f t="shared" si="242"/>
        <v>32084962.175326884</v>
      </c>
      <c r="W534" s="365"/>
      <c r="X534" s="377">
        <f t="shared" si="220"/>
        <v>0</v>
      </c>
      <c r="Y534" s="377">
        <f t="shared" si="221"/>
        <v>0</v>
      </c>
      <c r="Z534" s="377">
        <f t="shared" si="222"/>
        <v>0</v>
      </c>
      <c r="AA534" s="377">
        <f t="shared" si="223"/>
        <v>0</v>
      </c>
      <c r="AB534" s="377">
        <f t="shared" si="224"/>
        <v>0</v>
      </c>
      <c r="AC534" s="377">
        <f t="shared" si="225"/>
        <v>0</v>
      </c>
      <c r="AD534" s="376"/>
      <c r="AE534" s="332">
        <v>519</v>
      </c>
      <c r="AF534" s="350">
        <v>7668039.2800130714</v>
      </c>
      <c r="AG534" s="350">
        <v>15396296.995742045</v>
      </c>
      <c r="AH534" s="350">
        <v>23183042.579048455</v>
      </c>
      <c r="AI534" s="350">
        <v>31028534.216210291</v>
      </c>
      <c r="AJ534" s="350">
        <v>38933903.337450773</v>
      </c>
      <c r="AK534" s="348">
        <v>116209816.40846464</v>
      </c>
      <c r="AL534" s="369"/>
      <c r="AM534" s="350">
        <v>8857363.4839214124</v>
      </c>
      <c r="AN534" s="350">
        <v>18904313.235494249</v>
      </c>
      <c r="AO534" s="350">
        <v>28661668.433475994</v>
      </c>
      <c r="AP534" s="350">
        <v>38123342.014832795</v>
      </c>
      <c r="AQ534" s="350">
        <v>47285900.749755464</v>
      </c>
      <c r="AR534" s="348">
        <v>141832587.9174799</v>
      </c>
      <c r="AS534" s="369"/>
      <c r="AT534" s="350">
        <f t="shared" si="243"/>
        <v>1189324.203908341</v>
      </c>
      <c r="AU534" s="350">
        <f t="shared" si="226"/>
        <v>3508016.2397522032</v>
      </c>
      <c r="AV534" s="350">
        <f t="shared" si="227"/>
        <v>5478625.8544275388</v>
      </c>
      <c r="AW534" s="350">
        <f t="shared" si="228"/>
        <v>7094807.7986225039</v>
      </c>
      <c r="AX534" s="350">
        <f t="shared" si="229"/>
        <v>8351997.412304692</v>
      </c>
      <c r="AY534" s="350">
        <f t="shared" si="230"/>
        <v>25622771.509015262</v>
      </c>
      <c r="AZ534" s="365"/>
      <c r="BA534" s="377">
        <f t="shared" si="231"/>
        <v>0</v>
      </c>
      <c r="BB534" s="377">
        <f t="shared" si="232"/>
        <v>0</v>
      </c>
      <c r="BC534" s="377">
        <f t="shared" si="233"/>
        <v>0</v>
      </c>
      <c r="BD534" s="377">
        <f t="shared" si="234"/>
        <v>0</v>
      </c>
      <c r="BE534" s="377">
        <f t="shared" si="235"/>
        <v>0</v>
      </c>
      <c r="BF534" s="377">
        <f t="shared" si="236"/>
        <v>0</v>
      </c>
      <c r="BG534" s="328"/>
    </row>
    <row r="535" spans="2:59">
      <c r="B535" s="332">
        <v>520</v>
      </c>
      <c r="C535" s="350">
        <v>6423753.9757988192</v>
      </c>
      <c r="D535" s="350">
        <v>12123811.392390665</v>
      </c>
      <c r="E535" s="350">
        <v>17866786.425186239</v>
      </c>
      <c r="F535" s="350">
        <v>23653070.078057084</v>
      </c>
      <c r="G535" s="350">
        <v>29483584.11938905</v>
      </c>
      <c r="H535" s="348">
        <v>89551005.990821868</v>
      </c>
      <c r="I535" s="369"/>
      <c r="J535" s="350">
        <v>7463474.6479541119</v>
      </c>
      <c r="K535" s="350">
        <v>15193286.064031176</v>
      </c>
      <c r="L535" s="350">
        <v>22741890.475787777</v>
      </c>
      <c r="M535" s="350">
        <v>30103947.516055502</v>
      </c>
      <c r="N535" s="350">
        <v>37276130.137365133</v>
      </c>
      <c r="O535" s="348">
        <v>112778728.84119371</v>
      </c>
      <c r="P535" s="369"/>
      <c r="Q535" s="350">
        <f t="shared" si="237"/>
        <v>1039720.6721552927</v>
      </c>
      <c r="R535" s="350">
        <f t="shared" si="238"/>
        <v>3069474.6716405116</v>
      </c>
      <c r="S535" s="350">
        <f t="shared" si="239"/>
        <v>4875104.0506015383</v>
      </c>
      <c r="T535" s="350">
        <f t="shared" si="240"/>
        <v>6450877.4379984178</v>
      </c>
      <c r="U535" s="350">
        <f t="shared" si="241"/>
        <v>7792546.0179760829</v>
      </c>
      <c r="V535" s="350">
        <f t="shared" si="242"/>
        <v>23227722.850371838</v>
      </c>
      <c r="W535" s="365"/>
      <c r="X535" s="377">
        <f t="shared" si="220"/>
        <v>0</v>
      </c>
      <c r="Y535" s="377">
        <f t="shared" si="221"/>
        <v>0</v>
      </c>
      <c r="Z535" s="377">
        <f t="shared" si="222"/>
        <v>0</v>
      </c>
      <c r="AA535" s="377">
        <f t="shared" si="223"/>
        <v>0</v>
      </c>
      <c r="AB535" s="377">
        <f t="shared" si="224"/>
        <v>0</v>
      </c>
      <c r="AC535" s="377">
        <f t="shared" si="225"/>
        <v>0</v>
      </c>
      <c r="AD535" s="376"/>
      <c r="AE535" s="332">
        <v>520</v>
      </c>
      <c r="AF535" s="350">
        <v>8144193.1959632663</v>
      </c>
      <c r="AG535" s="350">
        <v>16352344.14651281</v>
      </c>
      <c r="AH535" s="350">
        <v>24622614.822298005</v>
      </c>
      <c r="AI535" s="350">
        <v>32955279.441910021</v>
      </c>
      <c r="AJ535" s="350">
        <v>41351539.692767143</v>
      </c>
      <c r="AK535" s="348">
        <v>123425971.29945125</v>
      </c>
      <c r="AL535" s="369"/>
      <c r="AM535" s="350">
        <v>9270467.3733244222</v>
      </c>
      <c r="AN535" s="350">
        <v>19672182.137683287</v>
      </c>
      <c r="AO535" s="350">
        <v>29762219.445536833</v>
      </c>
      <c r="AP535" s="350">
        <v>39534152.973122716</v>
      </c>
      <c r="AQ535" s="350">
        <v>48984197.651249558</v>
      </c>
      <c r="AR535" s="348">
        <v>147223219.58091682</v>
      </c>
      <c r="AS535" s="369"/>
      <c r="AT535" s="350">
        <f t="shared" si="243"/>
        <v>1126274.1773611559</v>
      </c>
      <c r="AU535" s="350">
        <f t="shared" si="226"/>
        <v>3319837.9911704771</v>
      </c>
      <c r="AV535" s="350">
        <f t="shared" si="227"/>
        <v>5139604.623238828</v>
      </c>
      <c r="AW535" s="350">
        <f t="shared" si="228"/>
        <v>6578873.5312126949</v>
      </c>
      <c r="AX535" s="350">
        <f t="shared" si="229"/>
        <v>7632657.9584824145</v>
      </c>
      <c r="AY535" s="350">
        <f t="shared" si="230"/>
        <v>23797248.281465575</v>
      </c>
      <c r="AZ535" s="365"/>
      <c r="BA535" s="377">
        <f t="shared" si="231"/>
        <v>0</v>
      </c>
      <c r="BB535" s="377">
        <f t="shared" si="232"/>
        <v>0</v>
      </c>
      <c r="BC535" s="377">
        <f t="shared" si="233"/>
        <v>0</v>
      </c>
      <c r="BD535" s="377">
        <f t="shared" si="234"/>
        <v>0</v>
      </c>
      <c r="BE535" s="377">
        <f t="shared" si="235"/>
        <v>0</v>
      </c>
      <c r="BF535" s="377">
        <f t="shared" si="236"/>
        <v>0</v>
      </c>
      <c r="BG535" s="328"/>
    </row>
    <row r="536" spans="2:59">
      <c r="B536" s="332">
        <v>521</v>
      </c>
      <c r="C536" s="350">
        <v>9931546.3067099899</v>
      </c>
      <c r="D536" s="350">
        <v>18878414.922900364</v>
      </c>
      <c r="E536" s="350">
        <v>27892690.931074031</v>
      </c>
      <c r="F536" s="350">
        <v>36974948.560814112</v>
      </c>
      <c r="G536" s="350">
        <v>46126617.445429474</v>
      </c>
      <c r="H536" s="348">
        <v>139804218.16692796</v>
      </c>
      <c r="I536" s="369"/>
      <c r="J536" s="350">
        <v>11160577.368927658</v>
      </c>
      <c r="K536" s="350">
        <v>22501297.954933729</v>
      </c>
      <c r="L536" s="350">
        <v>33539665.715622935</v>
      </c>
      <c r="M536" s="350">
        <v>44267573.127196893</v>
      </c>
      <c r="N536" s="350">
        <v>54679581.631930918</v>
      </c>
      <c r="O536" s="348">
        <v>166148695.79861212</v>
      </c>
      <c r="P536" s="369"/>
      <c r="Q536" s="350">
        <f t="shared" si="237"/>
        <v>1229031.0622176677</v>
      </c>
      <c r="R536" s="350">
        <f t="shared" si="238"/>
        <v>3622883.0320333652</v>
      </c>
      <c r="S536" s="350">
        <f t="shared" si="239"/>
        <v>5646974.7845489047</v>
      </c>
      <c r="T536" s="350">
        <f t="shared" si="240"/>
        <v>7292624.5663827807</v>
      </c>
      <c r="U536" s="350">
        <f t="shared" si="241"/>
        <v>8552964.1865014434</v>
      </c>
      <c r="V536" s="350">
        <f t="shared" si="242"/>
        <v>26344477.631684154</v>
      </c>
      <c r="W536" s="365"/>
      <c r="X536" s="377">
        <f t="shared" si="220"/>
        <v>0</v>
      </c>
      <c r="Y536" s="377">
        <f t="shared" si="221"/>
        <v>0</v>
      </c>
      <c r="Z536" s="377">
        <f t="shared" si="222"/>
        <v>0</v>
      </c>
      <c r="AA536" s="377">
        <f t="shared" si="223"/>
        <v>0</v>
      </c>
      <c r="AB536" s="377">
        <f t="shared" si="224"/>
        <v>0</v>
      </c>
      <c r="AC536" s="377">
        <f t="shared" si="225"/>
        <v>0</v>
      </c>
      <c r="AD536" s="376"/>
      <c r="AE536" s="332">
        <v>521</v>
      </c>
      <c r="AF536" s="350">
        <v>9033976.8682788815</v>
      </c>
      <c r="AG536" s="350">
        <v>18138899.115869969</v>
      </c>
      <c r="AH536" s="350">
        <v>27312727.90181784</v>
      </c>
      <c r="AI536" s="350">
        <v>36555767.40412391</v>
      </c>
      <c r="AJ536" s="350">
        <v>45869350.599066921</v>
      </c>
      <c r="AK536" s="348">
        <v>136910721.8891575</v>
      </c>
      <c r="AL536" s="369"/>
      <c r="AM536" s="350">
        <v>10784045.835972797</v>
      </c>
      <c r="AN536" s="350">
        <v>23306504.81561096</v>
      </c>
      <c r="AO536" s="350">
        <v>35498231.88083604</v>
      </c>
      <c r="AP536" s="350">
        <v>47351956.978604831</v>
      </c>
      <c r="AQ536" s="350">
        <v>58863988.64411585</v>
      </c>
      <c r="AR536" s="348">
        <v>175804728.15514046</v>
      </c>
      <c r="AS536" s="369"/>
      <c r="AT536" s="350">
        <f t="shared" si="243"/>
        <v>1750068.9676939156</v>
      </c>
      <c r="AU536" s="350">
        <f t="shared" si="226"/>
        <v>5167605.699740991</v>
      </c>
      <c r="AV536" s="350">
        <f t="shared" si="227"/>
        <v>8185503.9790182002</v>
      </c>
      <c r="AW536" s="350">
        <f t="shared" si="228"/>
        <v>10796189.574480921</v>
      </c>
      <c r="AX536" s="350">
        <f t="shared" si="229"/>
        <v>12994638.04504893</v>
      </c>
      <c r="AY536" s="350">
        <f t="shared" si="230"/>
        <v>38894006.265982956</v>
      </c>
      <c r="AZ536" s="365"/>
      <c r="BA536" s="377">
        <f t="shared" si="231"/>
        <v>0</v>
      </c>
      <c r="BB536" s="377">
        <f t="shared" si="232"/>
        <v>0</v>
      </c>
      <c r="BC536" s="377">
        <f t="shared" si="233"/>
        <v>0</v>
      </c>
      <c r="BD536" s="377">
        <f t="shared" si="234"/>
        <v>0</v>
      </c>
      <c r="BE536" s="377">
        <f t="shared" si="235"/>
        <v>0</v>
      </c>
      <c r="BF536" s="377">
        <f t="shared" si="236"/>
        <v>0</v>
      </c>
      <c r="BG536" s="328"/>
    </row>
    <row r="537" spans="2:59">
      <c r="B537" s="332">
        <v>522</v>
      </c>
      <c r="C537" s="350">
        <v>9981875.5391593128</v>
      </c>
      <c r="D537" s="350">
        <v>18580210.352191281</v>
      </c>
      <c r="E537" s="350">
        <v>27243200.998587675</v>
      </c>
      <c r="F537" s="350">
        <v>35971513.509492546</v>
      </c>
      <c r="G537" s="350">
        <v>44766571.50116232</v>
      </c>
      <c r="H537" s="348">
        <v>136543371.90059313</v>
      </c>
      <c r="I537" s="369"/>
      <c r="J537" s="350">
        <v>11211215.188075745</v>
      </c>
      <c r="K537" s="350">
        <v>22204903.495008614</v>
      </c>
      <c r="L537" s="350">
        <v>32911917.373679414</v>
      </c>
      <c r="M537" s="350">
        <v>43324496.514815912</v>
      </c>
      <c r="N537" s="350">
        <v>53437440.104237676</v>
      </c>
      <c r="O537" s="348">
        <v>163089972.67581737</v>
      </c>
      <c r="P537" s="369"/>
      <c r="Q537" s="350">
        <f t="shared" si="237"/>
        <v>1229339.6489164326</v>
      </c>
      <c r="R537" s="350">
        <f t="shared" si="238"/>
        <v>3624693.1428173333</v>
      </c>
      <c r="S537" s="350">
        <f t="shared" si="239"/>
        <v>5668716.375091739</v>
      </c>
      <c r="T537" s="350">
        <f t="shared" si="240"/>
        <v>7352983.0053233653</v>
      </c>
      <c r="U537" s="350">
        <f t="shared" si="241"/>
        <v>8670868.6030753553</v>
      </c>
      <c r="V537" s="350">
        <f t="shared" si="242"/>
        <v>26546600.775224239</v>
      </c>
      <c r="W537" s="365"/>
      <c r="X537" s="377">
        <f t="shared" si="220"/>
        <v>0</v>
      </c>
      <c r="Y537" s="377">
        <f t="shared" si="221"/>
        <v>0</v>
      </c>
      <c r="Z537" s="377">
        <f t="shared" si="222"/>
        <v>0</v>
      </c>
      <c r="AA537" s="377">
        <f t="shared" si="223"/>
        <v>0</v>
      </c>
      <c r="AB537" s="377">
        <f t="shared" si="224"/>
        <v>0</v>
      </c>
      <c r="AC537" s="377">
        <f t="shared" si="225"/>
        <v>0</v>
      </c>
      <c r="AD537" s="376"/>
      <c r="AE537" s="332">
        <v>522</v>
      </c>
      <c r="AF537" s="350">
        <v>7008987.1966661941</v>
      </c>
      <c r="AG537" s="350">
        <v>14073017.179307178</v>
      </c>
      <c r="AH537" s="350">
        <v>21190508.118529212</v>
      </c>
      <c r="AI537" s="350">
        <v>28361696.010034807</v>
      </c>
      <c r="AJ537" s="350">
        <v>35587615.039964497</v>
      </c>
      <c r="AK537" s="348">
        <v>106221823.5445019</v>
      </c>
      <c r="AL537" s="369"/>
      <c r="AM537" s="350">
        <v>8637111.6252301354</v>
      </c>
      <c r="AN537" s="350">
        <v>18884033.659775019</v>
      </c>
      <c r="AO537" s="350">
        <v>28882454.9172711</v>
      </c>
      <c r="AP537" s="350">
        <v>38626658.48456233</v>
      </c>
      <c r="AQ537" s="350">
        <v>48114054.137430117</v>
      </c>
      <c r="AR537" s="348">
        <v>143144312.8242687</v>
      </c>
      <c r="AS537" s="369"/>
      <c r="AT537" s="350">
        <f t="shared" si="243"/>
        <v>1628124.4285639413</v>
      </c>
      <c r="AU537" s="350">
        <f t="shared" si="226"/>
        <v>4811016.480467841</v>
      </c>
      <c r="AV537" s="350">
        <f t="shared" si="227"/>
        <v>7691946.7987418883</v>
      </c>
      <c r="AW537" s="350">
        <f t="shared" si="228"/>
        <v>10264962.474527523</v>
      </c>
      <c r="AX537" s="350">
        <f t="shared" si="229"/>
        <v>12526439.097465619</v>
      </c>
      <c r="AY537" s="350">
        <f t="shared" si="230"/>
        <v>36922489.279766798</v>
      </c>
      <c r="AZ537" s="365"/>
      <c r="BA537" s="377">
        <f t="shared" si="231"/>
        <v>0</v>
      </c>
      <c r="BB537" s="377">
        <f t="shared" si="232"/>
        <v>0</v>
      </c>
      <c r="BC537" s="377">
        <f t="shared" si="233"/>
        <v>0</v>
      </c>
      <c r="BD537" s="377">
        <f t="shared" si="234"/>
        <v>0</v>
      </c>
      <c r="BE537" s="377">
        <f t="shared" si="235"/>
        <v>0</v>
      </c>
      <c r="BF537" s="377">
        <f t="shared" si="236"/>
        <v>0</v>
      </c>
      <c r="BG537" s="328"/>
    </row>
    <row r="538" spans="2:59">
      <c r="B538" s="332">
        <v>523</v>
      </c>
      <c r="C538" s="350">
        <v>8691620.1384474207</v>
      </c>
      <c r="D538" s="350">
        <v>16412527.565431572</v>
      </c>
      <c r="E538" s="350">
        <v>24191571.002562098</v>
      </c>
      <c r="F538" s="350">
        <v>32029277.581277244</v>
      </c>
      <c r="G538" s="350">
        <v>39926894.780064642</v>
      </c>
      <c r="H538" s="348">
        <v>121251891.06778297</v>
      </c>
      <c r="I538" s="369"/>
      <c r="J538" s="350">
        <v>9894395.8303409386</v>
      </c>
      <c r="K538" s="350">
        <v>19960575.998584904</v>
      </c>
      <c r="L538" s="350">
        <v>29770049.215159222</v>
      </c>
      <c r="M538" s="350">
        <v>39315818.287492901</v>
      </c>
      <c r="N538" s="350">
        <v>48593355.742966585</v>
      </c>
      <c r="O538" s="348">
        <v>147534195.07454455</v>
      </c>
      <c r="P538" s="369"/>
      <c r="Q538" s="350">
        <f t="shared" si="237"/>
        <v>1202775.691893518</v>
      </c>
      <c r="R538" s="350">
        <f t="shared" si="238"/>
        <v>3548048.4331533313</v>
      </c>
      <c r="S538" s="350">
        <f t="shared" si="239"/>
        <v>5578478.2125971243</v>
      </c>
      <c r="T538" s="350">
        <f t="shared" si="240"/>
        <v>7286540.7062156573</v>
      </c>
      <c r="U538" s="350">
        <f t="shared" si="241"/>
        <v>8666460.9629019424</v>
      </c>
      <c r="V538" s="350">
        <f t="shared" si="242"/>
        <v>26282304.006761581</v>
      </c>
      <c r="W538" s="365"/>
      <c r="X538" s="377">
        <f t="shared" si="220"/>
        <v>0</v>
      </c>
      <c r="Y538" s="377">
        <f t="shared" si="221"/>
        <v>0</v>
      </c>
      <c r="Z538" s="377">
        <f t="shared" si="222"/>
        <v>0</v>
      </c>
      <c r="AA538" s="377">
        <f t="shared" si="223"/>
        <v>0</v>
      </c>
      <c r="AB538" s="377">
        <f t="shared" si="224"/>
        <v>0</v>
      </c>
      <c r="AC538" s="377">
        <f t="shared" si="225"/>
        <v>0</v>
      </c>
      <c r="AD538" s="376"/>
      <c r="AE538" s="332">
        <v>523</v>
      </c>
      <c r="AF538" s="350">
        <v>5077800.621110389</v>
      </c>
      <c r="AG538" s="350">
        <v>10195478.0867588</v>
      </c>
      <c r="AH538" s="350">
        <v>15351886.409079559</v>
      </c>
      <c r="AI538" s="350">
        <v>20547196.559868045</v>
      </c>
      <c r="AJ538" s="350">
        <v>25782157.775908321</v>
      </c>
      <c r="AK538" s="348">
        <v>76954519.452725112</v>
      </c>
      <c r="AL538" s="369"/>
      <c r="AM538" s="350">
        <v>6201772.9325203691</v>
      </c>
      <c r="AN538" s="350">
        <v>13516155.400909364</v>
      </c>
      <c r="AO538" s="350">
        <v>20648842.63591139</v>
      </c>
      <c r="AP538" s="350">
        <v>27595708.618715081</v>
      </c>
      <c r="AQ538" s="350">
        <v>34354820.545598015</v>
      </c>
      <c r="AR538" s="348">
        <v>102317300.13365422</v>
      </c>
      <c r="AS538" s="369"/>
      <c r="AT538" s="350">
        <f t="shared" si="243"/>
        <v>1123972.3114099801</v>
      </c>
      <c r="AU538" s="350">
        <f t="shared" si="226"/>
        <v>3320677.3141505644</v>
      </c>
      <c r="AV538" s="350">
        <f t="shared" si="227"/>
        <v>5296956.226831831</v>
      </c>
      <c r="AW538" s="350">
        <f t="shared" si="228"/>
        <v>7048512.0588470362</v>
      </c>
      <c r="AX538" s="350">
        <f t="shared" si="229"/>
        <v>8572662.769689694</v>
      </c>
      <c r="AY538" s="350">
        <f t="shared" si="230"/>
        <v>25362780.680929109</v>
      </c>
      <c r="AZ538" s="365"/>
      <c r="BA538" s="377">
        <f t="shared" si="231"/>
        <v>0</v>
      </c>
      <c r="BB538" s="377">
        <f t="shared" si="232"/>
        <v>0</v>
      </c>
      <c r="BC538" s="377">
        <f t="shared" si="233"/>
        <v>0</v>
      </c>
      <c r="BD538" s="377">
        <f t="shared" si="234"/>
        <v>0</v>
      </c>
      <c r="BE538" s="377">
        <f t="shared" si="235"/>
        <v>0</v>
      </c>
      <c r="BF538" s="377">
        <f t="shared" si="236"/>
        <v>0</v>
      </c>
      <c r="BG538" s="328"/>
    </row>
    <row r="539" spans="2:59">
      <c r="B539" s="332">
        <v>524</v>
      </c>
      <c r="C539" s="350">
        <v>10243142.052426141</v>
      </c>
      <c r="D539" s="350">
        <v>19306586.225292332</v>
      </c>
      <c r="E539" s="350">
        <v>28438263.738515262</v>
      </c>
      <c r="F539" s="350">
        <v>37638803.878803149</v>
      </c>
      <c r="G539" s="350">
        <v>46909675.60705702</v>
      </c>
      <c r="H539" s="348">
        <v>142536471.50209391</v>
      </c>
      <c r="I539" s="369"/>
      <c r="J539" s="350">
        <v>11915714.533333845</v>
      </c>
      <c r="K539" s="350">
        <v>24244629.722783029</v>
      </c>
      <c r="L539" s="350">
        <v>36291033.231039502</v>
      </c>
      <c r="M539" s="350">
        <v>48046230.72361511</v>
      </c>
      <c r="N539" s="350">
        <v>59504742.082010671</v>
      </c>
      <c r="O539" s="348">
        <v>180002350.29278216</v>
      </c>
      <c r="P539" s="369"/>
      <c r="Q539" s="350">
        <f t="shared" si="237"/>
        <v>1672572.4809077047</v>
      </c>
      <c r="R539" s="350">
        <f t="shared" si="238"/>
        <v>4938043.4974906966</v>
      </c>
      <c r="S539" s="350">
        <f t="shared" si="239"/>
        <v>7852769.4925242402</v>
      </c>
      <c r="T539" s="350">
        <f t="shared" si="240"/>
        <v>10407426.844811961</v>
      </c>
      <c r="U539" s="350">
        <f t="shared" si="241"/>
        <v>12595066.474953651</v>
      </c>
      <c r="V539" s="350">
        <f t="shared" si="242"/>
        <v>37465878.790688246</v>
      </c>
      <c r="W539" s="365"/>
      <c r="X539" s="377">
        <f t="shared" si="220"/>
        <v>0</v>
      </c>
      <c r="Y539" s="377">
        <f t="shared" si="221"/>
        <v>0</v>
      </c>
      <c r="Z539" s="377">
        <f t="shared" si="222"/>
        <v>0</v>
      </c>
      <c r="AA539" s="377">
        <f t="shared" si="223"/>
        <v>0</v>
      </c>
      <c r="AB539" s="377">
        <f t="shared" si="224"/>
        <v>0</v>
      </c>
      <c r="AC539" s="377">
        <f t="shared" si="225"/>
        <v>0</v>
      </c>
      <c r="AD539" s="376"/>
      <c r="AE539" s="332">
        <v>524</v>
      </c>
      <c r="AF539" s="350">
        <v>8114723.0171127282</v>
      </c>
      <c r="AG539" s="350">
        <v>16293172.354411643</v>
      </c>
      <c r="AH539" s="350">
        <v>24533516.633549154</v>
      </c>
      <c r="AI539" s="350">
        <v>32836029.080842465</v>
      </c>
      <c r="AJ539" s="350">
        <v>41201907.035342589</v>
      </c>
      <c r="AK539" s="348">
        <v>122979348.12125857</v>
      </c>
      <c r="AL539" s="369"/>
      <c r="AM539" s="350">
        <v>9641912.1983947773</v>
      </c>
      <c r="AN539" s="350">
        <v>20802080.19201681</v>
      </c>
      <c r="AO539" s="350">
        <v>31663828.142663911</v>
      </c>
      <c r="AP539" s="350">
        <v>42220638.434222743</v>
      </c>
      <c r="AQ539" s="350">
        <v>52469149.854385644</v>
      </c>
      <c r="AR539" s="348">
        <v>156797608.82168388</v>
      </c>
      <c r="AS539" s="369"/>
      <c r="AT539" s="350">
        <f t="shared" si="243"/>
        <v>1527189.181282049</v>
      </c>
      <c r="AU539" s="350">
        <f t="shared" si="226"/>
        <v>4508907.8376051672</v>
      </c>
      <c r="AV539" s="350">
        <f t="shared" si="227"/>
        <v>7130311.5091147572</v>
      </c>
      <c r="AW539" s="350">
        <f t="shared" si="228"/>
        <v>9384609.3533802778</v>
      </c>
      <c r="AX539" s="350">
        <f t="shared" si="229"/>
        <v>11267242.819043055</v>
      </c>
      <c r="AY539" s="350">
        <f t="shared" si="230"/>
        <v>33818260.700425312</v>
      </c>
      <c r="AZ539" s="365"/>
      <c r="BA539" s="377">
        <f t="shared" si="231"/>
        <v>0</v>
      </c>
      <c r="BB539" s="377">
        <f t="shared" si="232"/>
        <v>0</v>
      </c>
      <c r="BC539" s="377">
        <f t="shared" si="233"/>
        <v>0</v>
      </c>
      <c r="BD539" s="377">
        <f t="shared" si="234"/>
        <v>0</v>
      </c>
      <c r="BE539" s="377">
        <f t="shared" si="235"/>
        <v>0</v>
      </c>
      <c r="BF539" s="377">
        <f t="shared" si="236"/>
        <v>0</v>
      </c>
      <c r="BG539" s="328"/>
    </row>
    <row r="540" spans="2:59">
      <c r="B540" s="332">
        <v>525</v>
      </c>
      <c r="C540" s="350">
        <v>7846025.5666668871</v>
      </c>
      <c r="D540" s="350">
        <v>14733214.824904691</v>
      </c>
      <c r="E540" s="350">
        <v>21672235.749165077</v>
      </c>
      <c r="F540" s="350">
        <v>28663582.820316605</v>
      </c>
      <c r="G540" s="350">
        <v>35708379.371627487</v>
      </c>
      <c r="H540" s="348">
        <v>108623438.33268073</v>
      </c>
      <c r="I540" s="369"/>
      <c r="J540" s="350">
        <v>8566944.2538365517</v>
      </c>
      <c r="K540" s="350">
        <v>16854274.249164652</v>
      </c>
      <c r="L540" s="350">
        <v>24903458.236719832</v>
      </c>
      <c r="M540" s="350">
        <v>32708324.742289752</v>
      </c>
      <c r="N540" s="350">
        <v>40264433.448572353</v>
      </c>
      <c r="O540" s="348">
        <v>123297434.93058313</v>
      </c>
      <c r="P540" s="369"/>
      <c r="Q540" s="350">
        <f t="shared" si="237"/>
        <v>720918.68716966454</v>
      </c>
      <c r="R540" s="350">
        <f t="shared" si="238"/>
        <v>2121059.4242599607</v>
      </c>
      <c r="S540" s="350">
        <f t="shared" si="239"/>
        <v>3231222.4875547551</v>
      </c>
      <c r="T540" s="350">
        <f t="shared" si="240"/>
        <v>4044741.9219731465</v>
      </c>
      <c r="U540" s="350">
        <f t="shared" si="241"/>
        <v>4556054.0769448653</v>
      </c>
      <c r="V540" s="350">
        <f t="shared" si="242"/>
        <v>14673996.597902402</v>
      </c>
      <c r="W540" s="365"/>
      <c r="X540" s="377">
        <f t="shared" si="220"/>
        <v>0</v>
      </c>
      <c r="Y540" s="377">
        <f t="shared" si="221"/>
        <v>0</v>
      </c>
      <c r="Z540" s="377">
        <f t="shared" si="222"/>
        <v>0</v>
      </c>
      <c r="AA540" s="377">
        <f t="shared" si="223"/>
        <v>0</v>
      </c>
      <c r="AB540" s="377">
        <f t="shared" si="224"/>
        <v>0</v>
      </c>
      <c r="AC540" s="377">
        <f t="shared" si="225"/>
        <v>0</v>
      </c>
      <c r="AD540" s="376"/>
      <c r="AE540" s="332">
        <v>525</v>
      </c>
      <c r="AF540" s="350">
        <v>7689568.6386050116</v>
      </c>
      <c r="AG540" s="350">
        <v>15439524.786694204</v>
      </c>
      <c r="AH540" s="350">
        <v>23248133.017257027</v>
      </c>
      <c r="AI540" s="350">
        <v>31115652.241474498</v>
      </c>
      <c r="AJ540" s="350">
        <v>39043217.066257663</v>
      </c>
      <c r="AK540" s="348">
        <v>116536095.7502884</v>
      </c>
      <c r="AL540" s="369"/>
      <c r="AM540" s="350">
        <v>8879703.5847210996</v>
      </c>
      <c r="AN540" s="350">
        <v>18949891.626359709</v>
      </c>
      <c r="AO540" s="350">
        <v>28729596.297989804</v>
      </c>
      <c r="AP540" s="350">
        <v>38212714.161237314</v>
      </c>
      <c r="AQ540" s="350">
        <v>47395799.786130428</v>
      </c>
      <c r="AR540" s="348">
        <v>142167705.45643836</v>
      </c>
      <c r="AS540" s="369"/>
      <c r="AT540" s="350">
        <f t="shared" si="243"/>
        <v>1190134.946116088</v>
      </c>
      <c r="AU540" s="350">
        <f t="shared" si="226"/>
        <v>3510366.8396655042</v>
      </c>
      <c r="AV540" s="350">
        <f t="shared" si="227"/>
        <v>5481463.280732777</v>
      </c>
      <c r="AW540" s="350">
        <f t="shared" si="228"/>
        <v>7097061.9197628163</v>
      </c>
      <c r="AX540" s="350">
        <f t="shared" si="229"/>
        <v>8352582.7198727652</v>
      </c>
      <c r="AY540" s="350">
        <f t="shared" si="230"/>
        <v>25631609.706149966</v>
      </c>
      <c r="AZ540" s="365"/>
      <c r="BA540" s="377">
        <f t="shared" si="231"/>
        <v>0</v>
      </c>
      <c r="BB540" s="377">
        <f t="shared" si="232"/>
        <v>0</v>
      </c>
      <c r="BC540" s="377">
        <f t="shared" si="233"/>
        <v>0</v>
      </c>
      <c r="BD540" s="377">
        <f t="shared" si="234"/>
        <v>0</v>
      </c>
      <c r="BE540" s="377">
        <f t="shared" si="235"/>
        <v>0</v>
      </c>
      <c r="BF540" s="377">
        <f t="shared" si="236"/>
        <v>0</v>
      </c>
      <c r="BG540" s="328"/>
    </row>
    <row r="541" spans="2:59">
      <c r="B541" s="332">
        <v>526</v>
      </c>
      <c r="C541" s="350">
        <v>6603812.6145314872</v>
      </c>
      <c r="D541" s="350">
        <v>12488559.219058122</v>
      </c>
      <c r="E541" s="350">
        <v>18417622.094527647</v>
      </c>
      <c r="F541" s="350">
        <v>24391397.581543125</v>
      </c>
      <c r="G541" s="350">
        <v>30410834.12470305</v>
      </c>
      <c r="H541" s="348">
        <v>92312225.634363443</v>
      </c>
      <c r="I541" s="369"/>
      <c r="J541" s="350">
        <v>7722690.5757479239</v>
      </c>
      <c r="K541" s="350">
        <v>15792305.043105096</v>
      </c>
      <c r="L541" s="350">
        <v>23671944.52812402</v>
      </c>
      <c r="M541" s="350">
        <v>31356217.004477318</v>
      </c>
      <c r="N541" s="350">
        <v>38841878.182722241</v>
      </c>
      <c r="O541" s="348">
        <v>117385035.3341766</v>
      </c>
      <c r="P541" s="369"/>
      <c r="Q541" s="350">
        <f t="shared" si="237"/>
        <v>1118877.9612164367</v>
      </c>
      <c r="R541" s="350">
        <f t="shared" si="238"/>
        <v>3303745.8240469731</v>
      </c>
      <c r="S541" s="350">
        <f t="shared" si="239"/>
        <v>5254322.4335963726</v>
      </c>
      <c r="T541" s="350">
        <f t="shared" si="240"/>
        <v>6964819.4229341932</v>
      </c>
      <c r="U541" s="350">
        <f t="shared" si="241"/>
        <v>8431044.058019191</v>
      </c>
      <c r="V541" s="350">
        <f t="shared" si="242"/>
        <v>25072809.699813157</v>
      </c>
      <c r="W541" s="365"/>
      <c r="X541" s="377">
        <f t="shared" si="220"/>
        <v>0</v>
      </c>
      <c r="Y541" s="377">
        <f t="shared" si="221"/>
        <v>0</v>
      </c>
      <c r="Z541" s="377">
        <f t="shared" si="222"/>
        <v>0</v>
      </c>
      <c r="AA541" s="377">
        <f t="shared" si="223"/>
        <v>0</v>
      </c>
      <c r="AB541" s="377">
        <f t="shared" si="224"/>
        <v>0</v>
      </c>
      <c r="AC541" s="377">
        <f t="shared" si="225"/>
        <v>0</v>
      </c>
      <c r="AD541" s="376"/>
      <c r="AE541" s="332">
        <v>526</v>
      </c>
      <c r="AF541" s="350">
        <v>6636569.0032791365</v>
      </c>
      <c r="AG541" s="350">
        <v>13325256.12819333</v>
      </c>
      <c r="AH541" s="350">
        <v>20064563.594873909</v>
      </c>
      <c r="AI541" s="350">
        <v>26854714.859537899</v>
      </c>
      <c r="AJ541" s="350">
        <v>33696689.157485835</v>
      </c>
      <c r="AK541" s="348">
        <v>100577792.74337012</v>
      </c>
      <c r="AL541" s="369"/>
      <c r="AM541" s="350">
        <v>8361201.4499383625</v>
      </c>
      <c r="AN541" s="350">
        <v>18423418.095766116</v>
      </c>
      <c r="AO541" s="350">
        <v>28255819.328301292</v>
      </c>
      <c r="AP541" s="350">
        <v>37852940.234917536</v>
      </c>
      <c r="AQ541" s="350">
        <v>47212513.57507778</v>
      </c>
      <c r="AR541" s="348">
        <v>140105892.68400109</v>
      </c>
      <c r="AS541" s="369"/>
      <c r="AT541" s="350">
        <f t="shared" si="243"/>
        <v>1724632.446659226</v>
      </c>
      <c r="AU541" s="350">
        <f t="shared" si="226"/>
        <v>5098161.9675727859</v>
      </c>
      <c r="AV541" s="350">
        <f t="shared" si="227"/>
        <v>8191255.733427383</v>
      </c>
      <c r="AW541" s="350">
        <f t="shared" si="228"/>
        <v>10998225.375379637</v>
      </c>
      <c r="AX541" s="350">
        <f t="shared" si="229"/>
        <v>13515824.417591944</v>
      </c>
      <c r="AY541" s="350">
        <f t="shared" si="230"/>
        <v>39528099.940630972</v>
      </c>
      <c r="AZ541" s="365"/>
      <c r="BA541" s="377">
        <f t="shared" si="231"/>
        <v>0</v>
      </c>
      <c r="BB541" s="377">
        <f t="shared" si="232"/>
        <v>0</v>
      </c>
      <c r="BC541" s="377">
        <f t="shared" si="233"/>
        <v>0</v>
      </c>
      <c r="BD541" s="377">
        <f t="shared" si="234"/>
        <v>0</v>
      </c>
      <c r="BE541" s="377">
        <f t="shared" si="235"/>
        <v>0</v>
      </c>
      <c r="BF541" s="377">
        <f t="shared" si="236"/>
        <v>0</v>
      </c>
      <c r="BG541" s="328"/>
    </row>
    <row r="542" spans="2:59">
      <c r="B542" s="332">
        <v>527</v>
      </c>
      <c r="C542" s="350">
        <v>5820423.3531935457</v>
      </c>
      <c r="D542" s="350">
        <v>10884493.717640318</v>
      </c>
      <c r="E542" s="350">
        <v>15986660.554217055</v>
      </c>
      <c r="F542" s="350">
        <v>21127300.853167795</v>
      </c>
      <c r="G542" s="350">
        <v>26307246.420553483</v>
      </c>
      <c r="H542" s="348">
        <v>80126124.898772195</v>
      </c>
      <c r="I542" s="369"/>
      <c r="J542" s="350">
        <v>6779234.3843219373</v>
      </c>
      <c r="K542" s="350">
        <v>13715558.720005196</v>
      </c>
      <c r="L542" s="350">
        <v>20493608.020394884</v>
      </c>
      <c r="M542" s="350">
        <v>27108571.47393414</v>
      </c>
      <c r="N542" s="350">
        <v>33557452.757247366</v>
      </c>
      <c r="O542" s="348">
        <v>101654425.35590354</v>
      </c>
      <c r="P542" s="369"/>
      <c r="Q542" s="350">
        <f t="shared" si="237"/>
        <v>958811.03112839162</v>
      </c>
      <c r="R542" s="350">
        <f t="shared" si="238"/>
        <v>2831065.0023648776</v>
      </c>
      <c r="S542" s="350">
        <f t="shared" si="239"/>
        <v>4506947.4661778286</v>
      </c>
      <c r="T542" s="350">
        <f t="shared" si="240"/>
        <v>5981270.6207663454</v>
      </c>
      <c r="U542" s="350">
        <f t="shared" si="241"/>
        <v>7250206.3366938829</v>
      </c>
      <c r="V542" s="350">
        <f t="shared" si="242"/>
        <v>21528300.457131341</v>
      </c>
      <c r="W542" s="365"/>
      <c r="X542" s="377">
        <f t="shared" si="220"/>
        <v>0</v>
      </c>
      <c r="Y542" s="377">
        <f t="shared" si="221"/>
        <v>0</v>
      </c>
      <c r="Z542" s="377">
        <f t="shared" si="222"/>
        <v>0</v>
      </c>
      <c r="AA542" s="377">
        <f t="shared" si="223"/>
        <v>0</v>
      </c>
      <c r="AB542" s="377">
        <f t="shared" si="224"/>
        <v>0</v>
      </c>
      <c r="AC542" s="377">
        <f t="shared" si="225"/>
        <v>0</v>
      </c>
      <c r="AD542" s="376"/>
      <c r="AE542" s="332">
        <v>527</v>
      </c>
      <c r="AF542" s="350">
        <v>5941189.0811690595</v>
      </c>
      <c r="AG542" s="350">
        <v>11929035.345445272</v>
      </c>
      <c r="AH542" s="350">
        <v>17962197.950384691</v>
      </c>
      <c r="AI542" s="350">
        <v>24040876.938454457</v>
      </c>
      <c r="AJ542" s="350">
        <v>30165948.940647557</v>
      </c>
      <c r="AK542" s="348">
        <v>90039248.256101042</v>
      </c>
      <c r="AL542" s="369"/>
      <c r="AM542" s="350">
        <v>7046707.73159758</v>
      </c>
      <c r="AN542" s="350">
        <v>15192826.048982022</v>
      </c>
      <c r="AO542" s="350">
        <v>23120078.599308044</v>
      </c>
      <c r="AP542" s="350">
        <v>30823697.081368294</v>
      </c>
      <c r="AQ542" s="350">
        <v>38301207.812903516</v>
      </c>
      <c r="AR542" s="348">
        <v>114484517.27415946</v>
      </c>
      <c r="AS542" s="369"/>
      <c r="AT542" s="350">
        <f t="shared" si="243"/>
        <v>1105518.6504285205</v>
      </c>
      <c r="AU542" s="350">
        <f t="shared" si="226"/>
        <v>3263790.7035367507</v>
      </c>
      <c r="AV542" s="350">
        <f t="shared" si="227"/>
        <v>5157880.6489233524</v>
      </c>
      <c r="AW542" s="350">
        <f t="shared" si="228"/>
        <v>6782820.142913837</v>
      </c>
      <c r="AX542" s="350">
        <f t="shared" si="229"/>
        <v>8135258.8722559586</v>
      </c>
      <c r="AY542" s="350">
        <f t="shared" si="230"/>
        <v>24445269.018058419</v>
      </c>
      <c r="AZ542" s="365"/>
      <c r="BA542" s="377">
        <f t="shared" si="231"/>
        <v>0</v>
      </c>
      <c r="BB542" s="377">
        <f t="shared" si="232"/>
        <v>0</v>
      </c>
      <c r="BC542" s="377">
        <f t="shared" si="233"/>
        <v>0</v>
      </c>
      <c r="BD542" s="377">
        <f t="shared" si="234"/>
        <v>0</v>
      </c>
      <c r="BE542" s="377">
        <f t="shared" si="235"/>
        <v>0</v>
      </c>
      <c r="BF542" s="377">
        <f t="shared" si="236"/>
        <v>0</v>
      </c>
      <c r="BG542" s="328"/>
    </row>
    <row r="543" spans="2:59">
      <c r="B543" s="332">
        <v>528</v>
      </c>
      <c r="C543" s="350">
        <v>6158488.0452250587</v>
      </c>
      <c r="D543" s="350">
        <v>11383751.965260316</v>
      </c>
      <c r="E543" s="350">
        <v>16648281.09257547</v>
      </c>
      <c r="F543" s="350">
        <v>21952504.316688258</v>
      </c>
      <c r="G543" s="350">
        <v>27297297.280870624</v>
      </c>
      <c r="H543" s="348">
        <v>83440322.700619727</v>
      </c>
      <c r="I543" s="369"/>
      <c r="J543" s="350">
        <v>7057686.2017495865</v>
      </c>
      <c r="K543" s="350">
        <v>14037648.00097812</v>
      </c>
      <c r="L543" s="350">
        <v>20849109.977855645</v>
      </c>
      <c r="M543" s="350">
        <v>27487292.08436197</v>
      </c>
      <c r="N543" s="350">
        <v>33949151.344531879</v>
      </c>
      <c r="O543" s="348">
        <v>103380887.60947721</v>
      </c>
      <c r="P543" s="369"/>
      <c r="Q543" s="350">
        <f t="shared" si="237"/>
        <v>899198.15652452782</v>
      </c>
      <c r="R543" s="350">
        <f t="shared" si="238"/>
        <v>2653896.035717804</v>
      </c>
      <c r="S543" s="350">
        <f t="shared" si="239"/>
        <v>4200828.8852801751</v>
      </c>
      <c r="T543" s="350">
        <f t="shared" si="240"/>
        <v>5534787.7676737122</v>
      </c>
      <c r="U543" s="350">
        <f t="shared" si="241"/>
        <v>6651854.0636612549</v>
      </c>
      <c r="V543" s="350">
        <f t="shared" si="242"/>
        <v>19940564.90885748</v>
      </c>
      <c r="W543" s="365"/>
      <c r="X543" s="377">
        <f t="shared" si="220"/>
        <v>0</v>
      </c>
      <c r="Y543" s="377">
        <f t="shared" si="221"/>
        <v>0</v>
      </c>
      <c r="Z543" s="377">
        <f t="shared" si="222"/>
        <v>0</v>
      </c>
      <c r="AA543" s="377">
        <f t="shared" si="223"/>
        <v>0</v>
      </c>
      <c r="AB543" s="377">
        <f t="shared" si="224"/>
        <v>0</v>
      </c>
      <c r="AC543" s="377">
        <f t="shared" si="225"/>
        <v>0</v>
      </c>
      <c r="AD543" s="376"/>
      <c r="AE543" s="332">
        <v>528</v>
      </c>
      <c r="AF543" s="350">
        <v>4756001.5306718815</v>
      </c>
      <c r="AG543" s="350">
        <v>9549352.7620926909</v>
      </c>
      <c r="AH543" s="350">
        <v>14378980.331905385</v>
      </c>
      <c r="AI543" s="350">
        <v>19245044.376787473</v>
      </c>
      <c r="AJ543" s="350">
        <v>24148246.651604444</v>
      </c>
      <c r="AK543" s="348">
        <v>72077625.653061867</v>
      </c>
      <c r="AL543" s="369"/>
      <c r="AM543" s="350">
        <v>5887275.2131511746</v>
      </c>
      <c r="AN543" s="350">
        <v>12892488.296477785</v>
      </c>
      <c r="AO543" s="350">
        <v>19729872.896744158</v>
      </c>
      <c r="AP543" s="350">
        <v>26395542.264610074</v>
      </c>
      <c r="AQ543" s="350">
        <v>32887765.619479317</v>
      </c>
      <c r="AR543" s="348">
        <v>97792944.290462509</v>
      </c>
      <c r="AS543" s="369"/>
      <c r="AT543" s="350">
        <f t="shared" si="243"/>
        <v>1131273.6824792931</v>
      </c>
      <c r="AU543" s="350">
        <f t="shared" si="226"/>
        <v>3343135.5343850944</v>
      </c>
      <c r="AV543" s="350">
        <f t="shared" si="227"/>
        <v>5350892.5648387726</v>
      </c>
      <c r="AW543" s="350">
        <f t="shared" si="228"/>
        <v>7150497.8878226019</v>
      </c>
      <c r="AX543" s="350">
        <f t="shared" si="229"/>
        <v>8739518.9678748734</v>
      </c>
      <c r="AY543" s="350">
        <f t="shared" si="230"/>
        <v>25715318.637400642</v>
      </c>
      <c r="AZ543" s="365"/>
      <c r="BA543" s="377">
        <f t="shared" si="231"/>
        <v>0</v>
      </c>
      <c r="BB543" s="377">
        <f t="shared" si="232"/>
        <v>0</v>
      </c>
      <c r="BC543" s="377">
        <f t="shared" si="233"/>
        <v>0</v>
      </c>
      <c r="BD543" s="377">
        <f t="shared" si="234"/>
        <v>0</v>
      </c>
      <c r="BE543" s="377">
        <f t="shared" si="235"/>
        <v>0</v>
      </c>
      <c r="BF543" s="377">
        <f t="shared" si="236"/>
        <v>0</v>
      </c>
      <c r="BG543" s="328"/>
    </row>
    <row r="544" spans="2:59">
      <c r="B544" s="332">
        <v>529</v>
      </c>
      <c r="C544" s="350">
        <v>8872623.2351104878</v>
      </c>
      <c r="D544" s="350">
        <v>16777188.233065072</v>
      </c>
      <c r="E544" s="350">
        <v>24741279.523041427</v>
      </c>
      <c r="F544" s="350">
        <v>32765430.052655719</v>
      </c>
      <c r="G544" s="350">
        <v>40850914.049179316</v>
      </c>
      <c r="H544" s="348">
        <v>124007435.09305203</v>
      </c>
      <c r="I544" s="369"/>
      <c r="J544" s="350">
        <v>10211498.804980919</v>
      </c>
      <c r="K544" s="350">
        <v>20728419.760773577</v>
      </c>
      <c r="L544" s="350">
        <v>30985992.133127704</v>
      </c>
      <c r="M544" s="350">
        <v>40977008.738238692</v>
      </c>
      <c r="N544" s="350">
        <v>50696933.603874467</v>
      </c>
      <c r="O544" s="348">
        <v>153599853.04099536</v>
      </c>
      <c r="P544" s="369"/>
      <c r="Q544" s="350">
        <f t="shared" si="237"/>
        <v>1338875.569870431</v>
      </c>
      <c r="R544" s="350">
        <f t="shared" si="238"/>
        <v>3951231.5277085043</v>
      </c>
      <c r="S544" s="350">
        <f t="shared" si="239"/>
        <v>6244712.6100862771</v>
      </c>
      <c r="T544" s="350">
        <f t="shared" si="240"/>
        <v>8211578.6855829731</v>
      </c>
      <c r="U544" s="350">
        <f t="shared" si="241"/>
        <v>9846019.5546951517</v>
      </c>
      <c r="V544" s="350">
        <f t="shared" si="242"/>
        <v>29592417.94794333</v>
      </c>
      <c r="W544" s="365"/>
      <c r="X544" s="377">
        <f t="shared" si="220"/>
        <v>0</v>
      </c>
      <c r="Y544" s="377">
        <f t="shared" si="221"/>
        <v>0</v>
      </c>
      <c r="Z544" s="377">
        <f t="shared" si="222"/>
        <v>0</v>
      </c>
      <c r="AA544" s="377">
        <f t="shared" si="223"/>
        <v>0</v>
      </c>
      <c r="AB544" s="377">
        <f t="shared" si="224"/>
        <v>0</v>
      </c>
      <c r="AC544" s="377">
        <f t="shared" si="225"/>
        <v>0</v>
      </c>
      <c r="AD544" s="376"/>
      <c r="AE544" s="332">
        <v>529</v>
      </c>
      <c r="AF544" s="350">
        <v>6368338.8469952978</v>
      </c>
      <c r="AG544" s="350">
        <v>12786689.357920703</v>
      </c>
      <c r="AH544" s="350">
        <v>19253614.288664505</v>
      </c>
      <c r="AI544" s="350">
        <v>25769328.064015597</v>
      </c>
      <c r="AJ544" s="350">
        <v>32334770.341529205</v>
      </c>
      <c r="AK544" s="348">
        <v>96512740.899125308</v>
      </c>
      <c r="AL544" s="369"/>
      <c r="AM544" s="350">
        <v>7543273.7806515256</v>
      </c>
      <c r="AN544" s="350">
        <v>16255280.498666909</v>
      </c>
      <c r="AO544" s="350">
        <v>24732384.307659663</v>
      </c>
      <c r="AP544" s="350">
        <v>32969476.9301746</v>
      </c>
      <c r="AQ544" s="350">
        <v>40963896.640276626</v>
      </c>
      <c r="AR544" s="348">
        <v>122464312.15742932</v>
      </c>
      <c r="AS544" s="369"/>
      <c r="AT544" s="350">
        <f t="shared" si="243"/>
        <v>1174934.9336562278</v>
      </c>
      <c r="AU544" s="350">
        <f t="shared" si="226"/>
        <v>3468591.140746206</v>
      </c>
      <c r="AV544" s="350">
        <f t="shared" si="227"/>
        <v>5478770.0189951584</v>
      </c>
      <c r="AW544" s="350">
        <f t="shared" si="228"/>
        <v>7200148.8661590032</v>
      </c>
      <c r="AX544" s="350">
        <f t="shared" si="229"/>
        <v>8629126.2987474203</v>
      </c>
      <c r="AY544" s="350">
        <f t="shared" si="230"/>
        <v>25951571.258304015</v>
      </c>
      <c r="AZ544" s="365"/>
      <c r="BA544" s="377">
        <f t="shared" si="231"/>
        <v>0</v>
      </c>
      <c r="BB544" s="377">
        <f t="shared" si="232"/>
        <v>0</v>
      </c>
      <c r="BC544" s="377">
        <f t="shared" si="233"/>
        <v>0</v>
      </c>
      <c r="BD544" s="377">
        <f t="shared" si="234"/>
        <v>0</v>
      </c>
      <c r="BE544" s="377">
        <f t="shared" si="235"/>
        <v>0</v>
      </c>
      <c r="BF544" s="377">
        <f t="shared" si="236"/>
        <v>0</v>
      </c>
      <c r="BG544" s="328"/>
    </row>
    <row r="545" spans="2:59">
      <c r="B545" s="332">
        <v>530</v>
      </c>
      <c r="C545" s="350">
        <v>7647678.3309981283</v>
      </c>
      <c r="D545" s="350">
        <v>14234762.478581807</v>
      </c>
      <c r="E545" s="350">
        <v>20871378.511668965</v>
      </c>
      <c r="F545" s="350">
        <v>27558036.84646301</v>
      </c>
      <c r="G545" s="350">
        <v>34295828.176026516</v>
      </c>
      <c r="H545" s="348">
        <v>104607684.34373844</v>
      </c>
      <c r="I545" s="369"/>
      <c r="J545" s="350">
        <v>8954863.7950895187</v>
      </c>
      <c r="K545" s="350">
        <v>18095261.475008558</v>
      </c>
      <c r="L545" s="350">
        <v>27029813.664973225</v>
      </c>
      <c r="M545" s="350">
        <v>35752347.474179596</v>
      </c>
      <c r="N545" s="350">
        <v>44259119.542938754</v>
      </c>
      <c r="O545" s="348">
        <v>134091405.95218965</v>
      </c>
      <c r="P545" s="369"/>
      <c r="Q545" s="350">
        <f t="shared" si="237"/>
        <v>1307185.4640913904</v>
      </c>
      <c r="R545" s="350">
        <f t="shared" si="238"/>
        <v>3860498.9964267518</v>
      </c>
      <c r="S545" s="350">
        <f t="shared" si="239"/>
        <v>6158435.1533042602</v>
      </c>
      <c r="T545" s="350">
        <f t="shared" si="240"/>
        <v>8194310.627716586</v>
      </c>
      <c r="U545" s="350">
        <f t="shared" si="241"/>
        <v>9963291.3669122383</v>
      </c>
      <c r="V545" s="350">
        <f t="shared" si="242"/>
        <v>29483721.608451217</v>
      </c>
      <c r="W545" s="365"/>
      <c r="X545" s="377">
        <f t="shared" si="220"/>
        <v>0</v>
      </c>
      <c r="Y545" s="377">
        <f t="shared" si="221"/>
        <v>0</v>
      </c>
      <c r="Z545" s="377">
        <f t="shared" si="222"/>
        <v>0</v>
      </c>
      <c r="AA545" s="377">
        <f t="shared" si="223"/>
        <v>0</v>
      </c>
      <c r="AB545" s="377">
        <f t="shared" si="224"/>
        <v>0</v>
      </c>
      <c r="AC545" s="377">
        <f t="shared" si="225"/>
        <v>0</v>
      </c>
      <c r="AD545" s="376"/>
      <c r="AE545" s="332">
        <v>530</v>
      </c>
      <c r="AF545" s="350">
        <v>3429334.203777194</v>
      </c>
      <c r="AG545" s="350">
        <v>6885599.5608463092</v>
      </c>
      <c r="AH545" s="350">
        <v>10368022.118924044</v>
      </c>
      <c r="AI545" s="350">
        <v>13876717.345211558</v>
      </c>
      <c r="AJ545" s="350">
        <v>17412191.242902368</v>
      </c>
      <c r="AK545" s="348">
        <v>51971864.471661478</v>
      </c>
      <c r="AL545" s="369"/>
      <c r="AM545" s="350">
        <v>4130344.442990297</v>
      </c>
      <c r="AN545" s="350">
        <v>8956016.7397749647</v>
      </c>
      <c r="AO545" s="350">
        <v>13657240.349370569</v>
      </c>
      <c r="AP545" s="350">
        <v>18231245.156592496</v>
      </c>
      <c r="AQ545" s="350">
        <v>22676667.011627134</v>
      </c>
      <c r="AR545" s="348">
        <v>67651513.700355455</v>
      </c>
      <c r="AS545" s="369"/>
      <c r="AT545" s="350">
        <f t="shared" si="243"/>
        <v>701010.23921310296</v>
      </c>
      <c r="AU545" s="350">
        <f t="shared" si="226"/>
        <v>2070417.1789286556</v>
      </c>
      <c r="AV545" s="350">
        <f t="shared" si="227"/>
        <v>3289218.2304465249</v>
      </c>
      <c r="AW545" s="350">
        <f t="shared" si="228"/>
        <v>4354527.8113809377</v>
      </c>
      <c r="AX545" s="350">
        <f t="shared" si="229"/>
        <v>5264475.7687247656</v>
      </c>
      <c r="AY545" s="350">
        <f t="shared" si="230"/>
        <v>15679649.228693977</v>
      </c>
      <c r="AZ545" s="365"/>
      <c r="BA545" s="377">
        <f t="shared" si="231"/>
        <v>0</v>
      </c>
      <c r="BB545" s="377">
        <f t="shared" si="232"/>
        <v>0</v>
      </c>
      <c r="BC545" s="377">
        <f t="shared" si="233"/>
        <v>0</v>
      </c>
      <c r="BD545" s="377">
        <f t="shared" si="234"/>
        <v>0</v>
      </c>
      <c r="BE545" s="377">
        <f t="shared" si="235"/>
        <v>0</v>
      </c>
      <c r="BF545" s="377">
        <f t="shared" si="236"/>
        <v>0</v>
      </c>
      <c r="BG545" s="328"/>
    </row>
    <row r="546" spans="2:59">
      <c r="B546" s="332">
        <v>531</v>
      </c>
      <c r="C546" s="350">
        <v>8682297.3193803318</v>
      </c>
      <c r="D546" s="350">
        <v>16327199.905628171</v>
      </c>
      <c r="E546" s="350">
        <v>24029644.301880598</v>
      </c>
      <c r="F546" s="350">
        <v>31790172.358339369</v>
      </c>
      <c r="G546" s="350">
        <v>39610027.935148716</v>
      </c>
      <c r="H546" s="348">
        <v>120439341.82037719</v>
      </c>
      <c r="I546" s="369"/>
      <c r="J546" s="350">
        <v>9940960.8424435239</v>
      </c>
      <c r="K546" s="350">
        <v>20041201.508087553</v>
      </c>
      <c r="L546" s="350">
        <v>29894601.897208434</v>
      </c>
      <c r="M546" s="350">
        <v>39494039.284034058</v>
      </c>
      <c r="N546" s="350">
        <v>48834904.881686777</v>
      </c>
      <c r="O546" s="348">
        <v>148205708.41346034</v>
      </c>
      <c r="P546" s="369"/>
      <c r="Q546" s="350">
        <f t="shared" si="237"/>
        <v>1258663.5230631921</v>
      </c>
      <c r="R546" s="350">
        <f t="shared" si="238"/>
        <v>3714001.6024593823</v>
      </c>
      <c r="S546" s="350">
        <f t="shared" si="239"/>
        <v>5864957.5953278355</v>
      </c>
      <c r="T546" s="350">
        <f t="shared" si="240"/>
        <v>7703866.9256946892</v>
      </c>
      <c r="U546" s="350">
        <f t="shared" si="241"/>
        <v>9224876.9465380609</v>
      </c>
      <c r="V546" s="350">
        <f t="shared" si="242"/>
        <v>27766366.593083158</v>
      </c>
      <c r="W546" s="365"/>
      <c r="X546" s="377">
        <f t="shared" si="220"/>
        <v>0</v>
      </c>
      <c r="Y546" s="377">
        <f t="shared" si="221"/>
        <v>0</v>
      </c>
      <c r="Z546" s="377">
        <f t="shared" si="222"/>
        <v>0</v>
      </c>
      <c r="AA546" s="377">
        <f t="shared" si="223"/>
        <v>0</v>
      </c>
      <c r="AB546" s="377">
        <f t="shared" si="224"/>
        <v>0</v>
      </c>
      <c r="AC546" s="377">
        <f t="shared" si="225"/>
        <v>0</v>
      </c>
      <c r="AD546" s="376"/>
      <c r="AE546" s="332">
        <v>531</v>
      </c>
      <c r="AF546" s="350">
        <v>4842503.9158024723</v>
      </c>
      <c r="AG546" s="350">
        <v>9723036.8505117539</v>
      </c>
      <c r="AH546" s="350">
        <v>14640505.919404505</v>
      </c>
      <c r="AI546" s="350">
        <v>19595074.171731845</v>
      </c>
      <c r="AJ546" s="350">
        <v>24587456.125910584</v>
      </c>
      <c r="AK546" s="348">
        <v>73388576.983361155</v>
      </c>
      <c r="AL546" s="369"/>
      <c r="AM546" s="350">
        <v>5745086.1703473534</v>
      </c>
      <c r="AN546" s="350">
        <v>12387724.51003122</v>
      </c>
      <c r="AO546" s="350">
        <v>18852016.266204976</v>
      </c>
      <c r="AP546" s="350">
        <v>25134074.499122791</v>
      </c>
      <c r="AQ546" s="350">
        <v>31231884.499543637</v>
      </c>
      <c r="AR546" s="348">
        <v>93350785.945249975</v>
      </c>
      <c r="AS546" s="369"/>
      <c r="AT546" s="350">
        <f t="shared" si="243"/>
        <v>902582.25454488117</v>
      </c>
      <c r="AU546" s="350">
        <f t="shared" si="226"/>
        <v>2664687.6595194656</v>
      </c>
      <c r="AV546" s="350">
        <f t="shared" si="227"/>
        <v>4211510.3468004707</v>
      </c>
      <c r="AW546" s="350">
        <f t="shared" si="228"/>
        <v>5539000.3273909464</v>
      </c>
      <c r="AX546" s="350">
        <f t="shared" si="229"/>
        <v>6644428.3736330532</v>
      </c>
      <c r="AY546" s="350">
        <f t="shared" si="230"/>
        <v>19962208.96188882</v>
      </c>
      <c r="AZ546" s="365"/>
      <c r="BA546" s="377">
        <f t="shared" si="231"/>
        <v>0</v>
      </c>
      <c r="BB546" s="377">
        <f t="shared" si="232"/>
        <v>0</v>
      </c>
      <c r="BC546" s="377">
        <f t="shared" si="233"/>
        <v>0</v>
      </c>
      <c r="BD546" s="377">
        <f t="shared" si="234"/>
        <v>0</v>
      </c>
      <c r="BE546" s="377">
        <f t="shared" si="235"/>
        <v>0</v>
      </c>
      <c r="BF546" s="377">
        <f t="shared" si="236"/>
        <v>0</v>
      </c>
      <c r="BG546" s="328"/>
    </row>
    <row r="547" spans="2:59">
      <c r="B547" s="332">
        <v>532</v>
      </c>
      <c r="C547" s="350">
        <v>4818044.1256048279</v>
      </c>
      <c r="D547" s="350">
        <v>9092112.9085988216</v>
      </c>
      <c r="E547" s="350">
        <v>13398362.186858309</v>
      </c>
      <c r="F547" s="350">
        <v>17737085.492873494</v>
      </c>
      <c r="G547" s="350">
        <v>22108974.146107063</v>
      </c>
      <c r="H547" s="348">
        <v>67154578.860042512</v>
      </c>
      <c r="I547" s="369"/>
      <c r="J547" s="350">
        <v>5459170.161163277</v>
      </c>
      <c r="K547" s="350">
        <v>10982970.563647468</v>
      </c>
      <c r="L547" s="350">
        <v>16362689.698165704</v>
      </c>
      <c r="M547" s="350">
        <v>21594513.079740316</v>
      </c>
      <c r="N547" s="350">
        <v>26675962.347116388</v>
      </c>
      <c r="O547" s="348">
        <v>81075305.849833161</v>
      </c>
      <c r="P547" s="369"/>
      <c r="Q547" s="350">
        <f t="shared" si="237"/>
        <v>641126.0355584491</v>
      </c>
      <c r="R547" s="350">
        <f t="shared" si="238"/>
        <v>1890857.655048646</v>
      </c>
      <c r="S547" s="350">
        <f t="shared" si="239"/>
        <v>2964327.5113073941</v>
      </c>
      <c r="T547" s="350">
        <f t="shared" si="240"/>
        <v>3857427.5868668221</v>
      </c>
      <c r="U547" s="350">
        <f t="shared" si="241"/>
        <v>4566988.2010093257</v>
      </c>
      <c r="V547" s="350">
        <f t="shared" si="242"/>
        <v>13920726.989790648</v>
      </c>
      <c r="W547" s="365"/>
      <c r="X547" s="377">
        <f t="shared" si="220"/>
        <v>0</v>
      </c>
      <c r="Y547" s="377">
        <f t="shared" si="221"/>
        <v>0</v>
      </c>
      <c r="Z547" s="377">
        <f t="shared" si="222"/>
        <v>0</v>
      </c>
      <c r="AA547" s="377">
        <f t="shared" si="223"/>
        <v>0</v>
      </c>
      <c r="AB547" s="377">
        <f t="shared" si="224"/>
        <v>0</v>
      </c>
      <c r="AC547" s="377">
        <f t="shared" si="225"/>
        <v>0</v>
      </c>
      <c r="AD547" s="376"/>
      <c r="AE547" s="332">
        <v>532</v>
      </c>
      <c r="AF547" s="350">
        <v>4675241.6270010341</v>
      </c>
      <c r="AG547" s="350">
        <v>9387198.7332909796</v>
      </c>
      <c r="AH547" s="350">
        <v>14134816.182882152</v>
      </c>
      <c r="AI547" s="350">
        <v>18918251.393230341</v>
      </c>
      <c r="AJ547" s="350">
        <v>23738194.20296111</v>
      </c>
      <c r="AK547" s="348">
        <v>70853702.139365613</v>
      </c>
      <c r="AL547" s="369"/>
      <c r="AM547" s="350">
        <v>5670540.6275576558</v>
      </c>
      <c r="AN547" s="350">
        <v>12327275.190479629</v>
      </c>
      <c r="AO547" s="350">
        <v>18815533.956932604</v>
      </c>
      <c r="AP547" s="350">
        <v>25131529.202486724</v>
      </c>
      <c r="AQ547" s="350">
        <v>31273441.280778762</v>
      </c>
      <c r="AR547" s="348">
        <v>93218320.25823538</v>
      </c>
      <c r="AS547" s="369"/>
      <c r="AT547" s="350">
        <f t="shared" si="243"/>
        <v>995299.0005566217</v>
      </c>
      <c r="AU547" s="350">
        <f t="shared" si="226"/>
        <v>2940076.4571886491</v>
      </c>
      <c r="AV547" s="350">
        <f t="shared" si="227"/>
        <v>4680717.7740504518</v>
      </c>
      <c r="AW547" s="350">
        <f t="shared" si="228"/>
        <v>6213277.8092563823</v>
      </c>
      <c r="AX547" s="350">
        <f t="shared" si="229"/>
        <v>7535247.0778176524</v>
      </c>
      <c r="AY547" s="350">
        <f t="shared" si="230"/>
        <v>22364618.118869767</v>
      </c>
      <c r="AZ547" s="365"/>
      <c r="BA547" s="377">
        <f t="shared" si="231"/>
        <v>0</v>
      </c>
      <c r="BB547" s="377">
        <f t="shared" si="232"/>
        <v>0</v>
      </c>
      <c r="BC547" s="377">
        <f t="shared" si="233"/>
        <v>0</v>
      </c>
      <c r="BD547" s="377">
        <f t="shared" si="234"/>
        <v>0</v>
      </c>
      <c r="BE547" s="377">
        <f t="shared" si="235"/>
        <v>0</v>
      </c>
      <c r="BF547" s="377">
        <f t="shared" si="236"/>
        <v>0</v>
      </c>
      <c r="BG547" s="328"/>
    </row>
    <row r="548" spans="2:59">
      <c r="B548" s="332">
        <v>533</v>
      </c>
      <c r="C548" s="350">
        <v>8449169.8562923018</v>
      </c>
      <c r="D548" s="350">
        <v>15718250.623983007</v>
      </c>
      <c r="E548" s="350">
        <v>23041988.799169116</v>
      </c>
      <c r="F548" s="350">
        <v>30420950.173464172</v>
      </c>
      <c r="G548" s="350">
        <v>37856339.465781331</v>
      </c>
      <c r="H548" s="348">
        <v>115486698.91868994</v>
      </c>
      <c r="I548" s="369"/>
      <c r="J548" s="350">
        <v>9752627.3491400927</v>
      </c>
      <c r="K548" s="350">
        <v>19566052.941692751</v>
      </c>
      <c r="L548" s="350">
        <v>29152081.379821755</v>
      </c>
      <c r="M548" s="350">
        <v>38503821.731626362</v>
      </c>
      <c r="N548" s="350">
        <v>47616877.049252018</v>
      </c>
      <c r="O548" s="348">
        <v>144591460.45153296</v>
      </c>
      <c r="P548" s="369"/>
      <c r="Q548" s="350">
        <f t="shared" si="237"/>
        <v>1303457.4928477909</v>
      </c>
      <c r="R548" s="350">
        <f t="shared" si="238"/>
        <v>3847802.317709744</v>
      </c>
      <c r="S548" s="350">
        <f t="shared" si="239"/>
        <v>6110092.5806526393</v>
      </c>
      <c r="T548" s="350">
        <f t="shared" si="240"/>
        <v>8082871.55816219</v>
      </c>
      <c r="U548" s="350">
        <f t="shared" si="241"/>
        <v>9760537.5834706873</v>
      </c>
      <c r="V548" s="350">
        <f t="shared" si="242"/>
        <v>29104761.532843024</v>
      </c>
      <c r="W548" s="365"/>
      <c r="X548" s="377">
        <f t="shared" si="220"/>
        <v>0</v>
      </c>
      <c r="Y548" s="377">
        <f t="shared" si="221"/>
        <v>0</v>
      </c>
      <c r="Z548" s="377">
        <f t="shared" si="222"/>
        <v>0</v>
      </c>
      <c r="AA548" s="377">
        <f t="shared" si="223"/>
        <v>0</v>
      </c>
      <c r="AB548" s="377">
        <f t="shared" si="224"/>
        <v>0</v>
      </c>
      <c r="AC548" s="377">
        <f t="shared" si="225"/>
        <v>0</v>
      </c>
      <c r="AD548" s="376"/>
      <c r="AE548" s="332">
        <v>533</v>
      </c>
      <c r="AF548" s="350">
        <v>5963747.5459158421</v>
      </c>
      <c r="AG548" s="350">
        <v>11974329.430455338</v>
      </c>
      <c r="AH548" s="350">
        <v>18030399.720047735</v>
      </c>
      <c r="AI548" s="350">
        <v>24132159.216713667</v>
      </c>
      <c r="AJ548" s="350">
        <v>30280487.879980043</v>
      </c>
      <c r="AK548" s="348">
        <v>90381123.793112621</v>
      </c>
      <c r="AL548" s="369"/>
      <c r="AM548" s="350">
        <v>7093522.8215605803</v>
      </c>
      <c r="AN548" s="350">
        <v>15310001.765145492</v>
      </c>
      <c r="AO548" s="350">
        <v>23307384.690622333</v>
      </c>
      <c r="AP548" s="350">
        <v>31080879.518295668</v>
      </c>
      <c r="AQ548" s="350">
        <v>38628023.48850897</v>
      </c>
      <c r="AR548" s="348">
        <v>115419812.28413305</v>
      </c>
      <c r="AS548" s="369"/>
      <c r="AT548" s="350">
        <f t="shared" si="243"/>
        <v>1129775.2756447382</v>
      </c>
      <c r="AU548" s="350">
        <f t="shared" si="226"/>
        <v>3335672.3346901536</v>
      </c>
      <c r="AV548" s="350">
        <f t="shared" si="227"/>
        <v>5276984.9705745988</v>
      </c>
      <c r="AW548" s="350">
        <f t="shared" si="228"/>
        <v>6948720.3015820011</v>
      </c>
      <c r="AX548" s="350">
        <f t="shared" si="229"/>
        <v>8347535.608528927</v>
      </c>
      <c r="AY548" s="350">
        <f t="shared" si="230"/>
        <v>25038688.491020426</v>
      </c>
      <c r="AZ548" s="365"/>
      <c r="BA548" s="377">
        <f t="shared" si="231"/>
        <v>0</v>
      </c>
      <c r="BB548" s="377">
        <f t="shared" si="232"/>
        <v>0</v>
      </c>
      <c r="BC548" s="377">
        <f t="shared" si="233"/>
        <v>0</v>
      </c>
      <c r="BD548" s="377">
        <f t="shared" si="234"/>
        <v>0</v>
      </c>
      <c r="BE548" s="377">
        <f t="shared" si="235"/>
        <v>0</v>
      </c>
      <c r="BF548" s="377">
        <f t="shared" si="236"/>
        <v>0</v>
      </c>
      <c r="BG548" s="328"/>
    </row>
    <row r="549" spans="2:59">
      <c r="B549" s="332">
        <v>534</v>
      </c>
      <c r="C549" s="350">
        <v>8040666.6719531743</v>
      </c>
      <c r="D549" s="350">
        <v>15058438.919556506</v>
      </c>
      <c r="E549" s="350">
        <v>22129012.392216049</v>
      </c>
      <c r="F549" s="350">
        <v>29252902.926436566</v>
      </c>
      <c r="G549" s="350">
        <v>36431260.36672917</v>
      </c>
      <c r="H549" s="348">
        <v>110912281.27689147</v>
      </c>
      <c r="I549" s="369"/>
      <c r="J549" s="350">
        <v>9407009.6266209781</v>
      </c>
      <c r="K549" s="350">
        <v>19093359.505118374</v>
      </c>
      <c r="L549" s="350">
        <v>28572661.060731597</v>
      </c>
      <c r="M549" s="350">
        <v>37837833.340922445</v>
      </c>
      <c r="N549" s="350">
        <v>46884345.897076987</v>
      </c>
      <c r="O549" s="348">
        <v>141795209.43047038</v>
      </c>
      <c r="P549" s="369"/>
      <c r="Q549" s="350">
        <f t="shared" si="237"/>
        <v>1366342.9546678038</v>
      </c>
      <c r="R549" s="350">
        <f t="shared" si="238"/>
        <v>4034920.5855618678</v>
      </c>
      <c r="S549" s="350">
        <f t="shared" si="239"/>
        <v>6443648.6685155481</v>
      </c>
      <c r="T549" s="350">
        <f t="shared" si="240"/>
        <v>8584930.4144858792</v>
      </c>
      <c r="U549" s="350">
        <f t="shared" si="241"/>
        <v>10453085.530347817</v>
      </c>
      <c r="V549" s="350">
        <f t="shared" si="242"/>
        <v>30882928.153578907</v>
      </c>
      <c r="W549" s="365"/>
      <c r="X549" s="377">
        <f t="shared" si="220"/>
        <v>0</v>
      </c>
      <c r="Y549" s="377">
        <f t="shared" si="221"/>
        <v>0</v>
      </c>
      <c r="Z549" s="377">
        <f t="shared" si="222"/>
        <v>0</v>
      </c>
      <c r="AA549" s="377">
        <f t="shared" si="223"/>
        <v>0</v>
      </c>
      <c r="AB549" s="377">
        <f t="shared" si="224"/>
        <v>0</v>
      </c>
      <c r="AC549" s="377">
        <f t="shared" si="225"/>
        <v>0</v>
      </c>
      <c r="AD549" s="376"/>
      <c r="AE549" s="332">
        <v>534</v>
      </c>
      <c r="AF549" s="350">
        <v>4858475.7712084102</v>
      </c>
      <c r="AG549" s="350">
        <v>9755105.9910603464</v>
      </c>
      <c r="AH549" s="350">
        <v>14688794.170210339</v>
      </c>
      <c r="AI549" s="350">
        <v>19659703.895688951</v>
      </c>
      <c r="AJ549" s="350">
        <v>24668552.042583227</v>
      </c>
      <c r="AK549" s="348">
        <v>73630631.870751277</v>
      </c>
      <c r="AL549" s="369"/>
      <c r="AM549" s="350">
        <v>5402466.9541918933</v>
      </c>
      <c r="AN549" s="350">
        <v>11356277.904703312</v>
      </c>
      <c r="AO549" s="350">
        <v>17120324.961210113</v>
      </c>
      <c r="AP549" s="350">
        <v>22690810.628663413</v>
      </c>
      <c r="AQ549" s="350">
        <v>28065347.369132847</v>
      </c>
      <c r="AR549" s="348">
        <v>84635227.817901582</v>
      </c>
      <c r="AS549" s="369"/>
      <c r="AT549" s="350">
        <f t="shared" si="243"/>
        <v>543991.18298348319</v>
      </c>
      <c r="AU549" s="350">
        <f t="shared" si="226"/>
        <v>1601171.9136429653</v>
      </c>
      <c r="AV549" s="350">
        <f t="shared" si="227"/>
        <v>2431530.7909997739</v>
      </c>
      <c r="AW549" s="350">
        <f t="shared" si="228"/>
        <v>3031106.7329744622</v>
      </c>
      <c r="AX549" s="350">
        <f t="shared" si="229"/>
        <v>3396795.3265496194</v>
      </c>
      <c r="AY549" s="350">
        <f t="shared" si="230"/>
        <v>11004595.947150305</v>
      </c>
      <c r="AZ549" s="365"/>
      <c r="BA549" s="377">
        <f t="shared" si="231"/>
        <v>0</v>
      </c>
      <c r="BB549" s="377">
        <f t="shared" si="232"/>
        <v>0</v>
      </c>
      <c r="BC549" s="377">
        <f t="shared" si="233"/>
        <v>0</v>
      </c>
      <c r="BD549" s="377">
        <f t="shared" si="234"/>
        <v>0</v>
      </c>
      <c r="BE549" s="377">
        <f t="shared" si="235"/>
        <v>0</v>
      </c>
      <c r="BF549" s="377">
        <f t="shared" si="236"/>
        <v>0</v>
      </c>
      <c r="BG549" s="328"/>
    </row>
    <row r="550" spans="2:59">
      <c r="B550" s="332">
        <v>535</v>
      </c>
      <c r="C550" s="350">
        <v>4046234.3369280612</v>
      </c>
      <c r="D550" s="350">
        <v>7700888.9141864916</v>
      </c>
      <c r="E550" s="350">
        <v>11383081.405928025</v>
      </c>
      <c r="F550" s="350">
        <v>15093043.596018203</v>
      </c>
      <c r="G550" s="350">
        <v>18831358.257583991</v>
      </c>
      <c r="H550" s="348">
        <v>57054606.510644771</v>
      </c>
      <c r="I550" s="369"/>
      <c r="J550" s="350">
        <v>4580834.8578725653</v>
      </c>
      <c r="K550" s="350">
        <v>9277340.1019614264</v>
      </c>
      <c r="L550" s="350">
        <v>13850930.969577029</v>
      </c>
      <c r="M550" s="350">
        <v>18298294.602659442</v>
      </c>
      <c r="N550" s="350">
        <v>22617252.652998075</v>
      </c>
      <c r="O550" s="348">
        <v>68624653.185068533</v>
      </c>
      <c r="P550" s="369"/>
      <c r="Q550" s="350">
        <f t="shared" si="237"/>
        <v>534600.52094450407</v>
      </c>
      <c r="R550" s="350">
        <f t="shared" si="238"/>
        <v>1576451.1877749348</v>
      </c>
      <c r="S550" s="350">
        <f t="shared" si="239"/>
        <v>2467849.5636490043</v>
      </c>
      <c r="T550" s="350">
        <f t="shared" si="240"/>
        <v>3205251.0066412389</v>
      </c>
      <c r="U550" s="350">
        <f t="shared" si="241"/>
        <v>3785894.3954140842</v>
      </c>
      <c r="V550" s="350">
        <f t="shared" si="242"/>
        <v>11570046.674423762</v>
      </c>
      <c r="W550" s="365"/>
      <c r="X550" s="377">
        <f t="shared" si="220"/>
        <v>0</v>
      </c>
      <c r="Y550" s="377">
        <f t="shared" si="221"/>
        <v>0</v>
      </c>
      <c r="Z550" s="377">
        <f t="shared" si="222"/>
        <v>0</v>
      </c>
      <c r="AA550" s="377">
        <f t="shared" si="223"/>
        <v>0</v>
      </c>
      <c r="AB550" s="377">
        <f t="shared" si="224"/>
        <v>0</v>
      </c>
      <c r="AC550" s="377">
        <f t="shared" si="225"/>
        <v>0</v>
      </c>
      <c r="AD550" s="376"/>
      <c r="AE550" s="332">
        <v>535</v>
      </c>
      <c r="AF550" s="350">
        <v>5853402.621840423</v>
      </c>
      <c r="AG550" s="350">
        <v>11752773.024573851</v>
      </c>
      <c r="AH550" s="350">
        <v>17696790.177920043</v>
      </c>
      <c r="AI550" s="350">
        <v>23685651.168537181</v>
      </c>
      <c r="AJ550" s="350">
        <v>29720219.674399931</v>
      </c>
      <c r="AK550" s="348">
        <v>88708836.66727142</v>
      </c>
      <c r="AL550" s="369"/>
      <c r="AM550" s="350">
        <v>6998054.0990544204</v>
      </c>
      <c r="AN550" s="350">
        <v>15132839.666959638</v>
      </c>
      <c r="AO550" s="350">
        <v>23053654.688237906</v>
      </c>
      <c r="AP550" s="350">
        <v>30755785.629288115</v>
      </c>
      <c r="AQ550" s="350">
        <v>38236851.534697548</v>
      </c>
      <c r="AR550" s="348">
        <v>114177185.61823763</v>
      </c>
      <c r="AS550" s="369"/>
      <c r="AT550" s="350">
        <f t="shared" si="243"/>
        <v>1144651.4772139974</v>
      </c>
      <c r="AU550" s="350">
        <f t="shared" si="226"/>
        <v>3380066.6423857864</v>
      </c>
      <c r="AV550" s="350">
        <f t="shared" si="227"/>
        <v>5356864.510317862</v>
      </c>
      <c r="AW550" s="350">
        <f t="shared" si="228"/>
        <v>7070134.4607509337</v>
      </c>
      <c r="AX550" s="350">
        <f t="shared" si="229"/>
        <v>8516631.8602976166</v>
      </c>
      <c r="AY550" s="350">
        <f t="shared" si="230"/>
        <v>25468348.950966209</v>
      </c>
      <c r="AZ550" s="365"/>
      <c r="BA550" s="377">
        <f t="shared" si="231"/>
        <v>0</v>
      </c>
      <c r="BB550" s="377">
        <f t="shared" si="232"/>
        <v>0</v>
      </c>
      <c r="BC550" s="377">
        <f t="shared" si="233"/>
        <v>0</v>
      </c>
      <c r="BD550" s="377">
        <f t="shared" si="234"/>
        <v>0</v>
      </c>
      <c r="BE550" s="377">
        <f t="shared" si="235"/>
        <v>0</v>
      </c>
      <c r="BF550" s="377">
        <f t="shared" si="236"/>
        <v>0</v>
      </c>
      <c r="BG550" s="328"/>
    </row>
    <row r="551" spans="2:59">
      <c r="B551" s="332">
        <v>536</v>
      </c>
      <c r="C551" s="350">
        <v>10085348.551755054</v>
      </c>
      <c r="D551" s="350">
        <v>18975185.312045686</v>
      </c>
      <c r="E551" s="350">
        <v>27931937.386978306</v>
      </c>
      <c r="F551" s="350">
        <v>36956232.039595284</v>
      </c>
      <c r="G551" s="350">
        <v>46049514.457402021</v>
      </c>
      <c r="H551" s="348">
        <v>139998217.74777636</v>
      </c>
      <c r="I551" s="369"/>
      <c r="J551" s="350">
        <v>11337932.206105549</v>
      </c>
      <c r="K551" s="350">
        <v>22668049.36141777</v>
      </c>
      <c r="L551" s="350">
        <v>33697249.19909817</v>
      </c>
      <c r="M551" s="350">
        <v>44417570.446233571</v>
      </c>
      <c r="N551" s="350">
        <v>54823714.410412267</v>
      </c>
      <c r="O551" s="348">
        <v>166944515.62326732</v>
      </c>
      <c r="P551" s="369"/>
      <c r="Q551" s="350">
        <f t="shared" si="237"/>
        <v>1252583.654350495</v>
      </c>
      <c r="R551" s="350">
        <f t="shared" si="238"/>
        <v>3692864.0493720844</v>
      </c>
      <c r="S551" s="350">
        <f t="shared" si="239"/>
        <v>5765311.8121198639</v>
      </c>
      <c r="T551" s="350">
        <f t="shared" si="240"/>
        <v>7461338.406638287</v>
      </c>
      <c r="U551" s="350">
        <f t="shared" si="241"/>
        <v>8774199.9530102462</v>
      </c>
      <c r="V551" s="350">
        <f t="shared" si="242"/>
        <v>26946297.875490963</v>
      </c>
      <c r="W551" s="365"/>
      <c r="X551" s="377">
        <f t="shared" si="220"/>
        <v>0</v>
      </c>
      <c r="Y551" s="377">
        <f t="shared" si="221"/>
        <v>0</v>
      </c>
      <c r="Z551" s="377">
        <f t="shared" si="222"/>
        <v>0</v>
      </c>
      <c r="AA551" s="377">
        <f t="shared" si="223"/>
        <v>0</v>
      </c>
      <c r="AB551" s="377">
        <f t="shared" si="224"/>
        <v>0</v>
      </c>
      <c r="AC551" s="377">
        <f t="shared" si="225"/>
        <v>0</v>
      </c>
      <c r="AD551" s="376"/>
      <c r="AE551" s="332">
        <v>536</v>
      </c>
      <c r="AF551" s="350">
        <v>8237928.4339322038</v>
      </c>
      <c r="AG551" s="350">
        <v>16540550.741450058</v>
      </c>
      <c r="AH551" s="350">
        <v>24906007.738483928</v>
      </c>
      <c r="AI551" s="350">
        <v>33334576.799731959</v>
      </c>
      <c r="AJ551" s="350">
        <v>41827473.4433816</v>
      </c>
      <c r="AK551" s="348">
        <v>124846537.15697974</v>
      </c>
      <c r="AL551" s="369"/>
      <c r="AM551" s="350">
        <v>9262461.2644027378</v>
      </c>
      <c r="AN551" s="350">
        <v>19558419.436489634</v>
      </c>
      <c r="AO551" s="350">
        <v>29535677.488430325</v>
      </c>
      <c r="AP551" s="350">
        <v>39187767.575556755</v>
      </c>
      <c r="AQ551" s="350">
        <v>48510744.896173902</v>
      </c>
      <c r="AR551" s="348">
        <v>146055070.66105336</v>
      </c>
      <c r="AS551" s="369"/>
      <c r="AT551" s="350">
        <f t="shared" si="243"/>
        <v>1024532.830470534</v>
      </c>
      <c r="AU551" s="350">
        <f t="shared" si="226"/>
        <v>3017868.6950395759</v>
      </c>
      <c r="AV551" s="350">
        <f t="shared" si="227"/>
        <v>4629669.7499463968</v>
      </c>
      <c r="AW551" s="350">
        <f t="shared" si="228"/>
        <v>5853190.7758247964</v>
      </c>
      <c r="AX551" s="350">
        <f t="shared" si="229"/>
        <v>6683271.4527923018</v>
      </c>
      <c r="AY551" s="350">
        <f t="shared" si="230"/>
        <v>21208533.50407362</v>
      </c>
      <c r="AZ551" s="365"/>
      <c r="BA551" s="377">
        <f t="shared" si="231"/>
        <v>0</v>
      </c>
      <c r="BB551" s="377">
        <f t="shared" si="232"/>
        <v>0</v>
      </c>
      <c r="BC551" s="377">
        <f t="shared" si="233"/>
        <v>0</v>
      </c>
      <c r="BD551" s="377">
        <f t="shared" si="234"/>
        <v>0</v>
      </c>
      <c r="BE551" s="377">
        <f t="shared" si="235"/>
        <v>0</v>
      </c>
      <c r="BF551" s="377">
        <f t="shared" si="236"/>
        <v>0</v>
      </c>
      <c r="BG551" s="328"/>
    </row>
    <row r="552" spans="2:59">
      <c r="B552" s="332">
        <v>537</v>
      </c>
      <c r="C552" s="350">
        <v>7231534.3465934377</v>
      </c>
      <c r="D552" s="350">
        <v>13529932.749905132</v>
      </c>
      <c r="E552" s="350">
        <v>19875715.522136018</v>
      </c>
      <c r="F552" s="350">
        <v>26269349.564660259</v>
      </c>
      <c r="G552" s="350">
        <v>32711868.569509152</v>
      </c>
      <c r="H552" s="348">
        <v>99618400.752803996</v>
      </c>
      <c r="I552" s="369"/>
      <c r="J552" s="350">
        <v>8693793.3738135286</v>
      </c>
      <c r="K552" s="350">
        <v>17851073.157399118</v>
      </c>
      <c r="L552" s="350">
        <v>26822050.453339078</v>
      </c>
      <c r="M552" s="350">
        <v>35600601.209287964</v>
      </c>
      <c r="N552" s="350">
        <v>44183205.509734616</v>
      </c>
      <c r="O552" s="348">
        <v>133150723.70357431</v>
      </c>
      <c r="P552" s="369"/>
      <c r="Q552" s="350">
        <f t="shared" si="237"/>
        <v>1462259.0272200909</v>
      </c>
      <c r="R552" s="350">
        <f t="shared" si="238"/>
        <v>4321140.4074939862</v>
      </c>
      <c r="S552" s="350">
        <f t="shared" si="239"/>
        <v>6946334.9312030599</v>
      </c>
      <c r="T552" s="350">
        <f t="shared" si="240"/>
        <v>9331251.6446277052</v>
      </c>
      <c r="U552" s="350">
        <f t="shared" si="241"/>
        <v>11471336.940225463</v>
      </c>
      <c r="V552" s="350">
        <f t="shared" si="242"/>
        <v>33532322.950770319</v>
      </c>
      <c r="W552" s="365"/>
      <c r="X552" s="377">
        <f t="shared" si="220"/>
        <v>0</v>
      </c>
      <c r="Y552" s="377">
        <f t="shared" si="221"/>
        <v>0</v>
      </c>
      <c r="Z552" s="377">
        <f t="shared" si="222"/>
        <v>0</v>
      </c>
      <c r="AA552" s="377">
        <f t="shared" si="223"/>
        <v>0</v>
      </c>
      <c r="AB552" s="377">
        <f t="shared" si="224"/>
        <v>0</v>
      </c>
      <c r="AC552" s="377">
        <f t="shared" si="225"/>
        <v>0</v>
      </c>
      <c r="AD552" s="376"/>
      <c r="AE552" s="332">
        <v>537</v>
      </c>
      <c r="AF552" s="350">
        <v>5335911.6168163558</v>
      </c>
      <c r="AG552" s="350">
        <v>10713727.068361431</v>
      </c>
      <c r="AH552" s="350">
        <v>16132242.114764184</v>
      </c>
      <c r="AI552" s="350">
        <v>21591636.4185315</v>
      </c>
      <c r="AJ552" s="350">
        <v>27092697.301096059</v>
      </c>
      <c r="AK552" s="348">
        <v>80866214.519569531</v>
      </c>
      <c r="AL552" s="369"/>
      <c r="AM552" s="350">
        <v>6247424.2713782769</v>
      </c>
      <c r="AN552" s="350">
        <v>13403666.152623482</v>
      </c>
      <c r="AO552" s="350">
        <v>20360902.62020006</v>
      </c>
      <c r="AP552" s="350">
        <v>27114874.175351001</v>
      </c>
      <c r="AQ552" s="350">
        <v>33663276.733422294</v>
      </c>
      <c r="AR552" s="348">
        <v>100790143.95297511</v>
      </c>
      <c r="AS552" s="369"/>
      <c r="AT552" s="350">
        <f t="shared" si="243"/>
        <v>911512.65456192102</v>
      </c>
      <c r="AU552" s="350">
        <f t="shared" si="226"/>
        <v>2689939.0842620507</v>
      </c>
      <c r="AV552" s="350">
        <f t="shared" si="227"/>
        <v>4228660.5054358765</v>
      </c>
      <c r="AW552" s="350">
        <f t="shared" si="228"/>
        <v>5523237.7568195015</v>
      </c>
      <c r="AX552" s="350">
        <f t="shared" si="229"/>
        <v>6570579.4323262349</v>
      </c>
      <c r="AY552" s="350">
        <f t="shared" si="230"/>
        <v>19923929.433405578</v>
      </c>
      <c r="AZ552" s="365"/>
      <c r="BA552" s="377">
        <f t="shared" si="231"/>
        <v>0</v>
      </c>
      <c r="BB552" s="377">
        <f t="shared" si="232"/>
        <v>0</v>
      </c>
      <c r="BC552" s="377">
        <f t="shared" si="233"/>
        <v>0</v>
      </c>
      <c r="BD552" s="377">
        <f t="shared" si="234"/>
        <v>0</v>
      </c>
      <c r="BE552" s="377">
        <f t="shared" si="235"/>
        <v>0</v>
      </c>
      <c r="BF552" s="377">
        <f t="shared" si="236"/>
        <v>0</v>
      </c>
      <c r="BG552" s="328"/>
    </row>
    <row r="553" spans="2:59">
      <c r="B553" s="332">
        <v>538</v>
      </c>
      <c r="C553" s="350">
        <v>5594635.399645783</v>
      </c>
      <c r="D553" s="350">
        <v>10408619.188217996</v>
      </c>
      <c r="E553" s="350">
        <v>15258800.357901325</v>
      </c>
      <c r="F553" s="350">
        <v>20145553.38023993</v>
      </c>
      <c r="G553" s="350">
        <v>25069675.987514928</v>
      </c>
      <c r="H553" s="348">
        <v>76477284.313519955</v>
      </c>
      <c r="I553" s="369"/>
      <c r="J553" s="350">
        <v>6485091.3761850661</v>
      </c>
      <c r="K553" s="350">
        <v>13037601.479775216</v>
      </c>
      <c r="L553" s="350">
        <v>19437619.062843952</v>
      </c>
      <c r="M553" s="350">
        <v>25680667.940162845</v>
      </c>
      <c r="N553" s="350">
        <v>31763962.981514871</v>
      </c>
      <c r="O553" s="348">
        <v>96404942.840481952</v>
      </c>
      <c r="P553" s="369"/>
      <c r="Q553" s="350">
        <f t="shared" si="237"/>
        <v>890455.97653928306</v>
      </c>
      <c r="R553" s="350">
        <f t="shared" si="238"/>
        <v>2628982.2915572207</v>
      </c>
      <c r="S553" s="350">
        <f t="shared" si="239"/>
        <v>4178818.7049426269</v>
      </c>
      <c r="T553" s="350">
        <f t="shared" si="240"/>
        <v>5535114.559922915</v>
      </c>
      <c r="U553" s="350">
        <f t="shared" si="241"/>
        <v>6694286.9939999431</v>
      </c>
      <c r="V553" s="350">
        <f t="shared" si="242"/>
        <v>19927658.526961997</v>
      </c>
      <c r="W553" s="365"/>
      <c r="X553" s="377">
        <f t="shared" si="220"/>
        <v>0</v>
      </c>
      <c r="Y553" s="377">
        <f t="shared" si="221"/>
        <v>0</v>
      </c>
      <c r="Z553" s="377">
        <f t="shared" si="222"/>
        <v>0</v>
      </c>
      <c r="AA553" s="377">
        <f t="shared" si="223"/>
        <v>0</v>
      </c>
      <c r="AB553" s="377">
        <f t="shared" si="224"/>
        <v>0</v>
      </c>
      <c r="AC553" s="377">
        <f t="shared" si="225"/>
        <v>0</v>
      </c>
      <c r="AD553" s="376"/>
      <c r="AE553" s="332">
        <v>538</v>
      </c>
      <c r="AF553" s="350">
        <v>5625741.1116079893</v>
      </c>
      <c r="AG553" s="350">
        <v>11295662.138982281</v>
      </c>
      <c r="AH553" s="350">
        <v>17008493.431829304</v>
      </c>
      <c r="AI553" s="350">
        <v>22764424.411343373</v>
      </c>
      <c r="AJ553" s="350">
        <v>28564285.163715925</v>
      </c>
      <c r="AK553" s="348">
        <v>85258606.257478878</v>
      </c>
      <c r="AL553" s="369"/>
      <c r="AM553" s="350">
        <v>6701829.2965424778</v>
      </c>
      <c r="AN553" s="350">
        <v>14472959.344187047</v>
      </c>
      <c r="AO553" s="350">
        <v>22037720.882673785</v>
      </c>
      <c r="AP553" s="350">
        <v>29391590.506342806</v>
      </c>
      <c r="AQ553" s="350">
        <v>36532255.514075868</v>
      </c>
      <c r="AR553" s="348">
        <v>109136355.54382199</v>
      </c>
      <c r="AS553" s="369"/>
      <c r="AT553" s="350">
        <f t="shared" si="243"/>
        <v>1076088.1849344885</v>
      </c>
      <c r="AU553" s="350">
        <f t="shared" si="226"/>
        <v>3177297.2052047662</v>
      </c>
      <c r="AV553" s="350">
        <f t="shared" si="227"/>
        <v>5029227.4508444816</v>
      </c>
      <c r="AW553" s="350">
        <f t="shared" si="228"/>
        <v>6627166.0949994326</v>
      </c>
      <c r="AX553" s="350">
        <f t="shared" si="229"/>
        <v>7967970.3503599428</v>
      </c>
      <c r="AY553" s="350">
        <f t="shared" si="230"/>
        <v>23877749.286343113</v>
      </c>
      <c r="AZ553" s="365"/>
      <c r="BA553" s="377">
        <f t="shared" si="231"/>
        <v>0</v>
      </c>
      <c r="BB553" s="377">
        <f t="shared" si="232"/>
        <v>0</v>
      </c>
      <c r="BC553" s="377">
        <f t="shared" si="233"/>
        <v>0</v>
      </c>
      <c r="BD553" s="377">
        <f t="shared" si="234"/>
        <v>0</v>
      </c>
      <c r="BE553" s="377">
        <f t="shared" si="235"/>
        <v>0</v>
      </c>
      <c r="BF553" s="377">
        <f t="shared" si="236"/>
        <v>0</v>
      </c>
      <c r="BG553" s="328"/>
    </row>
    <row r="554" spans="2:59">
      <c r="B554" s="332">
        <v>539</v>
      </c>
      <c r="C554" s="350">
        <v>6602944.7650366165</v>
      </c>
      <c r="D554" s="350">
        <v>12464306.804233946</v>
      </c>
      <c r="E554" s="350">
        <v>18369801.720730897</v>
      </c>
      <c r="F554" s="350">
        <v>24319830.906076178</v>
      </c>
      <c r="G554" s="350">
        <v>30315341.918897547</v>
      </c>
      <c r="H554" s="348">
        <v>92072226.114975184</v>
      </c>
      <c r="I554" s="369"/>
      <c r="J554" s="350">
        <v>7260367.7417552592</v>
      </c>
      <c r="K554" s="350">
        <v>14399586.572587218</v>
      </c>
      <c r="L554" s="350">
        <v>21336060.909673281</v>
      </c>
      <c r="M554" s="350">
        <v>28064563.958518308</v>
      </c>
      <c r="N554" s="350">
        <v>34581412.266290188</v>
      </c>
      <c r="O554" s="348">
        <v>105641991.44882426</v>
      </c>
      <c r="P554" s="369"/>
      <c r="Q554" s="350">
        <f t="shared" si="237"/>
        <v>657422.97671864275</v>
      </c>
      <c r="R554" s="350">
        <f t="shared" si="238"/>
        <v>1935279.7683532722</v>
      </c>
      <c r="S554" s="350">
        <f t="shared" si="239"/>
        <v>2966259.188942384</v>
      </c>
      <c r="T554" s="350">
        <f t="shared" si="240"/>
        <v>3744733.0524421297</v>
      </c>
      <c r="U554" s="350">
        <f t="shared" si="241"/>
        <v>4266070.347392641</v>
      </c>
      <c r="V554" s="350">
        <f t="shared" si="242"/>
        <v>13569765.333849072</v>
      </c>
      <c r="W554" s="365"/>
      <c r="X554" s="377">
        <f t="shared" si="220"/>
        <v>0</v>
      </c>
      <c r="Y554" s="377">
        <f t="shared" si="221"/>
        <v>0</v>
      </c>
      <c r="Z554" s="377">
        <f t="shared" si="222"/>
        <v>0</v>
      </c>
      <c r="AA554" s="377">
        <f t="shared" si="223"/>
        <v>0</v>
      </c>
      <c r="AB554" s="377">
        <f t="shared" si="224"/>
        <v>0</v>
      </c>
      <c r="AC554" s="377">
        <f t="shared" si="225"/>
        <v>0</v>
      </c>
      <c r="AD554" s="376"/>
      <c r="AE554" s="332">
        <v>539</v>
      </c>
      <c r="AF554" s="350">
        <v>4878982.5668012537</v>
      </c>
      <c r="AG554" s="350">
        <v>9796280.6256506182</v>
      </c>
      <c r="AH554" s="350">
        <v>14750793.059108561</v>
      </c>
      <c r="AI554" s="350">
        <v>19742684.144678529</v>
      </c>
      <c r="AJ554" s="350">
        <v>24772673.783254758</v>
      </c>
      <c r="AK554" s="348">
        <v>73941414.179493725</v>
      </c>
      <c r="AL554" s="369"/>
      <c r="AM554" s="350">
        <v>5893188.6344280578</v>
      </c>
      <c r="AN554" s="350">
        <v>12791920.539267676</v>
      </c>
      <c r="AO554" s="350">
        <v>19514101.904513739</v>
      </c>
      <c r="AP554" s="350">
        <v>26055786.861749105</v>
      </c>
      <c r="AQ554" s="350">
        <v>32415051.687693484</v>
      </c>
      <c r="AR554" s="348">
        <v>96670049.627652064</v>
      </c>
      <c r="AS554" s="369"/>
      <c r="AT554" s="350">
        <f t="shared" si="243"/>
        <v>1014206.0676268041</v>
      </c>
      <c r="AU554" s="350">
        <f t="shared" si="226"/>
        <v>2995639.9136170577</v>
      </c>
      <c r="AV554" s="350">
        <f t="shared" si="227"/>
        <v>4763308.8454051781</v>
      </c>
      <c r="AW554" s="350">
        <f t="shared" si="228"/>
        <v>6313102.7170705758</v>
      </c>
      <c r="AX554" s="350">
        <f t="shared" si="229"/>
        <v>7642377.9044387266</v>
      </c>
      <c r="AY554" s="350">
        <f t="shared" si="230"/>
        <v>22728635.448158339</v>
      </c>
      <c r="AZ554" s="365"/>
      <c r="BA554" s="377">
        <f t="shared" si="231"/>
        <v>0</v>
      </c>
      <c r="BB554" s="377">
        <f t="shared" si="232"/>
        <v>0</v>
      </c>
      <c r="BC554" s="377">
        <f t="shared" si="233"/>
        <v>0</v>
      </c>
      <c r="BD554" s="377">
        <f t="shared" si="234"/>
        <v>0</v>
      </c>
      <c r="BE554" s="377">
        <f t="shared" si="235"/>
        <v>0</v>
      </c>
      <c r="BF554" s="377">
        <f t="shared" si="236"/>
        <v>0</v>
      </c>
      <c r="BG554" s="328"/>
    </row>
    <row r="555" spans="2:59">
      <c r="B555" s="332">
        <v>540</v>
      </c>
      <c r="C555" s="350">
        <v>8080820.0879537538</v>
      </c>
      <c r="D555" s="350">
        <v>15267315.561365031</v>
      </c>
      <c r="E555" s="350">
        <v>22507925.734027803</v>
      </c>
      <c r="F555" s="350">
        <v>29803138.849206276</v>
      </c>
      <c r="G555" s="350">
        <v>37154114.994490921</v>
      </c>
      <c r="H555" s="348">
        <v>112813315.22704378</v>
      </c>
      <c r="I555" s="369"/>
      <c r="J555" s="350">
        <v>9184234.2011384144</v>
      </c>
      <c r="K555" s="350">
        <v>18521998.057682738</v>
      </c>
      <c r="L555" s="350">
        <v>27622638.589077577</v>
      </c>
      <c r="M555" s="350">
        <v>36479548.238803394</v>
      </c>
      <c r="N555" s="350">
        <v>45088395.062994167</v>
      </c>
      <c r="O555" s="348">
        <v>136896814.14969629</v>
      </c>
      <c r="P555" s="369"/>
      <c r="Q555" s="350">
        <f t="shared" si="237"/>
        <v>1103414.1131846607</v>
      </c>
      <c r="R555" s="350">
        <f t="shared" si="238"/>
        <v>3254682.496317707</v>
      </c>
      <c r="S555" s="350">
        <f t="shared" si="239"/>
        <v>5114712.8550497741</v>
      </c>
      <c r="T555" s="350">
        <f t="shared" si="240"/>
        <v>6676409.3895971179</v>
      </c>
      <c r="U555" s="350">
        <f t="shared" si="241"/>
        <v>7934280.0685032457</v>
      </c>
      <c r="V555" s="350">
        <f t="shared" si="242"/>
        <v>24083498.922652513</v>
      </c>
      <c r="W555" s="365"/>
      <c r="X555" s="377">
        <f t="shared" si="220"/>
        <v>0</v>
      </c>
      <c r="Y555" s="377">
        <f t="shared" si="221"/>
        <v>0</v>
      </c>
      <c r="Z555" s="377">
        <f t="shared" si="222"/>
        <v>0</v>
      </c>
      <c r="AA555" s="377">
        <f t="shared" si="223"/>
        <v>0</v>
      </c>
      <c r="AB555" s="377">
        <f t="shared" si="224"/>
        <v>0</v>
      </c>
      <c r="AC555" s="377">
        <f t="shared" si="225"/>
        <v>0</v>
      </c>
      <c r="AD555" s="376"/>
      <c r="AE555" s="332">
        <v>540</v>
      </c>
      <c r="AF555" s="350">
        <v>7263047.1145844832</v>
      </c>
      <c r="AG555" s="350">
        <v>14583132.191521507</v>
      </c>
      <c r="AH555" s="350">
        <v>21958616.063682985</v>
      </c>
      <c r="AI555" s="350">
        <v>29389743.28108136</v>
      </c>
      <c r="AJ555" s="350">
        <v>36877585.516763426</v>
      </c>
      <c r="AK555" s="348">
        <v>110072124.16763377</v>
      </c>
      <c r="AL555" s="369"/>
      <c r="AM555" s="350">
        <v>8387694.9579164349</v>
      </c>
      <c r="AN555" s="350">
        <v>17900349.818745717</v>
      </c>
      <c r="AO555" s="350">
        <v>27138649.486871485</v>
      </c>
      <c r="AP555" s="350">
        <v>36096828.917696953</v>
      </c>
      <c r="AQ555" s="350">
        <v>44771634.324295498</v>
      </c>
      <c r="AR555" s="348">
        <v>134295157.5055261</v>
      </c>
      <c r="AS555" s="369"/>
      <c r="AT555" s="350">
        <f t="shared" si="243"/>
        <v>1124647.8433319516</v>
      </c>
      <c r="AU555" s="350">
        <f t="shared" si="226"/>
        <v>3317217.6272242106</v>
      </c>
      <c r="AV555" s="350">
        <f t="shared" si="227"/>
        <v>5180033.4231885001</v>
      </c>
      <c r="AW555" s="350">
        <f t="shared" si="228"/>
        <v>6707085.636615593</v>
      </c>
      <c r="AX555" s="350">
        <f t="shared" si="229"/>
        <v>7894048.8075320721</v>
      </c>
      <c r="AY555" s="350">
        <f t="shared" si="230"/>
        <v>24223033.337892324</v>
      </c>
      <c r="AZ555" s="365"/>
      <c r="BA555" s="377">
        <f t="shared" si="231"/>
        <v>0</v>
      </c>
      <c r="BB555" s="377">
        <f t="shared" si="232"/>
        <v>0</v>
      </c>
      <c r="BC555" s="377">
        <f t="shared" si="233"/>
        <v>0</v>
      </c>
      <c r="BD555" s="377">
        <f t="shared" si="234"/>
        <v>0</v>
      </c>
      <c r="BE555" s="377">
        <f t="shared" si="235"/>
        <v>0</v>
      </c>
      <c r="BF555" s="377">
        <f t="shared" si="236"/>
        <v>0</v>
      </c>
      <c r="BG555" s="328"/>
    </row>
    <row r="556" spans="2:59">
      <c r="B556" s="332">
        <v>541</v>
      </c>
      <c r="C556" s="350">
        <v>7861063.7916860189</v>
      </c>
      <c r="D556" s="350">
        <v>14791831.022535831</v>
      </c>
      <c r="E556" s="350">
        <v>21774767.823390104</v>
      </c>
      <c r="F556" s="350">
        <v>28810362.767096244</v>
      </c>
      <c r="G556" s="350">
        <v>35899742.362803735</v>
      </c>
      <c r="H556" s="348">
        <v>109137767.76751193</v>
      </c>
      <c r="I556" s="369"/>
      <c r="J556" s="350">
        <v>9037933.9414048754</v>
      </c>
      <c r="K556" s="350">
        <v>18265027.385273874</v>
      </c>
      <c r="L556" s="350">
        <v>27261943.295437913</v>
      </c>
      <c r="M556" s="350">
        <v>36022519.414552316</v>
      </c>
      <c r="N556" s="350">
        <v>44542932.200642444</v>
      </c>
      <c r="O556" s="348">
        <v>135130356.23731142</v>
      </c>
      <c r="P556" s="369"/>
      <c r="Q556" s="350">
        <f t="shared" si="237"/>
        <v>1176870.1497188564</v>
      </c>
      <c r="R556" s="350">
        <f t="shared" si="238"/>
        <v>3473196.3627380431</v>
      </c>
      <c r="S556" s="350">
        <f t="shared" si="239"/>
        <v>5487175.4720478095</v>
      </c>
      <c r="T556" s="350">
        <f t="shared" si="240"/>
        <v>7212156.6474560723</v>
      </c>
      <c r="U556" s="350">
        <f t="shared" si="241"/>
        <v>8643189.8378387094</v>
      </c>
      <c r="V556" s="350">
        <f t="shared" si="242"/>
        <v>25992588.469799489</v>
      </c>
      <c r="W556" s="365"/>
      <c r="X556" s="377">
        <f t="shared" si="220"/>
        <v>0</v>
      </c>
      <c r="Y556" s="377">
        <f t="shared" si="221"/>
        <v>0</v>
      </c>
      <c r="Z556" s="377">
        <f t="shared" si="222"/>
        <v>0</v>
      </c>
      <c r="AA556" s="377">
        <f t="shared" si="223"/>
        <v>0</v>
      </c>
      <c r="AB556" s="377">
        <f t="shared" si="224"/>
        <v>0</v>
      </c>
      <c r="AC556" s="377">
        <f t="shared" si="225"/>
        <v>0</v>
      </c>
      <c r="AD556" s="376"/>
      <c r="AE556" s="332">
        <v>541</v>
      </c>
      <c r="AF556" s="350">
        <v>5834279.3119917857</v>
      </c>
      <c r="AG556" s="350">
        <v>11714376.226224285</v>
      </c>
      <c r="AH556" s="350">
        <v>17638974.028278135</v>
      </c>
      <c r="AI556" s="350">
        <v>23608269.160921201</v>
      </c>
      <c r="AJ556" s="350">
        <v>29623122.480456285</v>
      </c>
      <c r="AK556" s="348">
        <v>88419021.20787169</v>
      </c>
      <c r="AL556" s="369"/>
      <c r="AM556" s="350">
        <v>6872554.8742423039</v>
      </c>
      <c r="AN556" s="350">
        <v>14779010.950908083</v>
      </c>
      <c r="AO556" s="350">
        <v>22469121.542337898</v>
      </c>
      <c r="AP556" s="350">
        <v>29938217.543591216</v>
      </c>
      <c r="AQ556" s="350">
        <v>37183821.831434295</v>
      </c>
      <c r="AR556" s="348">
        <v>111242726.74251379</v>
      </c>
      <c r="AS556" s="369"/>
      <c r="AT556" s="350">
        <f t="shared" si="243"/>
        <v>1038275.5622505182</v>
      </c>
      <c r="AU556" s="350">
        <f t="shared" si="226"/>
        <v>3064634.7246837988</v>
      </c>
      <c r="AV556" s="350">
        <f t="shared" si="227"/>
        <v>4830147.5140597634</v>
      </c>
      <c r="AW556" s="350">
        <f t="shared" si="228"/>
        <v>6329948.3826700151</v>
      </c>
      <c r="AX556" s="350">
        <f t="shared" si="229"/>
        <v>7560699.3509780094</v>
      </c>
      <c r="AY556" s="350">
        <f t="shared" si="230"/>
        <v>22823705.5346421</v>
      </c>
      <c r="AZ556" s="365"/>
      <c r="BA556" s="377">
        <f t="shared" si="231"/>
        <v>0</v>
      </c>
      <c r="BB556" s="377">
        <f t="shared" si="232"/>
        <v>0</v>
      </c>
      <c r="BC556" s="377">
        <f t="shared" si="233"/>
        <v>0</v>
      </c>
      <c r="BD556" s="377">
        <f t="shared" si="234"/>
        <v>0</v>
      </c>
      <c r="BE556" s="377">
        <f t="shared" si="235"/>
        <v>0</v>
      </c>
      <c r="BF556" s="377">
        <f t="shared" si="236"/>
        <v>0</v>
      </c>
      <c r="BG556" s="328"/>
    </row>
    <row r="557" spans="2:59">
      <c r="B557" s="332">
        <v>542</v>
      </c>
      <c r="C557" s="350">
        <v>8378776.3356434293</v>
      </c>
      <c r="D557" s="350">
        <v>15747697.597816292</v>
      </c>
      <c r="E557" s="350">
        <v>23172080.560271733</v>
      </c>
      <c r="F557" s="350">
        <v>30652450.100268021</v>
      </c>
      <c r="G557" s="350">
        <v>38190006.300521225</v>
      </c>
      <c r="H557" s="348">
        <v>116141010.8945207</v>
      </c>
      <c r="I557" s="369"/>
      <c r="J557" s="350">
        <v>9602805.7935555503</v>
      </c>
      <c r="K557" s="350">
        <v>19359651.678848539</v>
      </c>
      <c r="L557" s="350">
        <v>28882029.960371543</v>
      </c>
      <c r="M557" s="350">
        <v>38162938.083087116</v>
      </c>
      <c r="N557" s="350">
        <v>47197804.154308513</v>
      </c>
      <c r="O557" s="348">
        <v>143205229.67017126</v>
      </c>
      <c r="P557" s="369"/>
      <c r="Q557" s="350">
        <f t="shared" si="237"/>
        <v>1224029.457912121</v>
      </c>
      <c r="R557" s="350">
        <f t="shared" si="238"/>
        <v>3611954.0810322464</v>
      </c>
      <c r="S557" s="350">
        <f t="shared" si="239"/>
        <v>5709949.4000998102</v>
      </c>
      <c r="T557" s="350">
        <f t="shared" si="240"/>
        <v>7510487.9828190953</v>
      </c>
      <c r="U557" s="350">
        <f t="shared" si="241"/>
        <v>9007797.8537872881</v>
      </c>
      <c r="V557" s="350">
        <f t="shared" si="242"/>
        <v>27064218.775650561</v>
      </c>
      <c r="W557" s="365"/>
      <c r="X557" s="377">
        <f t="shared" si="220"/>
        <v>0</v>
      </c>
      <c r="Y557" s="377">
        <f t="shared" si="221"/>
        <v>0</v>
      </c>
      <c r="Z557" s="377">
        <f t="shared" si="222"/>
        <v>0</v>
      </c>
      <c r="AA557" s="377">
        <f t="shared" si="223"/>
        <v>0</v>
      </c>
      <c r="AB557" s="377">
        <f t="shared" si="224"/>
        <v>0</v>
      </c>
      <c r="AC557" s="377">
        <f t="shared" si="225"/>
        <v>0</v>
      </c>
      <c r="AD557" s="376"/>
      <c r="AE557" s="332">
        <v>542</v>
      </c>
      <c r="AF557" s="350">
        <v>4998965.8339573815</v>
      </c>
      <c r="AG557" s="350">
        <v>10037189.409264993</v>
      </c>
      <c r="AH557" s="350">
        <v>15113542.529954921</v>
      </c>
      <c r="AI557" s="350">
        <v>20228193.513420347</v>
      </c>
      <c r="AJ557" s="350">
        <v>25381879.964259118</v>
      </c>
      <c r="AK557" s="348">
        <v>75759771.250856757</v>
      </c>
      <c r="AL557" s="369"/>
      <c r="AM557" s="350">
        <v>6138817.2551836241</v>
      </c>
      <c r="AN557" s="350">
        <v>13405156.587120606</v>
      </c>
      <c r="AO557" s="350">
        <v>20493619.793601319</v>
      </c>
      <c r="AP557" s="350">
        <v>27400135.487090476</v>
      </c>
      <c r="AQ557" s="350">
        <v>34122834.626052983</v>
      </c>
      <c r="AR557" s="348">
        <v>101560563.74904901</v>
      </c>
      <c r="AS557" s="369"/>
      <c r="AT557" s="350">
        <f t="shared" si="243"/>
        <v>1139851.4212262426</v>
      </c>
      <c r="AU557" s="350">
        <f t="shared" si="226"/>
        <v>3367967.1778556127</v>
      </c>
      <c r="AV557" s="350">
        <f t="shared" si="227"/>
        <v>5380077.2636463977</v>
      </c>
      <c r="AW557" s="350">
        <f t="shared" si="228"/>
        <v>7171941.9736701287</v>
      </c>
      <c r="AX557" s="350">
        <f t="shared" si="229"/>
        <v>8740954.6617938653</v>
      </c>
      <c r="AY557" s="350">
        <f t="shared" si="230"/>
        <v>25800792.498192251</v>
      </c>
      <c r="AZ557" s="365"/>
      <c r="BA557" s="377">
        <f t="shared" si="231"/>
        <v>0</v>
      </c>
      <c r="BB557" s="377">
        <f t="shared" si="232"/>
        <v>0</v>
      </c>
      <c r="BC557" s="377">
        <f t="shared" si="233"/>
        <v>0</v>
      </c>
      <c r="BD557" s="377">
        <f t="shared" si="234"/>
        <v>0</v>
      </c>
      <c r="BE557" s="377">
        <f t="shared" si="235"/>
        <v>0</v>
      </c>
      <c r="BF557" s="377">
        <f t="shared" si="236"/>
        <v>0</v>
      </c>
      <c r="BG557" s="328"/>
    </row>
    <row r="558" spans="2:59">
      <c r="B558" s="332">
        <v>543</v>
      </c>
      <c r="C558" s="350">
        <v>7973942.0975238085</v>
      </c>
      <c r="D558" s="350">
        <v>14993862.530330816</v>
      </c>
      <c r="E558" s="350">
        <v>22066620.232116237</v>
      </c>
      <c r="F558" s="350">
        <v>29192713.13087067</v>
      </c>
      <c r="G558" s="350">
        <v>36373283.562417947</v>
      </c>
      <c r="H558" s="348">
        <v>110600421.55325949</v>
      </c>
      <c r="I558" s="369"/>
      <c r="J558" s="350">
        <v>9175681.358999338</v>
      </c>
      <c r="K558" s="350">
        <v>18540585.948417339</v>
      </c>
      <c r="L558" s="350">
        <v>27685607.066381078</v>
      </c>
      <c r="M558" s="350">
        <v>36603979.596943542</v>
      </c>
      <c r="N558" s="350">
        <v>45291297.880444355</v>
      </c>
      <c r="O558" s="348">
        <v>137297151.85118565</v>
      </c>
      <c r="P558" s="369"/>
      <c r="Q558" s="350">
        <f t="shared" si="237"/>
        <v>1201739.2614755295</v>
      </c>
      <c r="R558" s="350">
        <f t="shared" si="238"/>
        <v>3546723.4180865232</v>
      </c>
      <c r="S558" s="350">
        <f t="shared" si="239"/>
        <v>5618986.8342648409</v>
      </c>
      <c r="T558" s="350">
        <f t="shared" si="240"/>
        <v>7411266.4660728723</v>
      </c>
      <c r="U558" s="350">
        <f t="shared" si="241"/>
        <v>8918014.3180264086</v>
      </c>
      <c r="V558" s="350">
        <f t="shared" si="242"/>
        <v>26696730.297926158</v>
      </c>
      <c r="W558" s="365"/>
      <c r="X558" s="377">
        <f t="shared" si="220"/>
        <v>0</v>
      </c>
      <c r="Y558" s="377">
        <f t="shared" si="221"/>
        <v>0</v>
      </c>
      <c r="Z558" s="377">
        <f t="shared" si="222"/>
        <v>0</v>
      </c>
      <c r="AA558" s="377">
        <f t="shared" si="223"/>
        <v>0</v>
      </c>
      <c r="AB558" s="377">
        <f t="shared" si="224"/>
        <v>0</v>
      </c>
      <c r="AC558" s="377">
        <f t="shared" si="225"/>
        <v>0</v>
      </c>
      <c r="AD558" s="376"/>
      <c r="AE558" s="332">
        <v>543</v>
      </c>
      <c r="AF558" s="350">
        <v>7032022.9577993713</v>
      </c>
      <c r="AG558" s="350">
        <v>14119269.605380923</v>
      </c>
      <c r="AH558" s="350">
        <v>21260152.914505053</v>
      </c>
      <c r="AI558" s="350">
        <v>28454909.656498551</v>
      </c>
      <c r="AJ558" s="350">
        <v>35704577.416461639</v>
      </c>
      <c r="AK558" s="348">
        <v>106570932.55064553</v>
      </c>
      <c r="AL558" s="369"/>
      <c r="AM558" s="350">
        <v>8326077.6770413555</v>
      </c>
      <c r="AN558" s="350">
        <v>17939475.839792781</v>
      </c>
      <c r="AO558" s="350">
        <v>27293390.744724043</v>
      </c>
      <c r="AP558" s="350">
        <v>36382182.690219648</v>
      </c>
      <c r="AQ558" s="350">
        <v>45202909.18541494</v>
      </c>
      <c r="AR558" s="348">
        <v>135144036.13719276</v>
      </c>
      <c r="AS558" s="369"/>
      <c r="AT558" s="350">
        <f t="shared" si="243"/>
        <v>1294054.7192419842</v>
      </c>
      <c r="AU558" s="350">
        <f t="shared" si="226"/>
        <v>3820206.234411858</v>
      </c>
      <c r="AV558" s="350">
        <f t="shared" si="227"/>
        <v>6033237.8302189894</v>
      </c>
      <c r="AW558" s="350">
        <f t="shared" si="228"/>
        <v>7927273.0337210968</v>
      </c>
      <c r="AX558" s="350">
        <f t="shared" si="229"/>
        <v>9498331.768953301</v>
      </c>
      <c r="AY558" s="350">
        <f t="shared" si="230"/>
        <v>28573103.586547226</v>
      </c>
      <c r="AZ558" s="365"/>
      <c r="BA558" s="377">
        <f t="shared" si="231"/>
        <v>0</v>
      </c>
      <c r="BB558" s="377">
        <f t="shared" si="232"/>
        <v>0</v>
      </c>
      <c r="BC558" s="377">
        <f t="shared" si="233"/>
        <v>0</v>
      </c>
      <c r="BD558" s="377">
        <f t="shared" si="234"/>
        <v>0</v>
      </c>
      <c r="BE558" s="377">
        <f t="shared" si="235"/>
        <v>0</v>
      </c>
      <c r="BF558" s="377">
        <f t="shared" si="236"/>
        <v>0</v>
      </c>
      <c r="BG558" s="328"/>
    </row>
    <row r="559" spans="2:59">
      <c r="B559" s="332">
        <v>544</v>
      </c>
      <c r="C559" s="350">
        <v>9197618.5126755685</v>
      </c>
      <c r="D559" s="350">
        <v>17327237.74178829</v>
      </c>
      <c r="E559" s="350">
        <v>25518057.262581524</v>
      </c>
      <c r="F559" s="350">
        <v>33770644.096694052</v>
      </c>
      <c r="G559" s="350">
        <v>42086316.973923348</v>
      </c>
      <c r="H559" s="348">
        <v>127899874.58766279</v>
      </c>
      <c r="I559" s="369"/>
      <c r="J559" s="350">
        <v>10757454.467343371</v>
      </c>
      <c r="K559" s="350">
        <v>21933201.931446135</v>
      </c>
      <c r="L559" s="350">
        <v>32849973.431406878</v>
      </c>
      <c r="M559" s="350">
        <v>43500217.675730601</v>
      </c>
      <c r="N559" s="350">
        <v>53879353.040260993</v>
      </c>
      <c r="O559" s="348">
        <v>162920200.54618797</v>
      </c>
      <c r="P559" s="369"/>
      <c r="Q559" s="350">
        <f t="shared" si="237"/>
        <v>1559835.9546678029</v>
      </c>
      <c r="R559" s="350">
        <f t="shared" si="238"/>
        <v>4605964.1896578446</v>
      </c>
      <c r="S559" s="350">
        <f t="shared" si="239"/>
        <v>7331916.1688253544</v>
      </c>
      <c r="T559" s="350">
        <f t="shared" si="240"/>
        <v>9729573.5790365487</v>
      </c>
      <c r="U559" s="350">
        <f t="shared" si="241"/>
        <v>11793036.066337645</v>
      </c>
      <c r="V559" s="350">
        <f t="shared" si="242"/>
        <v>35020325.958525181</v>
      </c>
      <c r="W559" s="365"/>
      <c r="X559" s="377">
        <f t="shared" si="220"/>
        <v>0</v>
      </c>
      <c r="Y559" s="377">
        <f t="shared" si="221"/>
        <v>0</v>
      </c>
      <c r="Z559" s="377">
        <f t="shared" si="222"/>
        <v>0</v>
      </c>
      <c r="AA559" s="377">
        <f t="shared" si="223"/>
        <v>0</v>
      </c>
      <c r="AB559" s="377">
        <f t="shared" si="224"/>
        <v>0</v>
      </c>
      <c r="AC559" s="377">
        <f t="shared" si="225"/>
        <v>0</v>
      </c>
      <c r="AD559" s="376"/>
      <c r="AE559" s="332">
        <v>544</v>
      </c>
      <c r="AF559" s="350">
        <v>5641493.545169373</v>
      </c>
      <c r="AG559" s="350">
        <v>11327290.712684156</v>
      </c>
      <c r="AH559" s="350">
        <v>17056118.297149058</v>
      </c>
      <c r="AI559" s="350">
        <v>22828166.250149809</v>
      </c>
      <c r="AJ559" s="350">
        <v>28644266.982172068</v>
      </c>
      <c r="AK559" s="348">
        <v>85497335.787324458</v>
      </c>
      <c r="AL559" s="369"/>
      <c r="AM559" s="350">
        <v>6652368.8647367051</v>
      </c>
      <c r="AN559" s="350">
        <v>14311146.328201279</v>
      </c>
      <c r="AO559" s="350">
        <v>21760934.047889069</v>
      </c>
      <c r="AP559" s="350">
        <v>28997215.249154259</v>
      </c>
      <c r="AQ559" s="350">
        <v>36017601.658243962</v>
      </c>
      <c r="AR559" s="348">
        <v>107739266.14822528</v>
      </c>
      <c r="AS559" s="369"/>
      <c r="AT559" s="350">
        <f t="shared" si="243"/>
        <v>1010875.319567332</v>
      </c>
      <c r="AU559" s="350">
        <f t="shared" si="226"/>
        <v>2983855.6155171227</v>
      </c>
      <c r="AV559" s="350">
        <f t="shared" si="227"/>
        <v>4704815.7507400103</v>
      </c>
      <c r="AW559" s="350">
        <f t="shared" si="228"/>
        <v>6169048.9990044497</v>
      </c>
      <c r="AX559" s="350">
        <f t="shared" si="229"/>
        <v>7373334.6760718934</v>
      </c>
      <c r="AY559" s="350">
        <f t="shared" si="230"/>
        <v>22241930.360900819</v>
      </c>
      <c r="AZ559" s="365"/>
      <c r="BA559" s="377">
        <f t="shared" si="231"/>
        <v>0</v>
      </c>
      <c r="BB559" s="377">
        <f t="shared" si="232"/>
        <v>0</v>
      </c>
      <c r="BC559" s="377">
        <f t="shared" si="233"/>
        <v>0</v>
      </c>
      <c r="BD559" s="377">
        <f t="shared" si="234"/>
        <v>0</v>
      </c>
      <c r="BE559" s="377">
        <f t="shared" si="235"/>
        <v>0</v>
      </c>
      <c r="BF559" s="377">
        <f t="shared" si="236"/>
        <v>0</v>
      </c>
      <c r="BG559" s="328"/>
    </row>
    <row r="560" spans="2:59">
      <c r="B560" s="332">
        <v>545</v>
      </c>
      <c r="C560" s="350">
        <v>8176687.6144502033</v>
      </c>
      <c r="D560" s="350">
        <v>15570447.282269424</v>
      </c>
      <c r="E560" s="350">
        <v>23019921.782506656</v>
      </c>
      <c r="F560" s="350">
        <v>30525577.615584761</v>
      </c>
      <c r="G560" s="350">
        <v>38088592.739911467</v>
      </c>
      <c r="H560" s="348">
        <v>115381227.03472251</v>
      </c>
      <c r="I560" s="369"/>
      <c r="J560" s="350">
        <v>9237926.7363639604</v>
      </c>
      <c r="K560" s="350">
        <v>18699533.29930301</v>
      </c>
      <c r="L560" s="350">
        <v>27912688.225633405</v>
      </c>
      <c r="M560" s="350">
        <v>36870663.975604072</v>
      </c>
      <c r="N560" s="350">
        <v>45569002.088927589</v>
      </c>
      <c r="O560" s="348">
        <v>138289814.32583204</v>
      </c>
      <c r="P560" s="369"/>
      <c r="Q560" s="350">
        <f t="shared" si="237"/>
        <v>1061239.1219137572</v>
      </c>
      <c r="R560" s="350">
        <f t="shared" si="238"/>
        <v>3129086.0170335863</v>
      </c>
      <c r="S560" s="350">
        <f t="shared" si="239"/>
        <v>4892766.4431267492</v>
      </c>
      <c r="T560" s="350">
        <f t="shared" si="240"/>
        <v>6345086.3600193113</v>
      </c>
      <c r="U560" s="350">
        <f t="shared" si="241"/>
        <v>7480409.3490161225</v>
      </c>
      <c r="V560" s="350">
        <f t="shared" si="242"/>
        <v>22908587.291109532</v>
      </c>
      <c r="W560" s="365"/>
      <c r="X560" s="377">
        <f t="shared" si="220"/>
        <v>0</v>
      </c>
      <c r="Y560" s="377">
        <f t="shared" si="221"/>
        <v>0</v>
      </c>
      <c r="Z560" s="377">
        <f t="shared" si="222"/>
        <v>0</v>
      </c>
      <c r="AA560" s="377">
        <f t="shared" si="223"/>
        <v>0</v>
      </c>
      <c r="AB560" s="377">
        <f t="shared" si="224"/>
        <v>0</v>
      </c>
      <c r="AC560" s="377">
        <f t="shared" si="225"/>
        <v>0</v>
      </c>
      <c r="AD560" s="376"/>
      <c r="AE560" s="332">
        <v>545</v>
      </c>
      <c r="AF560" s="350">
        <v>6051753.3716898039</v>
      </c>
      <c r="AG560" s="350">
        <v>12151032.206939958</v>
      </c>
      <c r="AH560" s="350">
        <v>18296470.710508101</v>
      </c>
      <c r="AI560" s="350">
        <v>24488272.647609986</v>
      </c>
      <c r="AJ560" s="350">
        <v>30727330.963158675</v>
      </c>
      <c r="AK560" s="348">
        <v>91714859.899906516</v>
      </c>
      <c r="AL560" s="369"/>
      <c r="AM560" s="350">
        <v>7407735.6252477951</v>
      </c>
      <c r="AN560" s="350">
        <v>16157347.996776566</v>
      </c>
      <c r="AO560" s="350">
        <v>24690906.836881399</v>
      </c>
      <c r="AP560" s="350">
        <v>33003490.085806653</v>
      </c>
      <c r="AQ560" s="350">
        <v>41092810.851391107</v>
      </c>
      <c r="AR560" s="348">
        <v>122352291.39610352</v>
      </c>
      <c r="AS560" s="369"/>
      <c r="AT560" s="350">
        <f t="shared" si="243"/>
        <v>1355982.2535579912</v>
      </c>
      <c r="AU560" s="350">
        <f t="shared" si="226"/>
        <v>4006315.7898366079</v>
      </c>
      <c r="AV560" s="350">
        <f t="shared" si="227"/>
        <v>6394436.1263732985</v>
      </c>
      <c r="AW560" s="350">
        <f t="shared" si="228"/>
        <v>8515217.4381966665</v>
      </c>
      <c r="AX560" s="350">
        <f t="shared" si="229"/>
        <v>10365479.888232432</v>
      </c>
      <c r="AY560" s="350">
        <f t="shared" si="230"/>
        <v>30637431.496197</v>
      </c>
      <c r="AZ560" s="365"/>
      <c r="BA560" s="377">
        <f t="shared" si="231"/>
        <v>0</v>
      </c>
      <c r="BB560" s="377">
        <f t="shared" si="232"/>
        <v>0</v>
      </c>
      <c r="BC560" s="377">
        <f t="shared" si="233"/>
        <v>0</v>
      </c>
      <c r="BD560" s="377">
        <f t="shared" si="234"/>
        <v>0</v>
      </c>
      <c r="BE560" s="377">
        <f t="shared" si="235"/>
        <v>0</v>
      </c>
      <c r="BF560" s="377">
        <f t="shared" si="236"/>
        <v>0</v>
      </c>
      <c r="BG560" s="328"/>
    </row>
    <row r="561" spans="2:59">
      <c r="B561" s="332">
        <v>546</v>
      </c>
      <c r="C561" s="350">
        <v>6815561.8280223571</v>
      </c>
      <c r="D561" s="350">
        <v>12627810.726246359</v>
      </c>
      <c r="E561" s="350">
        <v>18483745.710543748</v>
      </c>
      <c r="F561" s="350">
        <v>24383834.777015317</v>
      </c>
      <c r="G561" s="350">
        <v>30329047.987450205</v>
      </c>
      <c r="H561" s="348">
        <v>92640001.02927798</v>
      </c>
      <c r="I561" s="369"/>
      <c r="J561" s="350">
        <v>7954343.4065014739</v>
      </c>
      <c r="K561" s="350">
        <v>15990778.79246355</v>
      </c>
      <c r="L561" s="350">
        <v>23847879.8868003</v>
      </c>
      <c r="M561" s="350">
        <v>31520109.001347285</v>
      </c>
      <c r="N561" s="350">
        <v>39004038.954175636</v>
      </c>
      <c r="O561" s="348">
        <v>118317150.04128824</v>
      </c>
      <c r="P561" s="369"/>
      <c r="Q561" s="350">
        <f t="shared" si="237"/>
        <v>1138781.5784791168</v>
      </c>
      <c r="R561" s="350">
        <f t="shared" si="238"/>
        <v>3362968.0662171915</v>
      </c>
      <c r="S561" s="350">
        <f t="shared" si="239"/>
        <v>5364134.1762565523</v>
      </c>
      <c r="T561" s="350">
        <f t="shared" si="240"/>
        <v>7136274.2243319675</v>
      </c>
      <c r="U561" s="350">
        <f t="shared" si="241"/>
        <v>8674990.9667254314</v>
      </c>
      <c r="V561" s="350">
        <f t="shared" si="242"/>
        <v>25677149.012010261</v>
      </c>
      <c r="W561" s="365"/>
      <c r="X561" s="377">
        <f t="shared" si="220"/>
        <v>0</v>
      </c>
      <c r="Y561" s="377">
        <f t="shared" si="221"/>
        <v>0</v>
      </c>
      <c r="Z561" s="377">
        <f t="shared" si="222"/>
        <v>0</v>
      </c>
      <c r="AA561" s="377">
        <f t="shared" si="223"/>
        <v>0</v>
      </c>
      <c r="AB561" s="377">
        <f t="shared" si="224"/>
        <v>0</v>
      </c>
      <c r="AC561" s="377">
        <f t="shared" si="225"/>
        <v>0</v>
      </c>
      <c r="AD561" s="376"/>
      <c r="AE561" s="332">
        <v>546</v>
      </c>
      <c r="AF561" s="350">
        <v>9490588.0558604449</v>
      </c>
      <c r="AG561" s="350">
        <v>19055707.337485161</v>
      </c>
      <c r="AH561" s="350">
        <v>28693215.953224272</v>
      </c>
      <c r="AI561" s="350">
        <v>38403433.455380075</v>
      </c>
      <c r="AJ561" s="350">
        <v>48187760.193868689</v>
      </c>
      <c r="AK561" s="348">
        <v>143830704.99581864</v>
      </c>
      <c r="AL561" s="369"/>
      <c r="AM561" s="350">
        <v>11021702.905626252</v>
      </c>
      <c r="AN561" s="350">
        <v>23572817.892424628</v>
      </c>
      <c r="AO561" s="350">
        <v>35767277.52706781</v>
      </c>
      <c r="AP561" s="350">
        <v>47597531.247394852</v>
      </c>
      <c r="AQ561" s="350">
        <v>59059389.674639493</v>
      </c>
      <c r="AR561" s="348">
        <v>177018719.24715304</v>
      </c>
      <c r="AS561" s="369"/>
      <c r="AT561" s="350">
        <f t="shared" si="243"/>
        <v>1531114.8497658074</v>
      </c>
      <c r="AU561" s="350">
        <f t="shared" si="226"/>
        <v>4517110.5549394675</v>
      </c>
      <c r="AV561" s="350">
        <f t="shared" si="227"/>
        <v>7074061.5738435388</v>
      </c>
      <c r="AW561" s="350">
        <f t="shared" si="228"/>
        <v>9194097.7920147777</v>
      </c>
      <c r="AX561" s="350">
        <f t="shared" si="229"/>
        <v>10871629.480770804</v>
      </c>
      <c r="AY561" s="350">
        <f t="shared" si="230"/>
        <v>33188014.251334399</v>
      </c>
      <c r="AZ561" s="365"/>
      <c r="BA561" s="377">
        <f t="shared" si="231"/>
        <v>0</v>
      </c>
      <c r="BB561" s="377">
        <f t="shared" si="232"/>
        <v>0</v>
      </c>
      <c r="BC561" s="377">
        <f t="shared" si="233"/>
        <v>0</v>
      </c>
      <c r="BD561" s="377">
        <f t="shared" si="234"/>
        <v>0</v>
      </c>
      <c r="BE561" s="377">
        <f t="shared" si="235"/>
        <v>0</v>
      </c>
      <c r="BF561" s="377">
        <f t="shared" si="236"/>
        <v>0</v>
      </c>
      <c r="BG561" s="328"/>
    </row>
    <row r="562" spans="2:59">
      <c r="B562" s="332">
        <v>547</v>
      </c>
      <c r="C562" s="350">
        <v>10234571.129296746</v>
      </c>
      <c r="D562" s="350">
        <v>19289283.18767707</v>
      </c>
      <c r="E562" s="350">
        <v>28412162.474537171</v>
      </c>
      <c r="F562" s="350">
        <v>37603838.009186432</v>
      </c>
      <c r="G562" s="350">
        <v>46865777.484712802</v>
      </c>
      <c r="H562" s="348">
        <v>142405632.28541023</v>
      </c>
      <c r="I562" s="369"/>
      <c r="J562" s="350">
        <v>11504868.041444689</v>
      </c>
      <c r="K562" s="350">
        <v>23034295.047391646</v>
      </c>
      <c r="L562" s="350">
        <v>34270497.753488377</v>
      </c>
      <c r="M562" s="350">
        <v>45204843.6619405</v>
      </c>
      <c r="N562" s="350">
        <v>55831390.194274053</v>
      </c>
      <c r="O562" s="348">
        <v>169845894.69853926</v>
      </c>
      <c r="P562" s="369"/>
      <c r="Q562" s="350">
        <f t="shared" si="237"/>
        <v>1270296.9121479429</v>
      </c>
      <c r="R562" s="350">
        <f t="shared" si="238"/>
        <v>3745011.8597145751</v>
      </c>
      <c r="S562" s="350">
        <f t="shared" si="239"/>
        <v>5858335.2789512053</v>
      </c>
      <c r="T562" s="350">
        <f t="shared" si="240"/>
        <v>7601005.6527540684</v>
      </c>
      <c r="U562" s="350">
        <f t="shared" si="241"/>
        <v>8965612.7095612511</v>
      </c>
      <c r="V562" s="350">
        <f t="shared" si="242"/>
        <v>27440262.413129032</v>
      </c>
      <c r="W562" s="365"/>
      <c r="X562" s="377">
        <f t="shared" si="220"/>
        <v>0</v>
      </c>
      <c r="Y562" s="377">
        <f t="shared" si="221"/>
        <v>0</v>
      </c>
      <c r="Z562" s="377">
        <f t="shared" si="222"/>
        <v>0</v>
      </c>
      <c r="AA562" s="377">
        <f t="shared" si="223"/>
        <v>0</v>
      </c>
      <c r="AB562" s="377">
        <f t="shared" si="224"/>
        <v>0</v>
      </c>
      <c r="AC562" s="377">
        <f t="shared" si="225"/>
        <v>0</v>
      </c>
      <c r="AD562" s="376"/>
      <c r="AE562" s="332">
        <v>547</v>
      </c>
      <c r="AF562" s="350">
        <v>7754764.9220474008</v>
      </c>
      <c r="AG562" s="350">
        <v>15570429.351243578</v>
      </c>
      <c r="AH562" s="350">
        <v>23445243.146697838</v>
      </c>
      <c r="AI562" s="350">
        <v>31379467.414778933</v>
      </c>
      <c r="AJ562" s="350">
        <v>39374246.382203296</v>
      </c>
      <c r="AK562" s="348">
        <v>117524151.21697104</v>
      </c>
      <c r="AL562" s="369"/>
      <c r="AM562" s="350">
        <v>9002235.0698863268</v>
      </c>
      <c r="AN562" s="350">
        <v>19250672.571749426</v>
      </c>
      <c r="AO562" s="350">
        <v>29207578.8206027</v>
      </c>
      <c r="AP562" s="350">
        <v>38866785.267325632</v>
      </c>
      <c r="AQ562" s="350">
        <v>48224865.117448859</v>
      </c>
      <c r="AR562" s="348">
        <v>144552136.84701294</v>
      </c>
      <c r="AS562" s="369"/>
      <c r="AT562" s="350">
        <f t="shared" si="243"/>
        <v>1247470.1478389259</v>
      </c>
      <c r="AU562" s="350">
        <f t="shared" si="226"/>
        <v>3680243.2205058485</v>
      </c>
      <c r="AV562" s="350">
        <f t="shared" si="227"/>
        <v>5762335.6739048623</v>
      </c>
      <c r="AW562" s="350">
        <f t="shared" si="228"/>
        <v>7487317.8525466993</v>
      </c>
      <c r="AX562" s="350">
        <f t="shared" si="229"/>
        <v>8850618.7352455631</v>
      </c>
      <c r="AY562" s="350">
        <f t="shared" si="230"/>
        <v>27027985.630041897</v>
      </c>
      <c r="AZ562" s="365"/>
      <c r="BA562" s="377">
        <f t="shared" si="231"/>
        <v>0</v>
      </c>
      <c r="BB562" s="377">
        <f t="shared" si="232"/>
        <v>0</v>
      </c>
      <c r="BC562" s="377">
        <f t="shared" si="233"/>
        <v>0</v>
      </c>
      <c r="BD562" s="377">
        <f t="shared" si="234"/>
        <v>0</v>
      </c>
      <c r="BE562" s="377">
        <f t="shared" si="235"/>
        <v>0</v>
      </c>
      <c r="BF562" s="377">
        <f t="shared" si="236"/>
        <v>0</v>
      </c>
      <c r="BG562" s="328"/>
    </row>
    <row r="563" spans="2:59">
      <c r="B563" s="332">
        <v>548</v>
      </c>
      <c r="C563" s="350">
        <v>6071507.2059746683</v>
      </c>
      <c r="D563" s="350">
        <v>11348704.100986324</v>
      </c>
      <c r="E563" s="350">
        <v>16665599.036549009</v>
      </c>
      <c r="F563" s="350">
        <v>22022586.468451165</v>
      </c>
      <c r="G563" s="350">
        <v>27420533.906105906</v>
      </c>
      <c r="H563" s="348">
        <v>83528930.71806708</v>
      </c>
      <c r="I563" s="369"/>
      <c r="J563" s="350">
        <v>7176780.0484163044</v>
      </c>
      <c r="K563" s="350">
        <v>14613623.669486796</v>
      </c>
      <c r="L563" s="350">
        <v>21887860.865865957</v>
      </c>
      <c r="M563" s="350">
        <v>28994499.333975591</v>
      </c>
      <c r="N563" s="350">
        <v>35930575.770962767</v>
      </c>
      <c r="O563" s="348">
        <v>108603339.68870741</v>
      </c>
      <c r="P563" s="369"/>
      <c r="Q563" s="350">
        <f t="shared" si="237"/>
        <v>1105272.8424416361</v>
      </c>
      <c r="R563" s="350">
        <f t="shared" si="238"/>
        <v>3264919.5685004722</v>
      </c>
      <c r="S563" s="350">
        <f t="shared" si="239"/>
        <v>5222261.8293169476</v>
      </c>
      <c r="T563" s="350">
        <f t="shared" si="240"/>
        <v>6971912.8655244261</v>
      </c>
      <c r="U563" s="350">
        <f t="shared" si="241"/>
        <v>8510041.8648568615</v>
      </c>
      <c r="V563" s="350">
        <f t="shared" si="242"/>
        <v>25074408.970640332</v>
      </c>
      <c r="W563" s="365"/>
      <c r="X563" s="377">
        <f t="shared" si="220"/>
        <v>0</v>
      </c>
      <c r="Y563" s="377">
        <f t="shared" si="221"/>
        <v>0</v>
      </c>
      <c r="Z563" s="377">
        <f t="shared" si="222"/>
        <v>0</v>
      </c>
      <c r="AA563" s="377">
        <f t="shared" si="223"/>
        <v>0</v>
      </c>
      <c r="AB563" s="377">
        <f t="shared" si="224"/>
        <v>0</v>
      </c>
      <c r="AC563" s="377">
        <f t="shared" si="225"/>
        <v>0</v>
      </c>
      <c r="AD563" s="376"/>
      <c r="AE563" s="332">
        <v>548</v>
      </c>
      <c r="AF563" s="350">
        <v>6736757.7848574556</v>
      </c>
      <c r="AG563" s="350">
        <v>13526420.491140975</v>
      </c>
      <c r="AH563" s="350">
        <v>20367467.727789257</v>
      </c>
      <c r="AI563" s="350">
        <v>27260126.324419968</v>
      </c>
      <c r="AJ563" s="350">
        <v>34205390.29933244</v>
      </c>
      <c r="AK563" s="348">
        <v>102096162.62754008</v>
      </c>
      <c r="AL563" s="369"/>
      <c r="AM563" s="350">
        <v>7895206.0470937788</v>
      </c>
      <c r="AN563" s="350">
        <v>16945195.958502378</v>
      </c>
      <c r="AO563" s="350">
        <v>25744163.877245329</v>
      </c>
      <c r="AP563" s="350">
        <v>34286729.891590975</v>
      </c>
      <c r="AQ563" s="350">
        <v>42569992.753592387</v>
      </c>
      <c r="AR563" s="348">
        <v>127441288.52802484</v>
      </c>
      <c r="AS563" s="369"/>
      <c r="AT563" s="350">
        <f t="shared" si="243"/>
        <v>1158448.2622363232</v>
      </c>
      <c r="AU563" s="350">
        <f t="shared" si="226"/>
        <v>3418775.4673614036</v>
      </c>
      <c r="AV563" s="350">
        <f t="shared" si="227"/>
        <v>5376696.1494560726</v>
      </c>
      <c r="AW563" s="350">
        <f t="shared" si="228"/>
        <v>7026603.5671710074</v>
      </c>
      <c r="AX563" s="350">
        <f t="shared" si="229"/>
        <v>8364602.4542599469</v>
      </c>
      <c r="AY563" s="350">
        <f t="shared" si="230"/>
        <v>25345125.900484756</v>
      </c>
      <c r="AZ563" s="365"/>
      <c r="BA563" s="377">
        <f t="shared" si="231"/>
        <v>0</v>
      </c>
      <c r="BB563" s="377">
        <f t="shared" si="232"/>
        <v>0</v>
      </c>
      <c r="BC563" s="377">
        <f t="shared" si="233"/>
        <v>0</v>
      </c>
      <c r="BD563" s="377">
        <f t="shared" si="234"/>
        <v>0</v>
      </c>
      <c r="BE563" s="377">
        <f t="shared" si="235"/>
        <v>0</v>
      </c>
      <c r="BF563" s="377">
        <f t="shared" si="236"/>
        <v>0</v>
      </c>
      <c r="BG563" s="328"/>
    </row>
    <row r="564" spans="2:59">
      <c r="B564" s="332">
        <v>549</v>
      </c>
      <c r="C564" s="350">
        <v>6530157.6465026829</v>
      </c>
      <c r="D564" s="350">
        <v>12314881.309672661</v>
      </c>
      <c r="E564" s="350">
        <v>18143156.911724873</v>
      </c>
      <c r="F564" s="350">
        <v>24015384.133603666</v>
      </c>
      <c r="G564" s="350">
        <v>29932499.683665588</v>
      </c>
      <c r="H564" s="348">
        <v>90936079.685169473</v>
      </c>
      <c r="I564" s="369"/>
      <c r="J564" s="350">
        <v>7425134.2827110384</v>
      </c>
      <c r="K564" s="350">
        <v>14954856.583245415</v>
      </c>
      <c r="L564" s="350">
        <v>22297565.256601013</v>
      </c>
      <c r="M564" s="350">
        <v>29447801.25163075</v>
      </c>
      <c r="N564" s="350">
        <v>36401936.625337943</v>
      </c>
      <c r="O564" s="348">
        <v>110527293.99952616</v>
      </c>
      <c r="P564" s="369"/>
      <c r="Q564" s="350">
        <f t="shared" si="237"/>
        <v>894976.63620835543</v>
      </c>
      <c r="R564" s="350">
        <f t="shared" si="238"/>
        <v>2639975.2735727541</v>
      </c>
      <c r="S564" s="350">
        <f t="shared" si="239"/>
        <v>4154408.3448761404</v>
      </c>
      <c r="T564" s="350">
        <f t="shared" si="240"/>
        <v>5432417.1180270836</v>
      </c>
      <c r="U564" s="350">
        <f t="shared" si="241"/>
        <v>6469436.9416723549</v>
      </c>
      <c r="V564" s="350">
        <f t="shared" si="242"/>
        <v>19591214.314356685</v>
      </c>
      <c r="W564" s="365"/>
      <c r="X564" s="377">
        <f t="shared" si="220"/>
        <v>0</v>
      </c>
      <c r="Y564" s="377">
        <f t="shared" si="221"/>
        <v>0</v>
      </c>
      <c r="Z564" s="377">
        <f t="shared" si="222"/>
        <v>0</v>
      </c>
      <c r="AA564" s="377">
        <f t="shared" si="223"/>
        <v>0</v>
      </c>
      <c r="AB564" s="377">
        <f t="shared" si="224"/>
        <v>0</v>
      </c>
      <c r="AC564" s="377">
        <f t="shared" si="225"/>
        <v>0</v>
      </c>
      <c r="AD564" s="376"/>
      <c r="AE564" s="332">
        <v>549</v>
      </c>
      <c r="AF564" s="350">
        <v>5313841.4868854377</v>
      </c>
      <c r="AG564" s="350">
        <v>10669413.487960674</v>
      </c>
      <c r="AH564" s="350">
        <v>16065516.744271202</v>
      </c>
      <c r="AI564" s="350">
        <v>21502330.175212868</v>
      </c>
      <c r="AJ564" s="350">
        <v>26980637.845738932</v>
      </c>
      <c r="AK564" s="348">
        <v>80531739.740069121</v>
      </c>
      <c r="AL564" s="369"/>
      <c r="AM564" s="350">
        <v>6431004.1688131811</v>
      </c>
      <c r="AN564" s="350">
        <v>13969305.338583317</v>
      </c>
      <c r="AO564" s="350">
        <v>21315696.411341719</v>
      </c>
      <c r="AP564" s="350">
        <v>28465876.274461292</v>
      </c>
      <c r="AQ564" s="350">
        <v>35417762.466874957</v>
      </c>
      <c r="AR564" s="348">
        <v>105599644.66007447</v>
      </c>
      <c r="AS564" s="369"/>
      <c r="AT564" s="350">
        <f t="shared" si="243"/>
        <v>1117162.6819277434</v>
      </c>
      <c r="AU564" s="350">
        <f t="shared" si="226"/>
        <v>3299891.8506226428</v>
      </c>
      <c r="AV564" s="350">
        <f t="shared" si="227"/>
        <v>5250179.6670705173</v>
      </c>
      <c r="AW564" s="350">
        <f t="shared" si="228"/>
        <v>6963546.0992484242</v>
      </c>
      <c r="AX564" s="350">
        <f t="shared" si="229"/>
        <v>8437124.6211360246</v>
      </c>
      <c r="AY564" s="350">
        <f t="shared" si="230"/>
        <v>25067904.920005351</v>
      </c>
      <c r="AZ564" s="365"/>
      <c r="BA564" s="377">
        <f t="shared" si="231"/>
        <v>0</v>
      </c>
      <c r="BB564" s="377">
        <f t="shared" si="232"/>
        <v>0</v>
      </c>
      <c r="BC564" s="377">
        <f t="shared" si="233"/>
        <v>0</v>
      </c>
      <c r="BD564" s="377">
        <f t="shared" si="234"/>
        <v>0</v>
      </c>
      <c r="BE564" s="377">
        <f t="shared" si="235"/>
        <v>0</v>
      </c>
      <c r="BF564" s="377">
        <f t="shared" si="236"/>
        <v>0</v>
      </c>
      <c r="BG564" s="328"/>
    </row>
    <row r="565" spans="2:59">
      <c r="B565" s="332">
        <v>550</v>
      </c>
      <c r="C565" s="350">
        <v>6338630.8703936841</v>
      </c>
      <c r="D565" s="350">
        <v>11880947.653276484</v>
      </c>
      <c r="E565" s="350">
        <v>17464967.748767365</v>
      </c>
      <c r="F565" s="350">
        <v>23091095.532487549</v>
      </c>
      <c r="G565" s="350">
        <v>28760237.790230155</v>
      </c>
      <c r="H565" s="348">
        <v>87535879.595155239</v>
      </c>
      <c r="I565" s="369"/>
      <c r="J565" s="350">
        <v>7189274.4445410976</v>
      </c>
      <c r="K565" s="350">
        <v>14390039.584817261</v>
      </c>
      <c r="L565" s="350">
        <v>21404759.515052877</v>
      </c>
      <c r="M565" s="350">
        <v>28228490.31344955</v>
      </c>
      <c r="N565" s="350">
        <v>34858031.735191084</v>
      </c>
      <c r="O565" s="348">
        <v>106070595.59305188</v>
      </c>
      <c r="P565" s="369"/>
      <c r="Q565" s="350">
        <f t="shared" si="237"/>
        <v>850643.57414741348</v>
      </c>
      <c r="R565" s="350">
        <f t="shared" si="238"/>
        <v>2509091.931540776</v>
      </c>
      <c r="S565" s="350">
        <f t="shared" si="239"/>
        <v>3939791.7662855126</v>
      </c>
      <c r="T565" s="350">
        <f t="shared" si="240"/>
        <v>5137394.7809620015</v>
      </c>
      <c r="U565" s="350">
        <f t="shared" si="241"/>
        <v>6097793.9449609295</v>
      </c>
      <c r="V565" s="350">
        <f t="shared" si="242"/>
        <v>18534715.997896641</v>
      </c>
      <c r="W565" s="365"/>
      <c r="X565" s="377">
        <f t="shared" si="220"/>
        <v>0</v>
      </c>
      <c r="Y565" s="377">
        <f t="shared" si="221"/>
        <v>0</v>
      </c>
      <c r="Z565" s="377">
        <f t="shared" si="222"/>
        <v>0</v>
      </c>
      <c r="AA565" s="377">
        <f t="shared" si="223"/>
        <v>0</v>
      </c>
      <c r="AB565" s="377">
        <f t="shared" si="224"/>
        <v>0</v>
      </c>
      <c r="AC565" s="377">
        <f t="shared" si="225"/>
        <v>0</v>
      </c>
      <c r="AD565" s="376"/>
      <c r="AE565" s="332">
        <v>550</v>
      </c>
      <c r="AF565" s="350">
        <v>6229332.0322165014</v>
      </c>
      <c r="AG565" s="350">
        <v>12507584.083858673</v>
      </c>
      <c r="AH565" s="350">
        <v>18833350.282689139</v>
      </c>
      <c r="AI565" s="350">
        <v>25206840.373075791</v>
      </c>
      <c r="AJ565" s="350">
        <v>31628973.501918424</v>
      </c>
      <c r="AK565" s="348">
        <v>94406080.273758531</v>
      </c>
      <c r="AL565" s="369"/>
      <c r="AM565" s="350">
        <v>7497073.8172695097</v>
      </c>
      <c r="AN565" s="350">
        <v>16251760.609701155</v>
      </c>
      <c r="AO565" s="350">
        <v>24780219.61391142</v>
      </c>
      <c r="AP565" s="350">
        <v>33077420.551965386</v>
      </c>
      <c r="AQ565" s="350">
        <v>41140879.762759179</v>
      </c>
      <c r="AR565" s="348">
        <v>122747354.35560665</v>
      </c>
      <c r="AS565" s="369"/>
      <c r="AT565" s="350">
        <f t="shared" si="243"/>
        <v>1267741.7850530082</v>
      </c>
      <c r="AU565" s="350">
        <f t="shared" si="226"/>
        <v>3744176.5258424822</v>
      </c>
      <c r="AV565" s="350">
        <f t="shared" si="227"/>
        <v>5946869.3312222809</v>
      </c>
      <c r="AW565" s="350">
        <f t="shared" si="228"/>
        <v>7870580.178889595</v>
      </c>
      <c r="AX565" s="350">
        <f t="shared" si="229"/>
        <v>9511906.260840755</v>
      </c>
      <c r="AY565" s="350">
        <f t="shared" si="230"/>
        <v>28341274.081848115</v>
      </c>
      <c r="AZ565" s="365"/>
      <c r="BA565" s="377">
        <f t="shared" si="231"/>
        <v>0</v>
      </c>
      <c r="BB565" s="377">
        <f t="shared" si="232"/>
        <v>0</v>
      </c>
      <c r="BC565" s="377">
        <f t="shared" si="233"/>
        <v>0</v>
      </c>
      <c r="BD565" s="377">
        <f t="shared" si="234"/>
        <v>0</v>
      </c>
      <c r="BE565" s="377">
        <f t="shared" si="235"/>
        <v>0</v>
      </c>
      <c r="BF565" s="377">
        <f t="shared" si="236"/>
        <v>0</v>
      </c>
      <c r="BG565" s="328"/>
    </row>
    <row r="566" spans="2:59">
      <c r="B566" s="332">
        <v>551</v>
      </c>
      <c r="C566" s="350">
        <v>6920452.9677600488</v>
      </c>
      <c r="D566" s="350">
        <v>12901742.287363544</v>
      </c>
      <c r="E566" s="350">
        <v>18928015.055312004</v>
      </c>
      <c r="F566" s="350">
        <v>24999728.507754534</v>
      </c>
      <c r="G566" s="350">
        <v>31117870.315518219</v>
      </c>
      <c r="H566" s="348">
        <v>94867809.133708343</v>
      </c>
      <c r="I566" s="369"/>
      <c r="J566" s="350">
        <v>8079375.6835594345</v>
      </c>
      <c r="K566" s="350">
        <v>16324054.945637731</v>
      </c>
      <c r="L566" s="350">
        <v>24383049.757386222</v>
      </c>
      <c r="M566" s="350">
        <v>32250696.702880941</v>
      </c>
      <c r="N566" s="350">
        <v>39923502.829302832</v>
      </c>
      <c r="O566" s="348">
        <v>120960679.91876717</v>
      </c>
      <c r="P566" s="369"/>
      <c r="Q566" s="350">
        <f t="shared" si="237"/>
        <v>1158922.7157993857</v>
      </c>
      <c r="R566" s="350">
        <f t="shared" si="238"/>
        <v>3422312.6582741868</v>
      </c>
      <c r="S566" s="350">
        <f t="shared" si="239"/>
        <v>5455034.7020742185</v>
      </c>
      <c r="T566" s="350">
        <f t="shared" si="240"/>
        <v>7250968.1951264068</v>
      </c>
      <c r="U566" s="350">
        <f t="shared" si="241"/>
        <v>8805632.5137846135</v>
      </c>
      <c r="V566" s="350">
        <f t="shared" si="242"/>
        <v>26092870.785058826</v>
      </c>
      <c r="W566" s="365"/>
      <c r="X566" s="377">
        <f t="shared" si="220"/>
        <v>0</v>
      </c>
      <c r="Y566" s="377">
        <f t="shared" si="221"/>
        <v>0</v>
      </c>
      <c r="Z566" s="377">
        <f t="shared" si="222"/>
        <v>0</v>
      </c>
      <c r="AA566" s="377">
        <f t="shared" si="223"/>
        <v>0</v>
      </c>
      <c r="AB566" s="377">
        <f t="shared" si="224"/>
        <v>0</v>
      </c>
      <c r="AC566" s="377">
        <f t="shared" si="225"/>
        <v>0</v>
      </c>
      <c r="AD566" s="376"/>
      <c r="AE566" s="332">
        <v>551</v>
      </c>
      <c r="AF566" s="350">
        <v>7798159.9483367261</v>
      </c>
      <c r="AG566" s="350">
        <v>15657560.192452226</v>
      </c>
      <c r="AH566" s="350">
        <v>23576440.797811419</v>
      </c>
      <c r="AI566" s="350">
        <v>31555064.331912808</v>
      </c>
      <c r="AJ566" s="350">
        <v>39594581.424471356</v>
      </c>
      <c r="AK566" s="348">
        <v>118181806.69498453</v>
      </c>
      <c r="AL566" s="369"/>
      <c r="AM566" s="350">
        <v>9105163.2975652032</v>
      </c>
      <c r="AN566" s="350">
        <v>19514252.918499473</v>
      </c>
      <c r="AO566" s="350">
        <v>29631753.864309836</v>
      </c>
      <c r="AP566" s="350">
        <v>39451448.2033972</v>
      </c>
      <c r="AQ566" s="350">
        <v>48969943.188555449</v>
      </c>
      <c r="AR566" s="348">
        <v>146672561.47232717</v>
      </c>
      <c r="AS566" s="369"/>
      <c r="AT566" s="350">
        <f t="shared" si="243"/>
        <v>1307003.3492284771</v>
      </c>
      <c r="AU566" s="350">
        <f t="shared" si="226"/>
        <v>3856692.7260472476</v>
      </c>
      <c r="AV566" s="350">
        <f t="shared" si="227"/>
        <v>6055313.0664984174</v>
      </c>
      <c r="AW566" s="350">
        <f t="shared" si="228"/>
        <v>7896383.8714843914</v>
      </c>
      <c r="AX566" s="350">
        <f t="shared" si="229"/>
        <v>9375361.7640840933</v>
      </c>
      <c r="AY566" s="350">
        <f t="shared" si="230"/>
        <v>28490754.777342647</v>
      </c>
      <c r="AZ566" s="365"/>
      <c r="BA566" s="377">
        <f t="shared" si="231"/>
        <v>0</v>
      </c>
      <c r="BB566" s="377">
        <f t="shared" si="232"/>
        <v>0</v>
      </c>
      <c r="BC566" s="377">
        <f t="shared" si="233"/>
        <v>0</v>
      </c>
      <c r="BD566" s="377">
        <f t="shared" si="234"/>
        <v>0</v>
      </c>
      <c r="BE566" s="377">
        <f t="shared" si="235"/>
        <v>0</v>
      </c>
      <c r="BF566" s="377">
        <f t="shared" si="236"/>
        <v>0</v>
      </c>
      <c r="BG566" s="328"/>
    </row>
    <row r="567" spans="2:59">
      <c r="B567" s="332">
        <v>552</v>
      </c>
      <c r="C567" s="350">
        <v>8229376.8406830095</v>
      </c>
      <c r="D567" s="350">
        <v>15465268.459297799</v>
      </c>
      <c r="E567" s="350">
        <v>22755620.004616592</v>
      </c>
      <c r="F567" s="350">
        <v>30100947.364318088</v>
      </c>
      <c r="G567" s="350">
        <v>37502429.167692348</v>
      </c>
      <c r="H567" s="348">
        <v>114053641.83660783</v>
      </c>
      <c r="I567" s="369"/>
      <c r="J567" s="350">
        <v>9213108.4485072382</v>
      </c>
      <c r="K567" s="350">
        <v>18364907.524311725</v>
      </c>
      <c r="L567" s="350">
        <v>27276542.276592299</v>
      </c>
      <c r="M567" s="350">
        <v>35941343.053171054</v>
      </c>
      <c r="N567" s="350">
        <v>44354749.419956803</v>
      </c>
      <c r="O567" s="348">
        <v>135150650.72253913</v>
      </c>
      <c r="P567" s="369"/>
      <c r="Q567" s="350">
        <f t="shared" si="237"/>
        <v>983731.6078242287</v>
      </c>
      <c r="R567" s="350">
        <f t="shared" si="238"/>
        <v>2899639.0650139265</v>
      </c>
      <c r="S567" s="350">
        <f t="shared" si="239"/>
        <v>4520922.2719757073</v>
      </c>
      <c r="T567" s="350">
        <f t="shared" si="240"/>
        <v>5840395.6888529658</v>
      </c>
      <c r="U567" s="350">
        <f t="shared" si="241"/>
        <v>6852320.252264455</v>
      </c>
      <c r="V567" s="350">
        <f t="shared" si="242"/>
        <v>21097008.885931298</v>
      </c>
      <c r="W567" s="365"/>
      <c r="X567" s="377">
        <f t="shared" si="220"/>
        <v>0</v>
      </c>
      <c r="Y567" s="377">
        <f t="shared" si="221"/>
        <v>0</v>
      </c>
      <c r="Z567" s="377">
        <f t="shared" si="222"/>
        <v>0</v>
      </c>
      <c r="AA567" s="377">
        <f t="shared" si="223"/>
        <v>0</v>
      </c>
      <c r="AB567" s="377">
        <f t="shared" si="224"/>
        <v>0</v>
      </c>
      <c r="AC567" s="377">
        <f t="shared" si="225"/>
        <v>0</v>
      </c>
      <c r="AD567" s="376"/>
      <c r="AE567" s="332">
        <v>552</v>
      </c>
      <c r="AF567" s="350">
        <v>5383278.4726851732</v>
      </c>
      <c r="AG567" s="350">
        <v>10808832.76019216</v>
      </c>
      <c r="AH567" s="350">
        <v>16275447.932619695</v>
      </c>
      <c r="AI567" s="350">
        <v>21783305.247337684</v>
      </c>
      <c r="AJ567" s="350">
        <v>27333199.014826506</v>
      </c>
      <c r="AK567" s="348">
        <v>81584063.42766121</v>
      </c>
      <c r="AL567" s="369"/>
      <c r="AM567" s="350">
        <v>6397462.0755865742</v>
      </c>
      <c r="AN567" s="350">
        <v>13803145.310265843</v>
      </c>
      <c r="AO567" s="350">
        <v>21010889.245929848</v>
      </c>
      <c r="AP567" s="350">
        <v>28016369.821697865</v>
      </c>
      <c r="AQ567" s="350">
        <v>34817358.286386311</v>
      </c>
      <c r="AR567" s="348">
        <v>104045224.73986644</v>
      </c>
      <c r="AS567" s="369"/>
      <c r="AT567" s="350">
        <f t="shared" si="243"/>
        <v>1014183.602901401</v>
      </c>
      <c r="AU567" s="350">
        <f t="shared" si="226"/>
        <v>2994312.5500736833</v>
      </c>
      <c r="AV567" s="350">
        <f t="shared" si="227"/>
        <v>4735441.3133101538</v>
      </c>
      <c r="AW567" s="350">
        <f t="shared" si="228"/>
        <v>6233064.5743601806</v>
      </c>
      <c r="AX567" s="350">
        <f t="shared" si="229"/>
        <v>7484159.2715598047</v>
      </c>
      <c r="AY567" s="350">
        <f t="shared" si="230"/>
        <v>22461161.312205225</v>
      </c>
      <c r="AZ567" s="365"/>
      <c r="BA567" s="377">
        <f t="shared" si="231"/>
        <v>0</v>
      </c>
      <c r="BB567" s="377">
        <f t="shared" si="232"/>
        <v>0</v>
      </c>
      <c r="BC567" s="377">
        <f t="shared" si="233"/>
        <v>0</v>
      </c>
      <c r="BD567" s="377">
        <f t="shared" si="234"/>
        <v>0</v>
      </c>
      <c r="BE567" s="377">
        <f t="shared" si="235"/>
        <v>0</v>
      </c>
      <c r="BF567" s="377">
        <f t="shared" si="236"/>
        <v>0</v>
      </c>
      <c r="BG567" s="328"/>
    </row>
    <row r="568" spans="2:59">
      <c r="B568" s="332">
        <v>553</v>
      </c>
      <c r="C568" s="350">
        <v>3391562.8604674684</v>
      </c>
      <c r="D568" s="350">
        <v>6340179.4150493033</v>
      </c>
      <c r="E568" s="350">
        <v>9310977.3708953653</v>
      </c>
      <c r="F568" s="350">
        <v>12304176.901189454</v>
      </c>
      <c r="G568" s="350">
        <v>15320262.624914438</v>
      </c>
      <c r="H568" s="348">
        <v>46667159.172516026</v>
      </c>
      <c r="I568" s="369"/>
      <c r="J568" s="350">
        <v>3910081.3816317469</v>
      </c>
      <c r="K568" s="350">
        <v>7870698.9797604671</v>
      </c>
      <c r="L568" s="350">
        <v>11738061.829354133</v>
      </c>
      <c r="M568" s="350">
        <v>15509391.857557548</v>
      </c>
      <c r="N568" s="350">
        <v>19182915.714641761</v>
      </c>
      <c r="O568" s="348">
        <v>58211149.762945652</v>
      </c>
      <c r="P568" s="369"/>
      <c r="Q568" s="350">
        <f t="shared" si="237"/>
        <v>518518.5211642785</v>
      </c>
      <c r="R568" s="350">
        <f t="shared" si="238"/>
        <v>1530519.5647111638</v>
      </c>
      <c r="S568" s="350">
        <f t="shared" si="239"/>
        <v>2427084.4584587682</v>
      </c>
      <c r="T568" s="350">
        <f t="shared" si="240"/>
        <v>3205214.9563680943</v>
      </c>
      <c r="U568" s="350">
        <f t="shared" si="241"/>
        <v>3862653.0897273235</v>
      </c>
      <c r="V568" s="350">
        <f t="shared" si="242"/>
        <v>11543990.590429626</v>
      </c>
      <c r="W568" s="365"/>
      <c r="X568" s="377">
        <f t="shared" si="220"/>
        <v>0</v>
      </c>
      <c r="Y568" s="377">
        <f t="shared" si="221"/>
        <v>0</v>
      </c>
      <c r="Z568" s="377">
        <f t="shared" si="222"/>
        <v>0</v>
      </c>
      <c r="AA568" s="377">
        <f t="shared" si="223"/>
        <v>0</v>
      </c>
      <c r="AB568" s="377">
        <f t="shared" si="224"/>
        <v>0</v>
      </c>
      <c r="AC568" s="377">
        <f t="shared" si="225"/>
        <v>0</v>
      </c>
      <c r="AD568" s="376"/>
      <c r="AE568" s="332">
        <v>553</v>
      </c>
      <c r="AF568" s="350">
        <v>6216890.0753599806</v>
      </c>
      <c r="AG568" s="350">
        <v>12482602.461311366</v>
      </c>
      <c r="AH568" s="350">
        <v>18795734.093590677</v>
      </c>
      <c r="AI568" s="350">
        <v>25156494.297639605</v>
      </c>
      <c r="AJ568" s="350">
        <v>31565800.384529322</v>
      </c>
      <c r="AK568" s="348">
        <v>94217521.312430948</v>
      </c>
      <c r="AL568" s="369"/>
      <c r="AM568" s="350">
        <v>7157653.8381361943</v>
      </c>
      <c r="AN568" s="350">
        <v>15257089.296660384</v>
      </c>
      <c r="AO568" s="350">
        <v>23121031.557596296</v>
      </c>
      <c r="AP568" s="350">
        <v>30744552.155419953</v>
      </c>
      <c r="AQ568" s="350">
        <v>38124843.802013308</v>
      </c>
      <c r="AR568" s="348">
        <v>114405170.64982614</v>
      </c>
      <c r="AS568" s="369"/>
      <c r="AT568" s="350">
        <f t="shared" si="243"/>
        <v>940763.7627762137</v>
      </c>
      <c r="AU568" s="350">
        <f t="shared" si="226"/>
        <v>2774486.8353490178</v>
      </c>
      <c r="AV568" s="350">
        <f t="shared" si="227"/>
        <v>4325297.4640056193</v>
      </c>
      <c r="AW568" s="350">
        <f t="shared" si="228"/>
        <v>5588057.8577803485</v>
      </c>
      <c r="AX568" s="350">
        <f t="shared" si="229"/>
        <v>6559043.4174839854</v>
      </c>
      <c r="AY568" s="350">
        <f t="shared" si="230"/>
        <v>20187649.337395191</v>
      </c>
      <c r="AZ568" s="365"/>
      <c r="BA568" s="377">
        <f t="shared" si="231"/>
        <v>0</v>
      </c>
      <c r="BB568" s="377">
        <f t="shared" si="232"/>
        <v>0</v>
      </c>
      <c r="BC568" s="377">
        <f t="shared" si="233"/>
        <v>0</v>
      </c>
      <c r="BD568" s="377">
        <f t="shared" si="234"/>
        <v>0</v>
      </c>
      <c r="BE568" s="377">
        <f t="shared" si="235"/>
        <v>0</v>
      </c>
      <c r="BF568" s="377">
        <f t="shared" si="236"/>
        <v>0</v>
      </c>
      <c r="BG568" s="328"/>
    </row>
    <row r="569" spans="2:59">
      <c r="B569" s="332">
        <v>554</v>
      </c>
      <c r="C569" s="350">
        <v>6137152.7333954629</v>
      </c>
      <c r="D569" s="350">
        <v>11539228.939310996</v>
      </c>
      <c r="E569" s="350">
        <v>16981965.020776037</v>
      </c>
      <c r="F569" s="350">
        <v>22465744.392011728</v>
      </c>
      <c r="G569" s="350">
        <v>27991446.2255929</v>
      </c>
      <c r="H569" s="348">
        <v>85115537.311087117</v>
      </c>
      <c r="I569" s="369"/>
      <c r="J569" s="350">
        <v>7146452.0847291835</v>
      </c>
      <c r="K569" s="350">
        <v>14519209.086031407</v>
      </c>
      <c r="L569" s="350">
        <v>21722579.564841256</v>
      </c>
      <c r="M569" s="350">
        <v>28751436.458987586</v>
      </c>
      <c r="N569" s="350">
        <v>35602581.865448236</v>
      </c>
      <c r="O569" s="348">
        <v>107742259.06003767</v>
      </c>
      <c r="P569" s="369"/>
      <c r="Q569" s="350">
        <f t="shared" si="237"/>
        <v>1009299.3513337206</v>
      </c>
      <c r="R569" s="350">
        <f t="shared" si="238"/>
        <v>2979980.1467204113</v>
      </c>
      <c r="S569" s="350">
        <f t="shared" si="239"/>
        <v>4740614.5440652184</v>
      </c>
      <c r="T569" s="350">
        <f t="shared" si="240"/>
        <v>6285692.0669758581</v>
      </c>
      <c r="U569" s="350">
        <f t="shared" si="241"/>
        <v>7611135.6398553364</v>
      </c>
      <c r="V569" s="350">
        <f t="shared" si="242"/>
        <v>22626721.748950556</v>
      </c>
      <c r="W569" s="365"/>
      <c r="X569" s="377">
        <f t="shared" si="220"/>
        <v>0</v>
      </c>
      <c r="Y569" s="377">
        <f t="shared" si="221"/>
        <v>0</v>
      </c>
      <c r="Z569" s="377">
        <f t="shared" si="222"/>
        <v>0</v>
      </c>
      <c r="AA569" s="377">
        <f t="shared" si="223"/>
        <v>0</v>
      </c>
      <c r="AB569" s="377">
        <f t="shared" si="224"/>
        <v>0</v>
      </c>
      <c r="AC569" s="377">
        <f t="shared" si="225"/>
        <v>0</v>
      </c>
      <c r="AD569" s="376"/>
      <c r="AE569" s="332">
        <v>554</v>
      </c>
      <c r="AF569" s="350">
        <v>5483392.6880872194</v>
      </c>
      <c r="AG569" s="350">
        <v>11009847.405206203</v>
      </c>
      <c r="AH569" s="350">
        <v>16578126.627091601</v>
      </c>
      <c r="AI569" s="350">
        <v>22188414.982003275</v>
      </c>
      <c r="AJ569" s="350">
        <v>27841521.552418061</v>
      </c>
      <c r="AK569" s="348">
        <v>83101303.25480637</v>
      </c>
      <c r="AL569" s="369"/>
      <c r="AM569" s="350">
        <v>6738371.0152775012</v>
      </c>
      <c r="AN569" s="350">
        <v>14718036.111439673</v>
      </c>
      <c r="AO569" s="350">
        <v>22502727.764528539</v>
      </c>
      <c r="AP569" s="350">
        <v>30087978.72691007</v>
      </c>
      <c r="AQ569" s="350">
        <v>37471743.565541394</v>
      </c>
      <c r="AR569" s="348">
        <v>111518857.18369716</v>
      </c>
      <c r="AS569" s="369"/>
      <c r="AT569" s="350">
        <f t="shared" si="243"/>
        <v>1254978.3271902818</v>
      </c>
      <c r="AU569" s="350">
        <f t="shared" si="226"/>
        <v>3708188.7062334698</v>
      </c>
      <c r="AV569" s="350">
        <f t="shared" si="227"/>
        <v>5924601.1374369375</v>
      </c>
      <c r="AW569" s="350">
        <f t="shared" si="228"/>
        <v>7899563.7449067943</v>
      </c>
      <c r="AX569" s="350">
        <f t="shared" si="229"/>
        <v>9630222.0131233335</v>
      </c>
      <c r="AY569" s="350">
        <f t="shared" si="230"/>
        <v>28417553.928890795</v>
      </c>
      <c r="AZ569" s="365"/>
      <c r="BA569" s="377">
        <f t="shared" si="231"/>
        <v>0</v>
      </c>
      <c r="BB569" s="377">
        <f t="shared" si="232"/>
        <v>0</v>
      </c>
      <c r="BC569" s="377">
        <f t="shared" si="233"/>
        <v>0</v>
      </c>
      <c r="BD569" s="377">
        <f t="shared" si="234"/>
        <v>0</v>
      </c>
      <c r="BE569" s="377">
        <f t="shared" si="235"/>
        <v>0</v>
      </c>
      <c r="BF569" s="377">
        <f t="shared" si="236"/>
        <v>0</v>
      </c>
      <c r="BG569" s="328"/>
    </row>
    <row r="570" spans="2:59">
      <c r="B570" s="332">
        <v>555</v>
      </c>
      <c r="C570" s="350">
        <v>8527921.0972349718</v>
      </c>
      <c r="D570" s="350">
        <v>16158517.876676552</v>
      </c>
      <c r="E570" s="350">
        <v>23846588.481425285</v>
      </c>
      <c r="F570" s="350">
        <v>31592637.678244509</v>
      </c>
      <c r="G570" s="350">
        <v>39397891.305897892</v>
      </c>
      <c r="H570" s="348">
        <v>119523556.4394792</v>
      </c>
      <c r="I570" s="369"/>
      <c r="J570" s="350">
        <v>9532358.7969727293</v>
      </c>
      <c r="K570" s="350">
        <v>19118587.015250124</v>
      </c>
      <c r="L570" s="350">
        <v>28448815.803567648</v>
      </c>
      <c r="M570" s="350">
        <v>37516047.030670598</v>
      </c>
      <c r="N570" s="350">
        <v>46315488.993356228</v>
      </c>
      <c r="O570" s="348">
        <v>140931297.63981733</v>
      </c>
      <c r="P570" s="369"/>
      <c r="Q570" s="350">
        <f t="shared" si="237"/>
        <v>1004437.6997377574</v>
      </c>
      <c r="R570" s="350">
        <f t="shared" si="238"/>
        <v>2960069.138573572</v>
      </c>
      <c r="S570" s="350">
        <f t="shared" si="239"/>
        <v>4602227.3221423626</v>
      </c>
      <c r="T570" s="350">
        <f t="shared" si="240"/>
        <v>5923409.3524260893</v>
      </c>
      <c r="U570" s="350">
        <f t="shared" si="241"/>
        <v>6917597.6874583364</v>
      </c>
      <c r="V570" s="350">
        <f t="shared" si="242"/>
        <v>21407741.200338125</v>
      </c>
      <c r="W570" s="365"/>
      <c r="X570" s="377">
        <f t="shared" si="220"/>
        <v>0</v>
      </c>
      <c r="Y570" s="377">
        <f t="shared" si="221"/>
        <v>0</v>
      </c>
      <c r="Z570" s="377">
        <f t="shared" si="222"/>
        <v>0</v>
      </c>
      <c r="AA570" s="377">
        <f t="shared" si="223"/>
        <v>0</v>
      </c>
      <c r="AB570" s="377">
        <f t="shared" si="224"/>
        <v>0</v>
      </c>
      <c r="AC570" s="377">
        <f t="shared" si="225"/>
        <v>0</v>
      </c>
      <c r="AD570" s="376"/>
      <c r="AE570" s="332">
        <v>555</v>
      </c>
      <c r="AF570" s="350">
        <v>5764150.4180409452</v>
      </c>
      <c r="AG570" s="350">
        <v>11573567.704016479</v>
      </c>
      <c r="AH570" s="350">
        <v>17426950.970607884</v>
      </c>
      <c r="AI570" s="350">
        <v>23324494.299312122</v>
      </c>
      <c r="AJ570" s="350">
        <v>29267048.198812835</v>
      </c>
      <c r="AK570" s="348">
        <v>87356211.590790272</v>
      </c>
      <c r="AL570" s="369"/>
      <c r="AM570" s="350">
        <v>7093613.9896216635</v>
      </c>
      <c r="AN570" s="350">
        <v>15501955.877832621</v>
      </c>
      <c r="AO570" s="350">
        <v>23705647.744689092</v>
      </c>
      <c r="AP570" s="350">
        <v>31699990.719936721</v>
      </c>
      <c r="AQ570" s="350">
        <v>39482845.000457913</v>
      </c>
      <c r="AR570" s="348">
        <v>117484053.33253801</v>
      </c>
      <c r="AS570" s="369"/>
      <c r="AT570" s="350">
        <f t="shared" si="243"/>
        <v>1329463.5715807183</v>
      </c>
      <c r="AU570" s="350">
        <f t="shared" si="226"/>
        <v>3928388.1738161426</v>
      </c>
      <c r="AV570" s="350">
        <f t="shared" si="227"/>
        <v>6278696.7740812078</v>
      </c>
      <c r="AW570" s="350">
        <f t="shared" si="228"/>
        <v>8375496.4206245989</v>
      </c>
      <c r="AX570" s="350">
        <f t="shared" si="229"/>
        <v>10215796.801645078</v>
      </c>
      <c r="AY570" s="350">
        <f t="shared" si="230"/>
        <v>30127841.741747737</v>
      </c>
      <c r="AZ570" s="365"/>
      <c r="BA570" s="377">
        <f t="shared" si="231"/>
        <v>0</v>
      </c>
      <c r="BB570" s="377">
        <f t="shared" si="232"/>
        <v>0</v>
      </c>
      <c r="BC570" s="377">
        <f t="shared" si="233"/>
        <v>0</v>
      </c>
      <c r="BD570" s="377">
        <f t="shared" si="234"/>
        <v>0</v>
      </c>
      <c r="BE570" s="377">
        <f t="shared" si="235"/>
        <v>0</v>
      </c>
      <c r="BF570" s="377">
        <f t="shared" si="236"/>
        <v>0</v>
      </c>
      <c r="BG570" s="328"/>
    </row>
    <row r="571" spans="2:59">
      <c r="B571" s="332">
        <v>556</v>
      </c>
      <c r="C571" s="350">
        <v>12893451.313685372</v>
      </c>
      <c r="D571" s="350">
        <v>24601746.78218887</v>
      </c>
      <c r="E571" s="350">
        <v>36398284.47660929</v>
      </c>
      <c r="F571" s="350">
        <v>48283788.849802889</v>
      </c>
      <c r="G571" s="350">
        <v>60260119.035047263</v>
      </c>
      <c r="H571" s="348">
        <v>182437390.45733368</v>
      </c>
      <c r="I571" s="369"/>
      <c r="J571" s="350">
        <v>14705696.585233215</v>
      </c>
      <c r="K571" s="350">
        <v>29947469.453113846</v>
      </c>
      <c r="L571" s="350">
        <v>44793033.474351555</v>
      </c>
      <c r="M571" s="350">
        <v>59231965.804507427</v>
      </c>
      <c r="N571" s="350">
        <v>73257626.174709544</v>
      </c>
      <c r="O571" s="348">
        <v>221935791.49191558</v>
      </c>
      <c r="P571" s="369"/>
      <c r="Q571" s="350">
        <f t="shared" si="237"/>
        <v>1812245.2715478428</v>
      </c>
      <c r="R571" s="350">
        <f t="shared" si="238"/>
        <v>5345722.6709249765</v>
      </c>
      <c r="S571" s="350">
        <f t="shared" si="239"/>
        <v>8394748.9977422655</v>
      </c>
      <c r="T571" s="350">
        <f t="shared" si="240"/>
        <v>10948176.954704538</v>
      </c>
      <c r="U571" s="350">
        <f t="shared" si="241"/>
        <v>12997507.139662281</v>
      </c>
      <c r="V571" s="350">
        <f t="shared" si="242"/>
        <v>39498401.0345819</v>
      </c>
      <c r="W571" s="365"/>
      <c r="X571" s="377">
        <f t="shared" si="220"/>
        <v>0</v>
      </c>
      <c r="Y571" s="377">
        <f t="shared" si="221"/>
        <v>0</v>
      </c>
      <c r="Z571" s="377">
        <f t="shared" si="222"/>
        <v>0</v>
      </c>
      <c r="AA571" s="377">
        <f t="shared" si="223"/>
        <v>0</v>
      </c>
      <c r="AB571" s="377">
        <f t="shared" si="224"/>
        <v>0</v>
      </c>
      <c r="AC571" s="377">
        <f t="shared" si="225"/>
        <v>0</v>
      </c>
      <c r="AD571" s="376"/>
      <c r="AE571" s="332">
        <v>556</v>
      </c>
      <c r="AF571" s="350">
        <v>6953172.8687906805</v>
      </c>
      <c r="AG571" s="350">
        <v>13960950.204007637</v>
      </c>
      <c r="AH571" s="350">
        <v>21021762.772762436</v>
      </c>
      <c r="AI571" s="350">
        <v>28135844.691464454</v>
      </c>
      <c r="AJ571" s="350">
        <v>35304221.910769887</v>
      </c>
      <c r="AK571" s="348">
        <v>105375952.44779509</v>
      </c>
      <c r="AL571" s="369"/>
      <c r="AM571" s="350">
        <v>7768847.1668327814</v>
      </c>
      <c r="AN571" s="350">
        <v>16362617.713101722</v>
      </c>
      <c r="AO571" s="350">
        <v>24685921.529620562</v>
      </c>
      <c r="AP571" s="350">
        <v>32733313.352454856</v>
      </c>
      <c r="AQ571" s="350">
        <v>40501413.893147945</v>
      </c>
      <c r="AR571" s="348">
        <v>122052113.65515786</v>
      </c>
      <c r="AS571" s="369"/>
      <c r="AT571" s="350">
        <f t="shared" si="243"/>
        <v>815674.29804210085</v>
      </c>
      <c r="AU571" s="350">
        <f t="shared" si="226"/>
        <v>2401667.5090940855</v>
      </c>
      <c r="AV571" s="350">
        <f t="shared" si="227"/>
        <v>3664158.7568581253</v>
      </c>
      <c r="AW571" s="350">
        <f t="shared" si="228"/>
        <v>4597468.6609904021</v>
      </c>
      <c r="AX571" s="350">
        <f t="shared" si="229"/>
        <v>5197191.9823780581</v>
      </c>
      <c r="AY571" s="350">
        <f t="shared" si="230"/>
        <v>16676161.207362771</v>
      </c>
      <c r="AZ571" s="365"/>
      <c r="BA571" s="377">
        <f t="shared" si="231"/>
        <v>0</v>
      </c>
      <c r="BB571" s="377">
        <f t="shared" si="232"/>
        <v>0</v>
      </c>
      <c r="BC571" s="377">
        <f t="shared" si="233"/>
        <v>0</v>
      </c>
      <c r="BD571" s="377">
        <f t="shared" si="234"/>
        <v>0</v>
      </c>
      <c r="BE571" s="377">
        <f t="shared" si="235"/>
        <v>0</v>
      </c>
      <c r="BF571" s="377">
        <f t="shared" si="236"/>
        <v>0</v>
      </c>
      <c r="BG571" s="328"/>
    </row>
    <row r="572" spans="2:59">
      <c r="B572" s="332">
        <v>557</v>
      </c>
      <c r="C572" s="350">
        <v>10796372.270643532</v>
      </c>
      <c r="D572" s="350">
        <v>20270550.96823211</v>
      </c>
      <c r="E572" s="350">
        <v>29816029.600043841</v>
      </c>
      <c r="F572" s="350">
        <v>39433489.220075965</v>
      </c>
      <c r="G572" s="350">
        <v>49124475.474965721</v>
      </c>
      <c r="H572" s="348">
        <v>149440917.53396118</v>
      </c>
      <c r="I572" s="369"/>
      <c r="J572" s="350">
        <v>12194506.438340351</v>
      </c>
      <c r="K572" s="350">
        <v>24393631.750149053</v>
      </c>
      <c r="L572" s="350">
        <v>36274160.302552462</v>
      </c>
      <c r="M572" s="350">
        <v>47827592.000538453</v>
      </c>
      <c r="N572" s="350">
        <v>59048338.787032023</v>
      </c>
      <c r="O572" s="348">
        <v>179738229.27861235</v>
      </c>
      <c r="P572" s="369"/>
      <c r="Q572" s="350">
        <f t="shared" si="237"/>
        <v>1398134.1676968187</v>
      </c>
      <c r="R572" s="350">
        <f t="shared" si="238"/>
        <v>4123080.7819169424</v>
      </c>
      <c r="S572" s="350">
        <f t="shared" si="239"/>
        <v>6458130.7025086209</v>
      </c>
      <c r="T572" s="350">
        <f t="shared" si="240"/>
        <v>8394102.7804624885</v>
      </c>
      <c r="U572" s="350">
        <f t="shared" si="241"/>
        <v>9923863.3120663017</v>
      </c>
      <c r="V572" s="350">
        <f t="shared" si="242"/>
        <v>30297311.744651169</v>
      </c>
      <c r="W572" s="365"/>
      <c r="X572" s="377">
        <f t="shared" si="220"/>
        <v>0</v>
      </c>
      <c r="Y572" s="377">
        <f t="shared" si="221"/>
        <v>0</v>
      </c>
      <c r="Z572" s="377">
        <f t="shared" si="222"/>
        <v>0</v>
      </c>
      <c r="AA572" s="377">
        <f t="shared" si="223"/>
        <v>0</v>
      </c>
      <c r="AB572" s="377">
        <f t="shared" si="224"/>
        <v>0</v>
      </c>
      <c r="AC572" s="377">
        <f t="shared" si="225"/>
        <v>0</v>
      </c>
      <c r="AD572" s="376"/>
      <c r="AE572" s="332">
        <v>557</v>
      </c>
      <c r="AF572" s="350">
        <v>4751650.5389455138</v>
      </c>
      <c r="AG572" s="350">
        <v>9540616.6095510907</v>
      </c>
      <c r="AH572" s="350">
        <v>14365825.831417054</v>
      </c>
      <c r="AI572" s="350">
        <v>19227438.194721092</v>
      </c>
      <c r="AJ572" s="350">
        <v>24126154.81233361</v>
      </c>
      <c r="AK572" s="348">
        <v>72011685.986968368</v>
      </c>
      <c r="AL572" s="369"/>
      <c r="AM572" s="350">
        <v>5579515.8400078407</v>
      </c>
      <c r="AN572" s="350">
        <v>11983942.859480415</v>
      </c>
      <c r="AO572" s="350">
        <v>18211638.752476923</v>
      </c>
      <c r="AP572" s="350">
        <v>24258805.847846337</v>
      </c>
      <c r="AQ572" s="350">
        <v>30123408.714971121</v>
      </c>
      <c r="AR572" s="348">
        <v>90157312.014782637</v>
      </c>
      <c r="AS572" s="369"/>
      <c r="AT572" s="350">
        <f t="shared" si="243"/>
        <v>827865.30106232688</v>
      </c>
      <c r="AU572" s="350">
        <f t="shared" si="226"/>
        <v>2443326.2499293238</v>
      </c>
      <c r="AV572" s="350">
        <f t="shared" si="227"/>
        <v>3845812.9210598692</v>
      </c>
      <c r="AW572" s="350">
        <f t="shared" si="228"/>
        <v>5031367.6531252451</v>
      </c>
      <c r="AX572" s="350">
        <f t="shared" si="229"/>
        <v>5997253.9026375115</v>
      </c>
      <c r="AY572" s="350">
        <f t="shared" si="230"/>
        <v>18145626.027814269</v>
      </c>
      <c r="AZ572" s="365"/>
      <c r="BA572" s="377">
        <f t="shared" si="231"/>
        <v>0</v>
      </c>
      <c r="BB572" s="377">
        <f t="shared" si="232"/>
        <v>0</v>
      </c>
      <c r="BC572" s="377">
        <f t="shared" si="233"/>
        <v>0</v>
      </c>
      <c r="BD572" s="377">
        <f t="shared" si="234"/>
        <v>0</v>
      </c>
      <c r="BE572" s="377">
        <f t="shared" si="235"/>
        <v>0</v>
      </c>
      <c r="BF572" s="377">
        <f t="shared" si="236"/>
        <v>0</v>
      </c>
      <c r="BG572" s="328"/>
    </row>
    <row r="573" spans="2:59">
      <c r="B573" s="332">
        <v>558</v>
      </c>
      <c r="C573" s="350">
        <v>6860828.4167193146</v>
      </c>
      <c r="D573" s="350">
        <v>12860936.547979426</v>
      </c>
      <c r="E573" s="350">
        <v>18906193.048563145</v>
      </c>
      <c r="F573" s="350">
        <v>24997035.33780019</v>
      </c>
      <c r="G573" s="350">
        <v>31134444.945818044</v>
      </c>
      <c r="H573" s="348">
        <v>94759438.296880126</v>
      </c>
      <c r="I573" s="369"/>
      <c r="J573" s="350">
        <v>7941251.1986389458</v>
      </c>
      <c r="K573" s="350">
        <v>16050365.678832278</v>
      </c>
      <c r="L573" s="350">
        <v>23969711.749093957</v>
      </c>
      <c r="M573" s="350">
        <v>31693625.631239925</v>
      </c>
      <c r="N573" s="350">
        <v>39218527.610978976</v>
      </c>
      <c r="O573" s="348">
        <v>118873481.86878408</v>
      </c>
      <c r="P573" s="369"/>
      <c r="Q573" s="350">
        <f t="shared" si="237"/>
        <v>1080422.7819196312</v>
      </c>
      <c r="R573" s="350">
        <f t="shared" si="238"/>
        <v>3189429.130852852</v>
      </c>
      <c r="S573" s="350">
        <f t="shared" si="239"/>
        <v>5063518.7005308121</v>
      </c>
      <c r="T573" s="350">
        <f t="shared" si="240"/>
        <v>6696590.2934397347</v>
      </c>
      <c r="U573" s="350">
        <f t="shared" si="241"/>
        <v>8084082.6651609316</v>
      </c>
      <c r="V573" s="350">
        <f t="shared" si="242"/>
        <v>24114043.571903959</v>
      </c>
      <c r="W573" s="365"/>
      <c r="X573" s="377">
        <f t="shared" si="220"/>
        <v>0</v>
      </c>
      <c r="Y573" s="377">
        <f t="shared" si="221"/>
        <v>0</v>
      </c>
      <c r="Z573" s="377">
        <f t="shared" si="222"/>
        <v>0</v>
      </c>
      <c r="AA573" s="377">
        <f t="shared" si="223"/>
        <v>0</v>
      </c>
      <c r="AB573" s="377">
        <f t="shared" si="224"/>
        <v>0</v>
      </c>
      <c r="AC573" s="377">
        <f t="shared" si="225"/>
        <v>0</v>
      </c>
      <c r="AD573" s="376"/>
      <c r="AE573" s="332">
        <v>558</v>
      </c>
      <c r="AF573" s="350">
        <v>5872508.5147752035</v>
      </c>
      <c r="AG573" s="350">
        <v>11791134.852317676</v>
      </c>
      <c r="AH573" s="350">
        <v>17754553.670417048</v>
      </c>
      <c r="AI573" s="350">
        <v>23762962.699035376</v>
      </c>
      <c r="AJ573" s="350">
        <v>29817228.43524931</v>
      </c>
      <c r="AK573" s="348">
        <v>88998388.171794608</v>
      </c>
      <c r="AL573" s="369"/>
      <c r="AM573" s="350">
        <v>7011367.2533287238</v>
      </c>
      <c r="AN573" s="350">
        <v>15153974.168170048</v>
      </c>
      <c r="AO573" s="350">
        <v>23081626.727122586</v>
      </c>
      <c r="AP573" s="350">
        <v>30789598.706442513</v>
      </c>
      <c r="AQ573" s="350">
        <v>38275491.72852207</v>
      </c>
      <c r="AR573" s="348">
        <v>114312058.58358595</v>
      </c>
      <c r="AS573" s="369"/>
      <c r="AT573" s="350">
        <f t="shared" si="243"/>
        <v>1138858.7385535203</v>
      </c>
      <c r="AU573" s="350">
        <f t="shared" si="226"/>
        <v>3362839.315852372</v>
      </c>
      <c r="AV573" s="350">
        <f t="shared" si="227"/>
        <v>5327073.0567055382</v>
      </c>
      <c r="AW573" s="350">
        <f t="shared" si="228"/>
        <v>7026636.0074071363</v>
      </c>
      <c r="AX573" s="350">
        <f t="shared" si="229"/>
        <v>8458263.2932727598</v>
      </c>
      <c r="AY573" s="350">
        <f t="shared" si="230"/>
        <v>25313670.41179134</v>
      </c>
      <c r="AZ573" s="365"/>
      <c r="BA573" s="377">
        <f t="shared" si="231"/>
        <v>0</v>
      </c>
      <c r="BB573" s="377">
        <f t="shared" si="232"/>
        <v>0</v>
      </c>
      <c r="BC573" s="377">
        <f t="shared" si="233"/>
        <v>0</v>
      </c>
      <c r="BD573" s="377">
        <f t="shared" si="234"/>
        <v>0</v>
      </c>
      <c r="BE573" s="377">
        <f t="shared" si="235"/>
        <v>0</v>
      </c>
      <c r="BF573" s="377">
        <f t="shared" si="236"/>
        <v>0</v>
      </c>
      <c r="BG573" s="328"/>
    </row>
    <row r="574" spans="2:59">
      <c r="B574" s="332">
        <v>559</v>
      </c>
      <c r="C574" s="350">
        <v>6686347.8555619791</v>
      </c>
      <c r="D574" s="350">
        <v>12480341.919864014</v>
      </c>
      <c r="E574" s="350">
        <v>18317915.842572011</v>
      </c>
      <c r="F574" s="350">
        <v>24199507.998172652</v>
      </c>
      <c r="G574" s="350">
        <v>30126073.152957678</v>
      </c>
      <c r="H574" s="348">
        <v>91810186.769128338</v>
      </c>
      <c r="I574" s="369"/>
      <c r="J574" s="350">
        <v>7716917.9479341004</v>
      </c>
      <c r="K574" s="350">
        <v>15522439.125883602</v>
      </c>
      <c r="L574" s="350">
        <v>23142155.875566885</v>
      </c>
      <c r="M574" s="350">
        <v>30570712.404089209</v>
      </c>
      <c r="N574" s="350">
        <v>37804743.333994761</v>
      </c>
      <c r="O574" s="348">
        <v>114756968.68746856</v>
      </c>
      <c r="P574" s="369"/>
      <c r="Q574" s="350">
        <f t="shared" si="237"/>
        <v>1030570.0923721213</v>
      </c>
      <c r="R574" s="350">
        <f t="shared" si="238"/>
        <v>3042097.2060195878</v>
      </c>
      <c r="S574" s="350">
        <f t="shared" si="239"/>
        <v>4824240.0329948738</v>
      </c>
      <c r="T574" s="350">
        <f t="shared" si="240"/>
        <v>6371204.4059165567</v>
      </c>
      <c r="U574" s="350">
        <f t="shared" si="241"/>
        <v>7678670.1810370833</v>
      </c>
      <c r="V574" s="350">
        <f t="shared" si="242"/>
        <v>22946781.918340221</v>
      </c>
      <c r="W574" s="365"/>
      <c r="X574" s="377">
        <f t="shared" si="220"/>
        <v>0</v>
      </c>
      <c r="Y574" s="377">
        <f t="shared" si="221"/>
        <v>0</v>
      </c>
      <c r="Z574" s="377">
        <f t="shared" si="222"/>
        <v>0</v>
      </c>
      <c r="AA574" s="377">
        <f t="shared" si="223"/>
        <v>0</v>
      </c>
      <c r="AB574" s="377">
        <f t="shared" si="224"/>
        <v>0</v>
      </c>
      <c r="AC574" s="377">
        <f t="shared" si="225"/>
        <v>0</v>
      </c>
      <c r="AD574" s="376"/>
      <c r="AE574" s="332">
        <v>559</v>
      </c>
      <c r="AF574" s="350">
        <v>7404860.0610301122</v>
      </c>
      <c r="AG574" s="350">
        <v>14867871.765953425</v>
      </c>
      <c r="AH574" s="350">
        <v>22387363.942463242</v>
      </c>
      <c r="AI574" s="350">
        <v>29963585.91547671</v>
      </c>
      <c r="AJ574" s="350">
        <v>37597630.28274481</v>
      </c>
      <c r="AK574" s="348">
        <v>112221311.96766829</v>
      </c>
      <c r="AL574" s="369"/>
      <c r="AM574" s="350">
        <v>8530206.56123388</v>
      </c>
      <c r="AN574" s="350">
        <v>18186806.871929336</v>
      </c>
      <c r="AO574" s="350">
        <v>27563058.375547007</v>
      </c>
      <c r="AP574" s="350">
        <v>36653089.476673506</v>
      </c>
      <c r="AQ574" s="350">
        <v>45453561.325522751</v>
      </c>
      <c r="AR574" s="348">
        <v>136386722.61090648</v>
      </c>
      <c r="AS574" s="369"/>
      <c r="AT574" s="350">
        <f t="shared" si="243"/>
        <v>1125346.5002037678</v>
      </c>
      <c r="AU574" s="350">
        <f t="shared" si="226"/>
        <v>3318935.105975911</v>
      </c>
      <c r="AV574" s="350">
        <f t="shared" si="227"/>
        <v>5175694.4330837652</v>
      </c>
      <c r="AW574" s="350">
        <f t="shared" si="228"/>
        <v>6689503.5611967966</v>
      </c>
      <c r="AX574" s="350">
        <f t="shared" si="229"/>
        <v>7855931.0427779406</v>
      </c>
      <c r="AY574" s="350">
        <f t="shared" si="230"/>
        <v>24165410.643238187</v>
      </c>
      <c r="AZ574" s="365"/>
      <c r="BA574" s="377">
        <f t="shared" si="231"/>
        <v>0</v>
      </c>
      <c r="BB574" s="377">
        <f t="shared" si="232"/>
        <v>0</v>
      </c>
      <c r="BC574" s="377">
        <f t="shared" si="233"/>
        <v>0</v>
      </c>
      <c r="BD574" s="377">
        <f t="shared" si="234"/>
        <v>0</v>
      </c>
      <c r="BE574" s="377">
        <f t="shared" si="235"/>
        <v>0</v>
      </c>
      <c r="BF574" s="377">
        <f t="shared" si="236"/>
        <v>0</v>
      </c>
      <c r="BG574" s="328"/>
    </row>
    <row r="575" spans="2:59">
      <c r="B575" s="332">
        <v>560</v>
      </c>
      <c r="C575" s="350">
        <v>6615949.8196848994</v>
      </c>
      <c r="D575" s="350">
        <v>12409830.043159544</v>
      </c>
      <c r="E575" s="350">
        <v>18247309.46048082</v>
      </c>
      <c r="F575" s="350">
        <v>24128808.088882491</v>
      </c>
      <c r="G575" s="350">
        <v>30055272.692439467</v>
      </c>
      <c r="H575" s="348">
        <v>91457170.104647219</v>
      </c>
      <c r="I575" s="369"/>
      <c r="J575" s="350">
        <v>7831505.8968846854</v>
      </c>
      <c r="K575" s="350">
        <v>16000545.063079964</v>
      </c>
      <c r="L575" s="350">
        <v>23993444.169832584</v>
      </c>
      <c r="M575" s="350">
        <v>31804616.281797603</v>
      </c>
      <c r="N575" s="350">
        <v>39430708.594415411</v>
      </c>
      <c r="O575" s="348">
        <v>119060820.00601025</v>
      </c>
      <c r="P575" s="369"/>
      <c r="Q575" s="350">
        <f t="shared" si="237"/>
        <v>1215556.077199786</v>
      </c>
      <c r="R575" s="350">
        <f t="shared" si="238"/>
        <v>3590715.0199204199</v>
      </c>
      <c r="S575" s="350">
        <f t="shared" si="239"/>
        <v>5746134.7093517631</v>
      </c>
      <c r="T575" s="350">
        <f t="shared" si="240"/>
        <v>7675808.1929151118</v>
      </c>
      <c r="U575" s="350">
        <f t="shared" si="241"/>
        <v>9375435.9019759446</v>
      </c>
      <c r="V575" s="350">
        <f t="shared" si="242"/>
        <v>27603649.90136303</v>
      </c>
      <c r="W575" s="365"/>
      <c r="X575" s="377">
        <f t="shared" si="220"/>
        <v>0</v>
      </c>
      <c r="Y575" s="377">
        <f t="shared" si="221"/>
        <v>0</v>
      </c>
      <c r="Z575" s="377">
        <f t="shared" si="222"/>
        <v>0</v>
      </c>
      <c r="AA575" s="377">
        <f t="shared" si="223"/>
        <v>0</v>
      </c>
      <c r="AB575" s="377">
        <f t="shared" si="224"/>
        <v>0</v>
      </c>
      <c r="AC575" s="377">
        <f t="shared" si="225"/>
        <v>0</v>
      </c>
      <c r="AD575" s="376"/>
      <c r="AE575" s="332">
        <v>560</v>
      </c>
      <c r="AF575" s="350">
        <v>6095715.3494232958</v>
      </c>
      <c r="AG575" s="350">
        <v>12239301.403404467</v>
      </c>
      <c r="AH575" s="350">
        <v>18429382.445103832</v>
      </c>
      <c r="AI575" s="350">
        <v>24666163.719956398</v>
      </c>
      <c r="AJ575" s="350">
        <v>30950544.65952827</v>
      </c>
      <c r="AK575" s="348">
        <v>92381107.577416271</v>
      </c>
      <c r="AL575" s="369"/>
      <c r="AM575" s="350">
        <v>7205731.7027749466</v>
      </c>
      <c r="AN575" s="350">
        <v>15516044.657368237</v>
      </c>
      <c r="AO575" s="350">
        <v>23601072.818559214</v>
      </c>
      <c r="AP575" s="350">
        <v>31455930.725404076</v>
      </c>
      <c r="AQ575" s="350">
        <v>39078055.791133948</v>
      </c>
      <c r="AR575" s="348">
        <v>116856835.69524041</v>
      </c>
      <c r="AS575" s="369"/>
      <c r="AT575" s="350">
        <f t="shared" si="243"/>
        <v>1110016.3533516508</v>
      </c>
      <c r="AU575" s="350">
        <f t="shared" si="226"/>
        <v>3276743.2539637703</v>
      </c>
      <c r="AV575" s="350">
        <f t="shared" si="227"/>
        <v>5171690.3734553829</v>
      </c>
      <c r="AW575" s="350">
        <f t="shared" si="228"/>
        <v>6789767.0054476783</v>
      </c>
      <c r="AX575" s="350">
        <f t="shared" si="229"/>
        <v>8127511.1316056773</v>
      </c>
      <c r="AY575" s="350">
        <f t="shared" si="230"/>
        <v>24475728.117824137</v>
      </c>
      <c r="AZ575" s="365"/>
      <c r="BA575" s="377">
        <f t="shared" si="231"/>
        <v>0</v>
      </c>
      <c r="BB575" s="377">
        <f t="shared" si="232"/>
        <v>0</v>
      </c>
      <c r="BC575" s="377">
        <f t="shared" si="233"/>
        <v>0</v>
      </c>
      <c r="BD575" s="377">
        <f t="shared" si="234"/>
        <v>0</v>
      </c>
      <c r="BE575" s="377">
        <f t="shared" si="235"/>
        <v>0</v>
      </c>
      <c r="BF575" s="377">
        <f t="shared" si="236"/>
        <v>0</v>
      </c>
      <c r="BG575" s="328"/>
    </row>
    <row r="576" spans="2:59">
      <c r="B576" s="332">
        <v>561</v>
      </c>
      <c r="C576" s="350">
        <v>9943250.8805887178</v>
      </c>
      <c r="D576" s="350">
        <v>18778072.08055649</v>
      </c>
      <c r="E576" s="350">
        <v>27679417.38140709</v>
      </c>
      <c r="F576" s="350">
        <v>36647889.356642343</v>
      </c>
      <c r="G576" s="350">
        <v>45684915.196718588</v>
      </c>
      <c r="H576" s="348">
        <v>138733544.89591324</v>
      </c>
      <c r="I576" s="369"/>
      <c r="J576" s="350">
        <v>11396735.365574811</v>
      </c>
      <c r="K576" s="350">
        <v>23066914.015959803</v>
      </c>
      <c r="L576" s="350">
        <v>34441476.152802676</v>
      </c>
      <c r="M576" s="350">
        <v>45512568.898122579</v>
      </c>
      <c r="N576" s="350">
        <v>56275272.392905995</v>
      </c>
      <c r="O576" s="348">
        <v>170692966.82536584</v>
      </c>
      <c r="P576" s="369"/>
      <c r="Q576" s="350">
        <f t="shared" si="237"/>
        <v>1453484.4849860929</v>
      </c>
      <c r="R576" s="350">
        <f t="shared" si="238"/>
        <v>4288841.9354033135</v>
      </c>
      <c r="S576" s="350">
        <f t="shared" si="239"/>
        <v>6762058.7713955864</v>
      </c>
      <c r="T576" s="350">
        <f t="shared" si="240"/>
        <v>8864679.5414802358</v>
      </c>
      <c r="U576" s="350">
        <f t="shared" si="241"/>
        <v>10590357.196187407</v>
      </c>
      <c r="V576" s="350">
        <f t="shared" si="242"/>
        <v>31959421.929452598</v>
      </c>
      <c r="W576" s="365"/>
      <c r="X576" s="377">
        <f t="shared" si="220"/>
        <v>0</v>
      </c>
      <c r="Y576" s="377">
        <f t="shared" si="221"/>
        <v>0</v>
      </c>
      <c r="Z576" s="377">
        <f t="shared" si="222"/>
        <v>0</v>
      </c>
      <c r="AA576" s="377">
        <f t="shared" si="223"/>
        <v>0</v>
      </c>
      <c r="AB576" s="377">
        <f t="shared" si="224"/>
        <v>0</v>
      </c>
      <c r="AC576" s="377">
        <f t="shared" si="225"/>
        <v>0</v>
      </c>
      <c r="AD576" s="376"/>
      <c r="AE576" s="332">
        <v>561</v>
      </c>
      <c r="AF576" s="350">
        <v>4467732.2906241436</v>
      </c>
      <c r="AG576" s="350">
        <v>8970550.4539093822</v>
      </c>
      <c r="AH576" s="350">
        <v>13507446.18579375</v>
      </c>
      <c r="AI576" s="350">
        <v>18078569.916801795</v>
      </c>
      <c r="AJ576" s="350">
        <v>22684580.867258079</v>
      </c>
      <c r="AK576" s="348">
        <v>67708879.714387149</v>
      </c>
      <c r="AL576" s="369"/>
      <c r="AM576" s="350">
        <v>5339261.9922570139</v>
      </c>
      <c r="AN576" s="350">
        <v>11544082.28928804</v>
      </c>
      <c r="AO576" s="350">
        <v>17585520.700461306</v>
      </c>
      <c r="AP576" s="350">
        <v>23459980.13038785</v>
      </c>
      <c r="AQ576" s="350">
        <v>29165641.08794231</v>
      </c>
      <c r="AR576" s="348">
        <v>87094486.200336516</v>
      </c>
      <c r="AS576" s="369"/>
      <c r="AT576" s="350">
        <f t="shared" si="243"/>
        <v>871529.70163287036</v>
      </c>
      <c r="AU576" s="350">
        <f t="shared" si="226"/>
        <v>2573531.835378658</v>
      </c>
      <c r="AV576" s="350">
        <f t="shared" si="227"/>
        <v>4078074.5146675557</v>
      </c>
      <c r="AW576" s="350">
        <f t="shared" si="228"/>
        <v>5381410.2135860547</v>
      </c>
      <c r="AX576" s="350">
        <f t="shared" si="229"/>
        <v>6481060.2206842303</v>
      </c>
      <c r="AY576" s="350">
        <f t="shared" si="230"/>
        <v>19385606.485949367</v>
      </c>
      <c r="AZ576" s="365"/>
      <c r="BA576" s="377">
        <f t="shared" si="231"/>
        <v>0</v>
      </c>
      <c r="BB576" s="377">
        <f t="shared" si="232"/>
        <v>0</v>
      </c>
      <c r="BC576" s="377">
        <f t="shared" si="233"/>
        <v>0</v>
      </c>
      <c r="BD576" s="377">
        <f t="shared" si="234"/>
        <v>0</v>
      </c>
      <c r="BE576" s="377">
        <f t="shared" si="235"/>
        <v>0</v>
      </c>
      <c r="BF576" s="377">
        <f t="shared" si="236"/>
        <v>0</v>
      </c>
      <c r="BG576" s="328"/>
    </row>
    <row r="577" spans="2:59">
      <c r="B577" s="332">
        <v>562</v>
      </c>
      <c r="C577" s="350">
        <v>6123044.9575774781</v>
      </c>
      <c r="D577" s="350">
        <v>11670411.462194726</v>
      </c>
      <c r="E577" s="350">
        <v>17259582.886134438</v>
      </c>
      <c r="F577" s="350">
        <v>22890906.169705197</v>
      </c>
      <c r="G577" s="350">
        <v>28565263.77459335</v>
      </c>
      <c r="H577" s="348">
        <v>86509209.250205189</v>
      </c>
      <c r="I577" s="369"/>
      <c r="J577" s="350">
        <v>6738813.8242302006</v>
      </c>
      <c r="K577" s="350">
        <v>13482917.520177197</v>
      </c>
      <c r="L577" s="350">
        <v>20037514.317439742</v>
      </c>
      <c r="M577" s="350">
        <v>26397512.587829657</v>
      </c>
      <c r="N577" s="350">
        <v>32559287.501755688</v>
      </c>
      <c r="O577" s="348">
        <v>99216045.751432493</v>
      </c>
      <c r="P577" s="369"/>
      <c r="Q577" s="350">
        <f t="shared" si="237"/>
        <v>615768.86665272247</v>
      </c>
      <c r="R577" s="350">
        <f t="shared" si="238"/>
        <v>1812506.0579824708</v>
      </c>
      <c r="S577" s="350">
        <f t="shared" si="239"/>
        <v>2777931.4313053042</v>
      </c>
      <c r="T577" s="350">
        <f t="shared" si="240"/>
        <v>3506606.4181244597</v>
      </c>
      <c r="U577" s="350">
        <f t="shared" si="241"/>
        <v>3994023.7271623388</v>
      </c>
      <c r="V577" s="350">
        <f t="shared" si="242"/>
        <v>12706836.501227304</v>
      </c>
      <c r="W577" s="365"/>
      <c r="X577" s="377">
        <f t="shared" si="220"/>
        <v>0</v>
      </c>
      <c r="Y577" s="377">
        <f t="shared" si="221"/>
        <v>0</v>
      </c>
      <c r="Z577" s="377">
        <f t="shared" si="222"/>
        <v>0</v>
      </c>
      <c r="AA577" s="377">
        <f t="shared" si="223"/>
        <v>0</v>
      </c>
      <c r="AB577" s="377">
        <f t="shared" si="224"/>
        <v>0</v>
      </c>
      <c r="AC577" s="377">
        <f t="shared" si="225"/>
        <v>0</v>
      </c>
      <c r="AD577" s="376"/>
      <c r="AE577" s="332">
        <v>562</v>
      </c>
      <c r="AF577" s="350">
        <v>8061291.3753257683</v>
      </c>
      <c r="AG577" s="350">
        <v>16185889.462934237</v>
      </c>
      <c r="AH577" s="350">
        <v>24371974.943244532</v>
      </c>
      <c r="AI577" s="350">
        <v>32619819.243506819</v>
      </c>
      <c r="AJ577" s="350">
        <v>40930611.818856522</v>
      </c>
      <c r="AK577" s="348">
        <v>122169586.84386788</v>
      </c>
      <c r="AL577" s="369"/>
      <c r="AM577" s="350">
        <v>9377372.2278102115</v>
      </c>
      <c r="AN577" s="350">
        <v>20068845.569418207</v>
      </c>
      <c r="AO577" s="350">
        <v>30457842.238013946</v>
      </c>
      <c r="AP577" s="350">
        <v>40537944.398032814</v>
      </c>
      <c r="AQ577" s="350">
        <v>50305609.350118235</v>
      </c>
      <c r="AR577" s="348">
        <v>150747613.78339341</v>
      </c>
      <c r="AS577" s="369"/>
      <c r="AT577" s="350">
        <f t="shared" si="243"/>
        <v>1316080.8524844432</v>
      </c>
      <c r="AU577" s="350">
        <f t="shared" si="226"/>
        <v>3882956.1064839698</v>
      </c>
      <c r="AV577" s="350">
        <f t="shared" si="227"/>
        <v>6085867.2947694138</v>
      </c>
      <c r="AW577" s="350">
        <f t="shared" si="228"/>
        <v>7918125.1545259953</v>
      </c>
      <c r="AX577" s="350">
        <f t="shared" si="229"/>
        <v>9374997.5312617123</v>
      </c>
      <c r="AY577" s="350">
        <f t="shared" si="230"/>
        <v>28578026.93952553</v>
      </c>
      <c r="AZ577" s="365"/>
      <c r="BA577" s="377">
        <f t="shared" si="231"/>
        <v>0</v>
      </c>
      <c r="BB577" s="377">
        <f t="shared" si="232"/>
        <v>0</v>
      </c>
      <c r="BC577" s="377">
        <f t="shared" si="233"/>
        <v>0</v>
      </c>
      <c r="BD577" s="377">
        <f t="shared" si="234"/>
        <v>0</v>
      </c>
      <c r="BE577" s="377">
        <f t="shared" si="235"/>
        <v>0</v>
      </c>
      <c r="BF577" s="377">
        <f t="shared" si="236"/>
        <v>0</v>
      </c>
      <c r="BG577" s="328"/>
    </row>
    <row r="578" spans="2:59">
      <c r="B578" s="332">
        <v>563</v>
      </c>
      <c r="C578" s="350">
        <v>9168679.5966399852</v>
      </c>
      <c r="D578" s="350">
        <v>17134377.14113909</v>
      </c>
      <c r="E578" s="350">
        <v>25159995.987876575</v>
      </c>
      <c r="F578" s="350">
        <v>33246132.596519165</v>
      </c>
      <c r="G578" s="350">
        <v>41394096.8896081</v>
      </c>
      <c r="H578" s="348">
        <v>126103282.21178292</v>
      </c>
      <c r="I578" s="369"/>
      <c r="J578" s="350">
        <v>10434492.985720228</v>
      </c>
      <c r="K578" s="350">
        <v>20868780.40970695</v>
      </c>
      <c r="L578" s="350">
        <v>31049636.649530381</v>
      </c>
      <c r="M578" s="350">
        <v>40969467.848663867</v>
      </c>
      <c r="N578" s="350">
        <v>50623214.211325757</v>
      </c>
      <c r="O578" s="348">
        <v>153945592.10494718</v>
      </c>
      <c r="P578" s="369"/>
      <c r="Q578" s="350">
        <f t="shared" si="237"/>
        <v>1265813.3890802432</v>
      </c>
      <c r="R578" s="350">
        <f t="shared" si="238"/>
        <v>3734403.2685678601</v>
      </c>
      <c r="S578" s="350">
        <f t="shared" si="239"/>
        <v>5889640.6616538055</v>
      </c>
      <c r="T578" s="350">
        <f t="shared" si="240"/>
        <v>7723335.2521447018</v>
      </c>
      <c r="U578" s="350">
        <f t="shared" si="241"/>
        <v>9229117.3217176571</v>
      </c>
      <c r="V578" s="350">
        <f t="shared" si="242"/>
        <v>27842309.893164262</v>
      </c>
      <c r="W578" s="365"/>
      <c r="X578" s="377">
        <f t="shared" si="220"/>
        <v>0</v>
      </c>
      <c r="Y578" s="377">
        <f t="shared" si="221"/>
        <v>0</v>
      </c>
      <c r="Z578" s="377">
        <f t="shared" si="222"/>
        <v>0</v>
      </c>
      <c r="AA578" s="377">
        <f t="shared" si="223"/>
        <v>0</v>
      </c>
      <c r="AB578" s="377">
        <f t="shared" si="224"/>
        <v>0</v>
      </c>
      <c r="AC578" s="377">
        <f t="shared" si="225"/>
        <v>0</v>
      </c>
      <c r="AD578" s="376"/>
      <c r="AE578" s="332">
        <v>563</v>
      </c>
      <c r="AF578" s="350">
        <v>5996641.9524022341</v>
      </c>
      <c r="AG578" s="350">
        <v>12040376.568878748</v>
      </c>
      <c r="AH578" s="350">
        <v>18129850.492055941</v>
      </c>
      <c r="AI578" s="350">
        <v>24265265.631523684</v>
      </c>
      <c r="AJ578" s="350">
        <v>30447506.800425865</v>
      </c>
      <c r="AK578" s="348">
        <v>90879641.445286483</v>
      </c>
      <c r="AL578" s="369"/>
      <c r="AM578" s="350">
        <v>6848903.2097813366</v>
      </c>
      <c r="AN578" s="350">
        <v>14552941.582718698</v>
      </c>
      <c r="AO578" s="350">
        <v>22028177.194871366</v>
      </c>
      <c r="AP578" s="350">
        <v>29269871.788504988</v>
      </c>
      <c r="AQ578" s="350">
        <v>36275261.652328163</v>
      </c>
      <c r="AR578" s="348">
        <v>108975155.42820455</v>
      </c>
      <c r="AS578" s="369"/>
      <c r="AT578" s="350">
        <f t="shared" si="243"/>
        <v>852261.25737910252</v>
      </c>
      <c r="AU578" s="350">
        <f t="shared" si="226"/>
        <v>2512565.0138399508</v>
      </c>
      <c r="AV578" s="350">
        <f t="shared" si="227"/>
        <v>3898326.7028154247</v>
      </c>
      <c r="AW578" s="350">
        <f t="shared" si="228"/>
        <v>5004606.1569813043</v>
      </c>
      <c r="AX578" s="350">
        <f t="shared" si="229"/>
        <v>5827754.8519022986</v>
      </c>
      <c r="AY578" s="350">
        <f t="shared" si="230"/>
        <v>18095513.982918069</v>
      </c>
      <c r="AZ578" s="365"/>
      <c r="BA578" s="377">
        <f t="shared" si="231"/>
        <v>0</v>
      </c>
      <c r="BB578" s="377">
        <f t="shared" si="232"/>
        <v>0</v>
      </c>
      <c r="BC578" s="377">
        <f t="shared" si="233"/>
        <v>0</v>
      </c>
      <c r="BD578" s="377">
        <f t="shared" si="234"/>
        <v>0</v>
      </c>
      <c r="BE578" s="377">
        <f t="shared" si="235"/>
        <v>0</v>
      </c>
      <c r="BF578" s="377">
        <f t="shared" si="236"/>
        <v>0</v>
      </c>
      <c r="BG578" s="328"/>
    </row>
    <row r="579" spans="2:59">
      <c r="B579" s="332">
        <v>564</v>
      </c>
      <c r="C579" s="350">
        <v>7870039.6118358392</v>
      </c>
      <c r="D579" s="350">
        <v>14746224.521658782</v>
      </c>
      <c r="E579" s="350">
        <v>21674147.77782461</v>
      </c>
      <c r="F579" s="350">
        <v>28654312.615483426</v>
      </c>
      <c r="G579" s="350">
        <v>35687844.725775756</v>
      </c>
      <c r="H579" s="348">
        <v>108632569.25257841</v>
      </c>
      <c r="I579" s="369"/>
      <c r="J579" s="350">
        <v>9250766.9989319835</v>
      </c>
      <c r="K579" s="350">
        <v>18824137.111704849</v>
      </c>
      <c r="L579" s="350">
        <v>28185180.576001786</v>
      </c>
      <c r="M579" s="350">
        <v>37327357.723699614</v>
      </c>
      <c r="N579" s="350">
        <v>46246699.883261636</v>
      </c>
      <c r="O579" s="348">
        <v>139834142.29359984</v>
      </c>
      <c r="P579" s="369"/>
      <c r="Q579" s="350">
        <f t="shared" si="237"/>
        <v>1380727.3870961443</v>
      </c>
      <c r="R579" s="350">
        <f t="shared" si="238"/>
        <v>4077912.5900460668</v>
      </c>
      <c r="S579" s="350">
        <f t="shared" si="239"/>
        <v>6511032.7981771752</v>
      </c>
      <c r="T579" s="350">
        <f t="shared" si="240"/>
        <v>8673045.1082161888</v>
      </c>
      <c r="U579" s="350">
        <f t="shared" si="241"/>
        <v>10558855.15748588</v>
      </c>
      <c r="V579" s="350">
        <f t="shared" si="242"/>
        <v>31201573.041021436</v>
      </c>
      <c r="W579" s="365"/>
      <c r="X579" s="377">
        <f t="shared" si="220"/>
        <v>0</v>
      </c>
      <c r="Y579" s="377">
        <f t="shared" si="221"/>
        <v>0</v>
      </c>
      <c r="Z579" s="377">
        <f t="shared" si="222"/>
        <v>0</v>
      </c>
      <c r="AA579" s="377">
        <f t="shared" si="223"/>
        <v>0</v>
      </c>
      <c r="AB579" s="377">
        <f t="shared" si="224"/>
        <v>0</v>
      </c>
      <c r="AC579" s="377">
        <f t="shared" si="225"/>
        <v>0</v>
      </c>
      <c r="AD579" s="376"/>
      <c r="AE579" s="332">
        <v>564</v>
      </c>
      <c r="AF579" s="350">
        <v>7061208.9873400293</v>
      </c>
      <c r="AG579" s="350">
        <v>14177870.867388763</v>
      </c>
      <c r="AH579" s="350">
        <v>21348392.025032051</v>
      </c>
      <c r="AI579" s="350">
        <v>28573010.214303214</v>
      </c>
      <c r="AJ579" s="350">
        <v>35852767.326743111</v>
      </c>
      <c r="AK579" s="348">
        <v>107013249.42080717</v>
      </c>
      <c r="AL579" s="369"/>
      <c r="AM579" s="350">
        <v>8865696.9059482627</v>
      </c>
      <c r="AN579" s="350">
        <v>19511799.114854228</v>
      </c>
      <c r="AO579" s="350">
        <v>29912467.869808037</v>
      </c>
      <c r="AP579" s="350">
        <v>40061897.211567014</v>
      </c>
      <c r="AQ579" s="350">
        <v>49957643.946319908</v>
      </c>
      <c r="AR579" s="348">
        <v>148309505.04849744</v>
      </c>
      <c r="AS579" s="369"/>
      <c r="AT579" s="350">
        <f t="shared" si="243"/>
        <v>1804487.9186082333</v>
      </c>
      <c r="AU579" s="350">
        <f t="shared" si="226"/>
        <v>5333928.2474654652</v>
      </c>
      <c r="AV579" s="350">
        <f t="shared" si="227"/>
        <v>8564075.8447759859</v>
      </c>
      <c r="AW579" s="350">
        <f t="shared" si="228"/>
        <v>11488886.9972638</v>
      </c>
      <c r="AX579" s="350">
        <f t="shared" si="229"/>
        <v>14104876.619576797</v>
      </c>
      <c r="AY579" s="350">
        <f t="shared" si="230"/>
        <v>41296255.627690271</v>
      </c>
      <c r="AZ579" s="365"/>
      <c r="BA579" s="377">
        <f t="shared" si="231"/>
        <v>0</v>
      </c>
      <c r="BB579" s="377">
        <f t="shared" si="232"/>
        <v>0</v>
      </c>
      <c r="BC579" s="377">
        <f t="shared" si="233"/>
        <v>0</v>
      </c>
      <c r="BD579" s="377">
        <f t="shared" si="234"/>
        <v>0</v>
      </c>
      <c r="BE579" s="377">
        <f t="shared" si="235"/>
        <v>0</v>
      </c>
      <c r="BF579" s="377">
        <f t="shared" si="236"/>
        <v>0</v>
      </c>
      <c r="BG579" s="328"/>
    </row>
    <row r="580" spans="2:59">
      <c r="B580" s="332">
        <v>565</v>
      </c>
      <c r="C580" s="350">
        <v>7817875.1617180938</v>
      </c>
      <c r="D580" s="350">
        <v>14751498.113768958</v>
      </c>
      <c r="E580" s="350">
        <v>21737325.472902313</v>
      </c>
      <c r="F580" s="350">
        <v>28775833.889680319</v>
      </c>
      <c r="G580" s="350">
        <v>35868145.0624616</v>
      </c>
      <c r="H580" s="348">
        <v>108950677.70053129</v>
      </c>
      <c r="I580" s="369"/>
      <c r="J580" s="350">
        <v>8809632.3305814508</v>
      </c>
      <c r="K580" s="350">
        <v>17675665.954609893</v>
      </c>
      <c r="L580" s="350">
        <v>26307702.694741227</v>
      </c>
      <c r="M580" s="350">
        <v>34699517.696537875</v>
      </c>
      <c r="N580" s="350">
        <v>42846988.880025372</v>
      </c>
      <c r="O580" s="348">
        <v>130339507.55649582</v>
      </c>
      <c r="P580" s="369"/>
      <c r="Q580" s="350">
        <f t="shared" si="237"/>
        <v>991757.16886335704</v>
      </c>
      <c r="R580" s="350">
        <f t="shared" si="238"/>
        <v>2924167.8408409357</v>
      </c>
      <c r="S580" s="350">
        <f t="shared" si="239"/>
        <v>4570377.2218389139</v>
      </c>
      <c r="T580" s="350">
        <f t="shared" si="240"/>
        <v>5923683.8068575561</v>
      </c>
      <c r="U580" s="350">
        <f t="shared" si="241"/>
        <v>6978843.8175637722</v>
      </c>
      <c r="V580" s="350">
        <f t="shared" si="242"/>
        <v>21388829.855964527</v>
      </c>
      <c r="W580" s="365"/>
      <c r="X580" s="377">
        <f t="shared" si="220"/>
        <v>0</v>
      </c>
      <c r="Y580" s="377">
        <f t="shared" si="221"/>
        <v>0</v>
      </c>
      <c r="Z580" s="377">
        <f t="shared" si="222"/>
        <v>0</v>
      </c>
      <c r="AA580" s="377">
        <f t="shared" si="223"/>
        <v>0</v>
      </c>
      <c r="AB580" s="377">
        <f t="shared" si="224"/>
        <v>0</v>
      </c>
      <c r="AC580" s="377">
        <f t="shared" si="225"/>
        <v>0</v>
      </c>
      <c r="AD580" s="376"/>
      <c r="AE580" s="332">
        <v>565</v>
      </c>
      <c r="AF580" s="350">
        <v>5922314.7554109115</v>
      </c>
      <c r="AG580" s="350">
        <v>11891138.470591713</v>
      </c>
      <c r="AH580" s="350">
        <v>17905134.562767144</v>
      </c>
      <c r="AI580" s="350">
        <v>23964502.438897431</v>
      </c>
      <c r="AJ580" s="350">
        <v>30070115.945041664</v>
      </c>
      <c r="AK580" s="348">
        <v>89753206.172708869</v>
      </c>
      <c r="AL580" s="369"/>
      <c r="AM580" s="350">
        <v>6857180.9051054334</v>
      </c>
      <c r="AN580" s="350">
        <v>14648871.155703079</v>
      </c>
      <c r="AO580" s="350">
        <v>22217385.036758855</v>
      </c>
      <c r="AP580" s="350">
        <v>29558016.66880206</v>
      </c>
      <c r="AQ580" s="350">
        <v>36668130.954050556</v>
      </c>
      <c r="AR580" s="348">
        <v>109949584.72041999</v>
      </c>
      <c r="AS580" s="369"/>
      <c r="AT580" s="350">
        <f t="shared" si="243"/>
        <v>934866.14969452191</v>
      </c>
      <c r="AU580" s="350">
        <f t="shared" si="226"/>
        <v>2757732.6851113662</v>
      </c>
      <c r="AV580" s="350">
        <f t="shared" si="227"/>
        <v>4312250.4739917107</v>
      </c>
      <c r="AW580" s="350">
        <f t="shared" si="228"/>
        <v>5593514.2299046293</v>
      </c>
      <c r="AX580" s="350">
        <f t="shared" si="229"/>
        <v>6598015.0090088919</v>
      </c>
      <c r="AY580" s="350">
        <f t="shared" si="230"/>
        <v>20196378.547711119</v>
      </c>
      <c r="AZ580" s="365"/>
      <c r="BA580" s="377">
        <f t="shared" si="231"/>
        <v>0</v>
      </c>
      <c r="BB580" s="377">
        <f t="shared" si="232"/>
        <v>0</v>
      </c>
      <c r="BC580" s="377">
        <f t="shared" si="233"/>
        <v>0</v>
      </c>
      <c r="BD580" s="377">
        <f t="shared" si="234"/>
        <v>0</v>
      </c>
      <c r="BE580" s="377">
        <f t="shared" si="235"/>
        <v>0</v>
      </c>
      <c r="BF580" s="377">
        <f t="shared" si="236"/>
        <v>0</v>
      </c>
      <c r="BG580" s="328"/>
    </row>
    <row r="581" spans="2:59">
      <c r="B581" s="332">
        <v>566</v>
      </c>
      <c r="C581" s="350">
        <v>9185054.670007132</v>
      </c>
      <c r="D581" s="350">
        <v>17413246.338882763</v>
      </c>
      <c r="E581" s="350">
        <v>25703416.016141824</v>
      </c>
      <c r="F581" s="350">
        <v>34056105.196236506</v>
      </c>
      <c r="G581" s="350">
        <v>42472634.500481218</v>
      </c>
      <c r="H581" s="348">
        <v>128830456.72174944</v>
      </c>
      <c r="I581" s="369"/>
      <c r="J581" s="350">
        <v>10246863.788422775</v>
      </c>
      <c r="K581" s="350">
        <v>20541983.8878766</v>
      </c>
      <c r="L581" s="350">
        <v>30555758.066804439</v>
      </c>
      <c r="M581" s="350">
        <v>40280823.56223914</v>
      </c>
      <c r="N581" s="350">
        <v>49712177.966529354</v>
      </c>
      <c r="O581" s="348">
        <v>151337607.27187231</v>
      </c>
      <c r="P581" s="369"/>
      <c r="Q581" s="350">
        <f t="shared" si="237"/>
        <v>1061809.1184156425</v>
      </c>
      <c r="R581" s="350">
        <f t="shared" si="238"/>
        <v>3128737.5489938371</v>
      </c>
      <c r="S581" s="350">
        <f t="shared" si="239"/>
        <v>4852342.0506626144</v>
      </c>
      <c r="T581" s="350">
        <f t="shared" si="240"/>
        <v>6224718.3660026342</v>
      </c>
      <c r="U581" s="350">
        <f t="shared" si="241"/>
        <v>7239543.4660481364</v>
      </c>
      <c r="V581" s="350">
        <f t="shared" si="242"/>
        <v>22507150.550122872</v>
      </c>
      <c r="W581" s="365"/>
      <c r="X581" s="377">
        <f t="shared" si="220"/>
        <v>0</v>
      </c>
      <c r="Y581" s="377">
        <f t="shared" si="221"/>
        <v>0</v>
      </c>
      <c r="Z581" s="377">
        <f t="shared" si="222"/>
        <v>0</v>
      </c>
      <c r="AA581" s="377">
        <f t="shared" si="223"/>
        <v>0</v>
      </c>
      <c r="AB581" s="377">
        <f t="shared" si="224"/>
        <v>0</v>
      </c>
      <c r="AC581" s="377">
        <f t="shared" si="225"/>
        <v>0</v>
      </c>
      <c r="AD581" s="376"/>
      <c r="AE581" s="332">
        <v>566</v>
      </c>
      <c r="AF581" s="350">
        <v>7032026.5109427106</v>
      </c>
      <c r="AG581" s="350">
        <v>14119276.739571048</v>
      </c>
      <c r="AH581" s="350">
        <v>21260163.656843521</v>
      </c>
      <c r="AI581" s="350">
        <v>28454924.034206547</v>
      </c>
      <c r="AJ581" s="350">
        <v>35704595.457284622</v>
      </c>
      <c r="AK581" s="348">
        <v>106570986.39884844</v>
      </c>
      <c r="AL581" s="369"/>
      <c r="AM581" s="350">
        <v>8631952.720983969</v>
      </c>
      <c r="AN581" s="350">
        <v>18846607.986159004</v>
      </c>
      <c r="AO581" s="350">
        <v>28810940.790437691</v>
      </c>
      <c r="AP581" s="350">
        <v>38519224.917736337</v>
      </c>
      <c r="AQ581" s="350">
        <v>47968827.651155055</v>
      </c>
      <c r="AR581" s="348">
        <v>142777554.06647205</v>
      </c>
      <c r="AS581" s="369"/>
      <c r="AT581" s="350">
        <f t="shared" si="243"/>
        <v>1599926.2100412585</v>
      </c>
      <c r="AU581" s="350">
        <f t="shared" si="226"/>
        <v>4727331.2465879563</v>
      </c>
      <c r="AV581" s="350">
        <f t="shared" si="227"/>
        <v>7550777.1335941702</v>
      </c>
      <c r="AW581" s="350">
        <f t="shared" si="228"/>
        <v>10064300.88352979</v>
      </c>
      <c r="AX581" s="350">
        <f t="shared" si="229"/>
        <v>12264232.193870433</v>
      </c>
      <c r="AY581" s="350">
        <f t="shared" si="230"/>
        <v>36206567.667623609</v>
      </c>
      <c r="AZ581" s="365"/>
      <c r="BA581" s="377">
        <f t="shared" si="231"/>
        <v>0</v>
      </c>
      <c r="BB581" s="377">
        <f t="shared" si="232"/>
        <v>0</v>
      </c>
      <c r="BC581" s="377">
        <f t="shared" si="233"/>
        <v>0</v>
      </c>
      <c r="BD581" s="377">
        <f t="shared" si="234"/>
        <v>0</v>
      </c>
      <c r="BE581" s="377">
        <f t="shared" si="235"/>
        <v>0</v>
      </c>
      <c r="BF581" s="377">
        <f t="shared" si="236"/>
        <v>0</v>
      </c>
      <c r="BG581" s="328"/>
    </row>
    <row r="582" spans="2:59">
      <c r="B582" s="332">
        <v>567</v>
      </c>
      <c r="C582" s="350">
        <v>8646618.2373812683</v>
      </c>
      <c r="D582" s="350">
        <v>16052580.323123826</v>
      </c>
      <c r="E582" s="350">
        <v>23514218.030563779</v>
      </c>
      <c r="F582" s="350">
        <v>31032117.818567239</v>
      </c>
      <c r="G582" s="350">
        <v>38607511.448310867</v>
      </c>
      <c r="H582" s="348">
        <v>117853045.85794698</v>
      </c>
      <c r="I582" s="369"/>
      <c r="J582" s="350">
        <v>9773083.9729902465</v>
      </c>
      <c r="K582" s="350">
        <v>19375108.038723383</v>
      </c>
      <c r="L582" s="350">
        <v>28731824.790116511</v>
      </c>
      <c r="M582" s="350">
        <v>37836553.536258757</v>
      </c>
      <c r="N582" s="350">
        <v>46684899.021726981</v>
      </c>
      <c r="O582" s="348">
        <v>142401469.3598159</v>
      </c>
      <c r="P582" s="369"/>
      <c r="Q582" s="350">
        <f t="shared" si="237"/>
        <v>1126465.7356089782</v>
      </c>
      <c r="R582" s="350">
        <f t="shared" si="238"/>
        <v>3322527.7155995574</v>
      </c>
      <c r="S582" s="350">
        <f t="shared" si="239"/>
        <v>5217606.7595527321</v>
      </c>
      <c r="T582" s="350">
        <f t="shared" si="240"/>
        <v>6804435.7176915184</v>
      </c>
      <c r="U582" s="350">
        <f t="shared" si="241"/>
        <v>8077387.5734161139</v>
      </c>
      <c r="V582" s="350">
        <f t="shared" si="242"/>
        <v>24548423.501868919</v>
      </c>
      <c r="W582" s="365"/>
      <c r="X582" s="377">
        <f t="shared" si="220"/>
        <v>0</v>
      </c>
      <c r="Y582" s="377">
        <f t="shared" si="221"/>
        <v>0</v>
      </c>
      <c r="Z582" s="377">
        <f t="shared" si="222"/>
        <v>0</v>
      </c>
      <c r="AA582" s="377">
        <f t="shared" si="223"/>
        <v>0</v>
      </c>
      <c r="AB582" s="377">
        <f t="shared" si="224"/>
        <v>0</v>
      </c>
      <c r="AC582" s="377">
        <f t="shared" si="225"/>
        <v>0</v>
      </c>
      <c r="AD582" s="376"/>
      <c r="AE582" s="332">
        <v>567</v>
      </c>
      <c r="AF582" s="350">
        <v>10164195.41118977</v>
      </c>
      <c r="AG582" s="350">
        <v>20408212.002947565</v>
      </c>
      <c r="AH582" s="350">
        <v>30729755.859959517</v>
      </c>
      <c r="AI582" s="350">
        <v>41129169.215185851</v>
      </c>
      <c r="AJ582" s="350">
        <v>51607951.810276687</v>
      </c>
      <c r="AK582" s="348">
        <v>154039284.29955938</v>
      </c>
      <c r="AL582" s="369"/>
      <c r="AM582" s="350">
        <v>11364339.122194465</v>
      </c>
      <c r="AN582" s="350">
        <v>23942075.333218705</v>
      </c>
      <c r="AO582" s="350">
        <v>36124674.615695402</v>
      </c>
      <c r="AP582" s="350">
        <v>47904174.843733594</v>
      </c>
      <c r="AQ582" s="350">
        <v>59275644.035331592</v>
      </c>
      <c r="AR582" s="348">
        <v>178610907.95017377</v>
      </c>
      <c r="AS582" s="369"/>
      <c r="AT582" s="350">
        <f t="shared" si="243"/>
        <v>1200143.7110046949</v>
      </c>
      <c r="AU582" s="350">
        <f t="shared" si="226"/>
        <v>3533863.3302711397</v>
      </c>
      <c r="AV582" s="350">
        <f t="shared" si="227"/>
        <v>5394918.7557358854</v>
      </c>
      <c r="AW582" s="350">
        <f t="shared" si="228"/>
        <v>6775005.628547743</v>
      </c>
      <c r="AX582" s="350">
        <f t="shared" si="229"/>
        <v>7667692.2250549048</v>
      </c>
      <c r="AY582" s="350">
        <f t="shared" si="230"/>
        <v>24571623.650614381</v>
      </c>
      <c r="AZ582" s="365"/>
      <c r="BA582" s="377">
        <f t="shared" si="231"/>
        <v>0</v>
      </c>
      <c r="BB582" s="377">
        <f t="shared" si="232"/>
        <v>0</v>
      </c>
      <c r="BC582" s="377">
        <f t="shared" si="233"/>
        <v>0</v>
      </c>
      <c r="BD582" s="377">
        <f t="shared" si="234"/>
        <v>0</v>
      </c>
      <c r="BE582" s="377">
        <f t="shared" si="235"/>
        <v>0</v>
      </c>
      <c r="BF582" s="377">
        <f t="shared" si="236"/>
        <v>0</v>
      </c>
      <c r="BG582" s="328"/>
    </row>
    <row r="583" spans="2:59">
      <c r="B583" s="332">
        <v>568</v>
      </c>
      <c r="C583" s="350">
        <v>7688436.3647671677</v>
      </c>
      <c r="D583" s="350">
        <v>14579918.979706047</v>
      </c>
      <c r="E583" s="350">
        <v>21523312.26168675</v>
      </c>
      <c r="F583" s="350">
        <v>28519068.571569845</v>
      </c>
      <c r="G583" s="350">
        <v>35568293.482437305</v>
      </c>
      <c r="H583" s="348">
        <v>107879029.66016713</v>
      </c>
      <c r="I583" s="369"/>
      <c r="J583" s="350">
        <v>8972018.8597654812</v>
      </c>
      <c r="K583" s="350">
        <v>18369663.406571805</v>
      </c>
      <c r="L583" s="350">
        <v>27547081.624809887</v>
      </c>
      <c r="M583" s="350">
        <v>36497848.899601355</v>
      </c>
      <c r="N583" s="350">
        <v>45218023.382091425</v>
      </c>
      <c r="O583" s="348">
        <v>136604636.17283997</v>
      </c>
      <c r="P583" s="369"/>
      <c r="Q583" s="350">
        <f t="shared" si="237"/>
        <v>1283582.4949983135</v>
      </c>
      <c r="R583" s="350">
        <f t="shared" si="238"/>
        <v>3789744.4268657584</v>
      </c>
      <c r="S583" s="350">
        <f t="shared" si="239"/>
        <v>6023769.3631231375</v>
      </c>
      <c r="T583" s="350">
        <f t="shared" si="240"/>
        <v>7978780.3280315101</v>
      </c>
      <c r="U583" s="350">
        <f t="shared" si="241"/>
        <v>9649729.8996541202</v>
      </c>
      <c r="V583" s="350">
        <f t="shared" si="242"/>
        <v>28725606.512672842</v>
      </c>
      <c r="W583" s="365"/>
      <c r="X583" s="377">
        <f t="shared" si="220"/>
        <v>0</v>
      </c>
      <c r="Y583" s="377">
        <f t="shared" si="221"/>
        <v>0</v>
      </c>
      <c r="Z583" s="377">
        <f t="shared" si="222"/>
        <v>0</v>
      </c>
      <c r="AA583" s="377">
        <f t="shared" si="223"/>
        <v>0</v>
      </c>
      <c r="AB583" s="377">
        <f t="shared" si="224"/>
        <v>0</v>
      </c>
      <c r="AC583" s="377">
        <f t="shared" si="225"/>
        <v>0</v>
      </c>
      <c r="AD583" s="376"/>
      <c r="AE583" s="332">
        <v>568</v>
      </c>
      <c r="AF583" s="350">
        <v>6551001.5285309181</v>
      </c>
      <c r="AG583" s="350">
        <v>13153449.202551581</v>
      </c>
      <c r="AH583" s="350">
        <v>19805864.553563546</v>
      </c>
      <c r="AI583" s="350">
        <v>26508468.156689078</v>
      </c>
      <c r="AJ583" s="350">
        <v>33262226.621624749</v>
      </c>
      <c r="AK583" s="348">
        <v>99281010.06295988</v>
      </c>
      <c r="AL583" s="369"/>
      <c r="AM583" s="350">
        <v>7468193.7823863169</v>
      </c>
      <c r="AN583" s="350">
        <v>15857194.585696829</v>
      </c>
      <c r="AO583" s="350">
        <v>23995825.956122953</v>
      </c>
      <c r="AP583" s="350">
        <v>31878915.526760288</v>
      </c>
      <c r="AQ583" s="350">
        <v>39503430.061841622</v>
      </c>
      <c r="AR583" s="348">
        <v>118703559.91280802</v>
      </c>
      <c r="AS583" s="369"/>
      <c r="AT583" s="350">
        <f t="shared" si="243"/>
        <v>917192.25385539886</v>
      </c>
      <c r="AU583" s="350">
        <f t="shared" si="226"/>
        <v>2703745.3831452485</v>
      </c>
      <c r="AV583" s="350">
        <f t="shared" si="227"/>
        <v>4189961.4025594071</v>
      </c>
      <c r="AW583" s="350">
        <f t="shared" si="228"/>
        <v>5370447.37007121</v>
      </c>
      <c r="AX583" s="350">
        <f t="shared" si="229"/>
        <v>6241203.4402168728</v>
      </c>
      <c r="AY583" s="350">
        <f t="shared" si="230"/>
        <v>19422549.849848136</v>
      </c>
      <c r="AZ583" s="365"/>
      <c r="BA583" s="377">
        <f t="shared" si="231"/>
        <v>0</v>
      </c>
      <c r="BB583" s="377">
        <f t="shared" si="232"/>
        <v>0</v>
      </c>
      <c r="BC583" s="377">
        <f t="shared" si="233"/>
        <v>0</v>
      </c>
      <c r="BD583" s="377">
        <f t="shared" si="234"/>
        <v>0</v>
      </c>
      <c r="BE583" s="377">
        <f t="shared" si="235"/>
        <v>0</v>
      </c>
      <c r="BF583" s="377">
        <f t="shared" si="236"/>
        <v>0</v>
      </c>
      <c r="BG583" s="328"/>
    </row>
    <row r="584" spans="2:59">
      <c r="B584" s="332">
        <v>569</v>
      </c>
      <c r="C584" s="350">
        <v>7077850.1868881071</v>
      </c>
      <c r="D584" s="350">
        <v>13404410.403642476</v>
      </c>
      <c r="E584" s="350">
        <v>19778620.311299115</v>
      </c>
      <c r="F584" s="350">
        <v>26200900.324169148</v>
      </c>
      <c r="G584" s="350">
        <v>32672267.621436685</v>
      </c>
      <c r="H584" s="348">
        <v>99134048.847435534</v>
      </c>
      <c r="I584" s="369"/>
      <c r="J584" s="350">
        <v>8388271.9555118652</v>
      </c>
      <c r="K584" s="350">
        <v>17275146.773654334</v>
      </c>
      <c r="L584" s="350">
        <v>25967511.3063781</v>
      </c>
      <c r="M584" s="350">
        <v>34459289.509702943</v>
      </c>
      <c r="N584" s="350">
        <v>42746847.060288779</v>
      </c>
      <c r="O584" s="348">
        <v>128837066.60553601</v>
      </c>
      <c r="P584" s="369"/>
      <c r="Q584" s="350">
        <f t="shared" si="237"/>
        <v>1310421.7686237581</v>
      </c>
      <c r="R584" s="350">
        <f t="shared" si="238"/>
        <v>3870736.3700118586</v>
      </c>
      <c r="S584" s="350">
        <f t="shared" si="239"/>
        <v>6188890.9950789846</v>
      </c>
      <c r="T584" s="350">
        <f t="shared" si="240"/>
        <v>8258389.1855337955</v>
      </c>
      <c r="U584" s="350">
        <f t="shared" si="241"/>
        <v>10074579.438852094</v>
      </c>
      <c r="V584" s="350">
        <f t="shared" si="242"/>
        <v>29703017.75810048</v>
      </c>
      <c r="W584" s="365"/>
      <c r="X584" s="377">
        <f t="shared" si="220"/>
        <v>0</v>
      </c>
      <c r="Y584" s="377">
        <f t="shared" si="221"/>
        <v>0</v>
      </c>
      <c r="Z584" s="377">
        <f t="shared" si="222"/>
        <v>0</v>
      </c>
      <c r="AA584" s="377">
        <f t="shared" si="223"/>
        <v>0</v>
      </c>
      <c r="AB584" s="377">
        <f t="shared" si="224"/>
        <v>0</v>
      </c>
      <c r="AC584" s="377">
        <f t="shared" si="225"/>
        <v>0</v>
      </c>
      <c r="AD584" s="376"/>
      <c r="AE584" s="332">
        <v>569</v>
      </c>
      <c r="AF584" s="350">
        <v>4801512.1467723036</v>
      </c>
      <c r="AG584" s="350">
        <v>9640731.3970153984</v>
      </c>
      <c r="AH584" s="350">
        <v>14516574.117269121</v>
      </c>
      <c r="AI584" s="350">
        <v>19429201.976573575</v>
      </c>
      <c r="AJ584" s="350">
        <v>24379323.444951102</v>
      </c>
      <c r="AK584" s="348">
        <v>72767343.082581505</v>
      </c>
      <c r="AL584" s="369"/>
      <c r="AM584" s="350">
        <v>6033065.269184377</v>
      </c>
      <c r="AN584" s="350">
        <v>13281152.526155358</v>
      </c>
      <c r="AO584" s="350">
        <v>20362484.514719561</v>
      </c>
      <c r="AP584" s="350">
        <v>27273111.991915099</v>
      </c>
      <c r="AQ584" s="350">
        <v>34011378.211258337</v>
      </c>
      <c r="AR584" s="348">
        <v>100961192.51323274</v>
      </c>
      <c r="AS584" s="369"/>
      <c r="AT584" s="350">
        <f t="shared" si="243"/>
        <v>1231553.1224120734</v>
      </c>
      <c r="AU584" s="350">
        <f t="shared" si="226"/>
        <v>3640421.1291399598</v>
      </c>
      <c r="AV584" s="350">
        <f t="shared" si="227"/>
        <v>5845910.3974504396</v>
      </c>
      <c r="AW584" s="350">
        <f t="shared" si="228"/>
        <v>7843910.015341524</v>
      </c>
      <c r="AX584" s="350">
        <f t="shared" si="229"/>
        <v>9632054.7663072348</v>
      </c>
      <c r="AY584" s="350">
        <f t="shared" si="230"/>
        <v>28193849.430651233</v>
      </c>
      <c r="AZ584" s="365"/>
      <c r="BA584" s="377">
        <f t="shared" si="231"/>
        <v>0</v>
      </c>
      <c r="BB584" s="377">
        <f t="shared" si="232"/>
        <v>0</v>
      </c>
      <c r="BC584" s="377">
        <f t="shared" si="233"/>
        <v>0</v>
      </c>
      <c r="BD584" s="377">
        <f t="shared" si="234"/>
        <v>0</v>
      </c>
      <c r="BE584" s="377">
        <f t="shared" si="235"/>
        <v>0</v>
      </c>
      <c r="BF584" s="377">
        <f t="shared" si="236"/>
        <v>0</v>
      </c>
      <c r="BG584" s="328"/>
    </row>
    <row r="585" spans="2:59">
      <c r="B585" s="332">
        <v>570</v>
      </c>
      <c r="C585" s="350">
        <v>9780857.7661565468</v>
      </c>
      <c r="D585" s="350">
        <v>18395087.591171078</v>
      </c>
      <c r="E585" s="350">
        <v>27074155.839925945</v>
      </c>
      <c r="F585" s="350">
        <v>35818672.4647827</v>
      </c>
      <c r="G585" s="350">
        <v>44630038.778238848</v>
      </c>
      <c r="H585" s="348">
        <v>135698812.44027513</v>
      </c>
      <c r="I585" s="369"/>
      <c r="J585" s="350">
        <v>11011788.292824056</v>
      </c>
      <c r="K585" s="350">
        <v>22024433.329316247</v>
      </c>
      <c r="L585" s="350">
        <v>32750017.729112908</v>
      </c>
      <c r="M585" s="350">
        <v>43180681.067421123</v>
      </c>
      <c r="N585" s="350">
        <v>53311158.065982103</v>
      </c>
      <c r="O585" s="348">
        <v>162278078.48465645</v>
      </c>
      <c r="P585" s="369"/>
      <c r="Q585" s="350">
        <f t="shared" si="237"/>
        <v>1230930.5266675092</v>
      </c>
      <c r="R585" s="350">
        <f t="shared" si="238"/>
        <v>3629345.7381451689</v>
      </c>
      <c r="S585" s="350">
        <f t="shared" si="239"/>
        <v>5675861.8891869634</v>
      </c>
      <c r="T585" s="350">
        <f t="shared" si="240"/>
        <v>7362008.6026384234</v>
      </c>
      <c r="U585" s="350">
        <f t="shared" si="241"/>
        <v>8681119.2877432555</v>
      </c>
      <c r="V585" s="350">
        <f t="shared" si="242"/>
        <v>26579266.04438132</v>
      </c>
      <c r="W585" s="365"/>
      <c r="X585" s="377">
        <f t="shared" si="220"/>
        <v>0</v>
      </c>
      <c r="Y585" s="377">
        <f t="shared" si="221"/>
        <v>0</v>
      </c>
      <c r="Z585" s="377">
        <f t="shared" si="222"/>
        <v>0</v>
      </c>
      <c r="AA585" s="377">
        <f t="shared" si="223"/>
        <v>0</v>
      </c>
      <c r="AB585" s="377">
        <f t="shared" si="224"/>
        <v>0</v>
      </c>
      <c r="AC585" s="377">
        <f t="shared" si="225"/>
        <v>0</v>
      </c>
      <c r="AD585" s="376"/>
      <c r="AE585" s="332">
        <v>570</v>
      </c>
      <c r="AF585" s="350">
        <v>5759502.6495840941</v>
      </c>
      <c r="AG585" s="350">
        <v>11564235.667375037</v>
      </c>
      <c r="AH585" s="350">
        <v>17412899.214989793</v>
      </c>
      <c r="AI585" s="350">
        <v>23305687.21743289</v>
      </c>
      <c r="AJ585" s="350">
        <v>29243449.497603059</v>
      </c>
      <c r="AK585" s="348">
        <v>87285774.246984869</v>
      </c>
      <c r="AL585" s="369"/>
      <c r="AM585" s="350">
        <v>6913113.2554134522</v>
      </c>
      <c r="AN585" s="350">
        <v>14971107.204272907</v>
      </c>
      <c r="AO585" s="350">
        <v>22819381.400120378</v>
      </c>
      <c r="AP585" s="350">
        <v>30453290.196056589</v>
      </c>
      <c r="AQ585" s="350">
        <v>37870518.502170175</v>
      </c>
      <c r="AR585" s="348">
        <v>113027410.5580335</v>
      </c>
      <c r="AS585" s="369"/>
      <c r="AT585" s="350">
        <f t="shared" si="243"/>
        <v>1153610.6058293581</v>
      </c>
      <c r="AU585" s="350">
        <f t="shared" si="226"/>
        <v>3406871.5368978698</v>
      </c>
      <c r="AV585" s="350">
        <f t="shared" si="227"/>
        <v>5406482.185130585</v>
      </c>
      <c r="AW585" s="350">
        <f t="shared" si="228"/>
        <v>7147602.9786236994</v>
      </c>
      <c r="AX585" s="350">
        <f t="shared" si="229"/>
        <v>8627069.0045671165</v>
      </c>
      <c r="AY585" s="350">
        <f t="shared" si="230"/>
        <v>25741636.311048627</v>
      </c>
      <c r="AZ585" s="365"/>
      <c r="BA585" s="377">
        <f t="shared" si="231"/>
        <v>0</v>
      </c>
      <c r="BB585" s="377">
        <f t="shared" si="232"/>
        <v>0</v>
      </c>
      <c r="BC585" s="377">
        <f t="shared" si="233"/>
        <v>0</v>
      </c>
      <c r="BD585" s="377">
        <f t="shared" si="234"/>
        <v>0</v>
      </c>
      <c r="BE585" s="377">
        <f t="shared" si="235"/>
        <v>0</v>
      </c>
      <c r="BF585" s="377">
        <f t="shared" si="236"/>
        <v>0</v>
      </c>
      <c r="BG585" s="328"/>
    </row>
    <row r="586" spans="2:59">
      <c r="B586" s="332">
        <v>571</v>
      </c>
      <c r="C586" s="350">
        <v>8448498.5485793725</v>
      </c>
      <c r="D586" s="350">
        <v>16042137.464521181</v>
      </c>
      <c r="E586" s="350">
        <v>23692982.792010382</v>
      </c>
      <c r="F586" s="350">
        <v>31401526.899173826</v>
      </c>
      <c r="G586" s="350">
        <v>39168985.35666956</v>
      </c>
      <c r="H586" s="348">
        <v>118754131.06095432</v>
      </c>
      <c r="I586" s="369"/>
      <c r="J586" s="350">
        <v>9759240.5980038028</v>
      </c>
      <c r="K586" s="350">
        <v>19910696.069268808</v>
      </c>
      <c r="L586" s="350">
        <v>29813451.700146768</v>
      </c>
      <c r="M586" s="350">
        <v>39460566.174264632</v>
      </c>
      <c r="N586" s="350">
        <v>48847707.600500688</v>
      </c>
      <c r="O586" s="348">
        <v>147791662.14218467</v>
      </c>
      <c r="P586" s="369"/>
      <c r="Q586" s="350">
        <f t="shared" si="237"/>
        <v>1310742.0494244304</v>
      </c>
      <c r="R586" s="350">
        <f t="shared" si="238"/>
        <v>3868558.6047476269</v>
      </c>
      <c r="S586" s="350">
        <f t="shared" si="239"/>
        <v>6120468.9081363864</v>
      </c>
      <c r="T586" s="350">
        <f t="shared" si="240"/>
        <v>8059039.2750908062</v>
      </c>
      <c r="U586" s="350">
        <f t="shared" si="241"/>
        <v>9678722.2438311279</v>
      </c>
      <c r="V586" s="350">
        <f t="shared" si="242"/>
        <v>29037531.081230357</v>
      </c>
      <c r="W586" s="365"/>
      <c r="X586" s="377">
        <f t="shared" si="220"/>
        <v>0</v>
      </c>
      <c r="Y586" s="377">
        <f t="shared" si="221"/>
        <v>0</v>
      </c>
      <c r="Z586" s="377">
        <f t="shared" si="222"/>
        <v>0</v>
      </c>
      <c r="AA586" s="377">
        <f t="shared" si="223"/>
        <v>0</v>
      </c>
      <c r="AB586" s="377">
        <f t="shared" si="224"/>
        <v>0</v>
      </c>
      <c r="AC586" s="377">
        <f t="shared" si="225"/>
        <v>0</v>
      </c>
      <c r="AD586" s="376"/>
      <c r="AE586" s="332">
        <v>571</v>
      </c>
      <c r="AF586" s="350">
        <v>8602652.4733640738</v>
      </c>
      <c r="AG586" s="350">
        <v>17272863.061134759</v>
      </c>
      <c r="AH586" s="350">
        <v>26008690.266179215</v>
      </c>
      <c r="AI586" s="350">
        <v>34810423.743615493</v>
      </c>
      <c r="AJ586" s="350">
        <v>43679332.827187568</v>
      </c>
      <c r="AK586" s="348">
        <v>130373962.37148111</v>
      </c>
      <c r="AL586" s="369"/>
      <c r="AM586" s="350">
        <v>10177969.045575779</v>
      </c>
      <c r="AN586" s="350">
        <v>21923282.783754118</v>
      </c>
      <c r="AO586" s="350">
        <v>33350923.953146379</v>
      </c>
      <c r="AP586" s="350">
        <v>44453995.400697529</v>
      </c>
      <c r="AQ586" s="350">
        <v>55228889.549368039</v>
      </c>
      <c r="AR586" s="348">
        <v>165135060.73254186</v>
      </c>
      <c r="AS586" s="369"/>
      <c r="AT586" s="350">
        <f t="shared" si="243"/>
        <v>1575316.5722117051</v>
      </c>
      <c r="AU586" s="350">
        <f t="shared" si="226"/>
        <v>4650419.7226193585</v>
      </c>
      <c r="AV586" s="350">
        <f t="shared" si="227"/>
        <v>7342233.6869671643</v>
      </c>
      <c r="AW586" s="350">
        <f t="shared" si="228"/>
        <v>9643571.6570820361</v>
      </c>
      <c r="AX586" s="350">
        <f t="shared" si="229"/>
        <v>11549556.722180471</v>
      </c>
      <c r="AY586" s="350">
        <f t="shared" si="230"/>
        <v>34761098.361060753</v>
      </c>
      <c r="AZ586" s="365"/>
      <c r="BA586" s="377">
        <f t="shared" si="231"/>
        <v>0</v>
      </c>
      <c r="BB586" s="377">
        <f t="shared" si="232"/>
        <v>0</v>
      </c>
      <c r="BC586" s="377">
        <f t="shared" si="233"/>
        <v>0</v>
      </c>
      <c r="BD586" s="377">
        <f t="shared" si="234"/>
        <v>0</v>
      </c>
      <c r="BE586" s="377">
        <f t="shared" si="235"/>
        <v>0</v>
      </c>
      <c r="BF586" s="377">
        <f t="shared" si="236"/>
        <v>0</v>
      </c>
      <c r="BG586" s="328"/>
    </row>
    <row r="587" spans="2:59">
      <c r="B587" s="332">
        <v>572</v>
      </c>
      <c r="C587" s="350">
        <v>6241657.3164329166</v>
      </c>
      <c r="D587" s="350">
        <v>11803304.255629044</v>
      </c>
      <c r="E587" s="350">
        <v>17406834.176631697</v>
      </c>
      <c r="F587" s="350">
        <v>23052621.769944124</v>
      </c>
      <c r="G587" s="350">
        <v>28741563.454411261</v>
      </c>
      <c r="H587" s="348">
        <v>87245980.973049045</v>
      </c>
      <c r="I587" s="369"/>
      <c r="J587" s="350">
        <v>7164488.9858100489</v>
      </c>
      <c r="K587" s="350">
        <v>14526454.942953235</v>
      </c>
      <c r="L587" s="350">
        <v>21712489.800429434</v>
      </c>
      <c r="M587" s="350">
        <v>28717252.265369177</v>
      </c>
      <c r="N587" s="350">
        <v>35537244.901298761</v>
      </c>
      <c r="O587" s="348">
        <v>107657930.89586066</v>
      </c>
      <c r="P587" s="369"/>
      <c r="Q587" s="350">
        <f t="shared" si="237"/>
        <v>922831.66937713232</v>
      </c>
      <c r="R587" s="350">
        <f t="shared" si="238"/>
        <v>2723150.6873241905</v>
      </c>
      <c r="S587" s="350">
        <f t="shared" si="239"/>
        <v>4305655.6237977371</v>
      </c>
      <c r="T587" s="350">
        <f t="shared" si="240"/>
        <v>5664630.4954250529</v>
      </c>
      <c r="U587" s="350">
        <f t="shared" si="241"/>
        <v>6795681.4468875006</v>
      </c>
      <c r="V587" s="350">
        <f t="shared" si="242"/>
        <v>20411949.922811612</v>
      </c>
      <c r="W587" s="365"/>
      <c r="X587" s="377">
        <f t="shared" si="220"/>
        <v>0</v>
      </c>
      <c r="Y587" s="377">
        <f t="shared" si="221"/>
        <v>0</v>
      </c>
      <c r="Z587" s="377">
        <f t="shared" si="222"/>
        <v>0</v>
      </c>
      <c r="AA587" s="377">
        <f t="shared" si="223"/>
        <v>0</v>
      </c>
      <c r="AB587" s="377">
        <f t="shared" si="224"/>
        <v>0</v>
      </c>
      <c r="AC587" s="377">
        <f t="shared" si="225"/>
        <v>0</v>
      </c>
      <c r="AD587" s="376"/>
      <c r="AE587" s="332">
        <v>572</v>
      </c>
      <c r="AF587" s="350">
        <v>6489518.176658053</v>
      </c>
      <c r="AG587" s="350">
        <v>13029999.6594336</v>
      </c>
      <c r="AH587" s="350">
        <v>19619979.855752133</v>
      </c>
      <c r="AI587" s="350">
        <v>26259677.270564236</v>
      </c>
      <c r="AJ587" s="350">
        <v>32950049.441609498</v>
      </c>
      <c r="AK587" s="348">
        <v>98349224.404017523</v>
      </c>
      <c r="AL587" s="369"/>
      <c r="AM587" s="350">
        <v>7700282.5376211815</v>
      </c>
      <c r="AN587" s="350">
        <v>16604547.411762239</v>
      </c>
      <c r="AO587" s="350">
        <v>25269843.048559345</v>
      </c>
      <c r="AP587" s="350">
        <v>33690960.157722652</v>
      </c>
      <c r="AQ587" s="350">
        <v>41865200.009189591</v>
      </c>
      <c r="AR587" s="348">
        <v>125130833.16485502</v>
      </c>
      <c r="AS587" s="369"/>
      <c r="AT587" s="350">
        <f t="shared" si="243"/>
        <v>1210764.3609631285</v>
      </c>
      <c r="AU587" s="350">
        <f t="shared" si="226"/>
        <v>3574547.7523286399</v>
      </c>
      <c r="AV587" s="350">
        <f t="shared" si="227"/>
        <v>5649863.1928072125</v>
      </c>
      <c r="AW587" s="350">
        <f t="shared" si="228"/>
        <v>7431282.8871584162</v>
      </c>
      <c r="AX587" s="350">
        <f t="shared" si="229"/>
        <v>8915150.5675800927</v>
      </c>
      <c r="AY587" s="350">
        <f t="shared" si="230"/>
        <v>26781608.760837495</v>
      </c>
      <c r="AZ587" s="365"/>
      <c r="BA587" s="377">
        <f t="shared" si="231"/>
        <v>0</v>
      </c>
      <c r="BB587" s="377">
        <f t="shared" si="232"/>
        <v>0</v>
      </c>
      <c r="BC587" s="377">
        <f t="shared" si="233"/>
        <v>0</v>
      </c>
      <c r="BD587" s="377">
        <f t="shared" si="234"/>
        <v>0</v>
      </c>
      <c r="BE587" s="377">
        <f t="shared" si="235"/>
        <v>0</v>
      </c>
      <c r="BF587" s="377">
        <f t="shared" si="236"/>
        <v>0</v>
      </c>
      <c r="BG587" s="328"/>
    </row>
    <row r="588" spans="2:59">
      <c r="B588" s="332">
        <v>573</v>
      </c>
      <c r="C588" s="350">
        <v>7868188.7447538516</v>
      </c>
      <c r="D588" s="350">
        <v>14843819.405964863</v>
      </c>
      <c r="E588" s="350">
        <v>21871969.910027273</v>
      </c>
      <c r="F588" s="350">
        <v>28953120.565275535</v>
      </c>
      <c r="G588" s="350">
        <v>36088400.200943463</v>
      </c>
      <c r="H588" s="348">
        <v>109625498.82696497</v>
      </c>
      <c r="I588" s="369"/>
      <c r="J588" s="350">
        <v>8811880.201595027</v>
      </c>
      <c r="K588" s="350">
        <v>17625323.349705148</v>
      </c>
      <c r="L588" s="350">
        <v>26198052.963161234</v>
      </c>
      <c r="M588" s="350">
        <v>34523958.741620213</v>
      </c>
      <c r="N588" s="350">
        <v>42598980.930237792</v>
      </c>
      <c r="O588" s="348">
        <v>129758196.18631941</v>
      </c>
      <c r="P588" s="369"/>
      <c r="Q588" s="350">
        <f t="shared" si="237"/>
        <v>943691.45684117544</v>
      </c>
      <c r="R588" s="350">
        <f t="shared" si="238"/>
        <v>2781503.9437402859</v>
      </c>
      <c r="S588" s="350">
        <f t="shared" si="239"/>
        <v>4326083.0531339608</v>
      </c>
      <c r="T588" s="350">
        <f t="shared" si="240"/>
        <v>5570838.1763446778</v>
      </c>
      <c r="U588" s="350">
        <f t="shared" si="241"/>
        <v>6510580.7292943299</v>
      </c>
      <c r="V588" s="350">
        <f t="shared" si="242"/>
        <v>20132697.359354436</v>
      </c>
      <c r="W588" s="365"/>
      <c r="X588" s="377">
        <f t="shared" si="220"/>
        <v>0</v>
      </c>
      <c r="Y588" s="377">
        <f t="shared" si="221"/>
        <v>0</v>
      </c>
      <c r="Z588" s="377">
        <f t="shared" si="222"/>
        <v>0</v>
      </c>
      <c r="AA588" s="377">
        <f t="shared" si="223"/>
        <v>0</v>
      </c>
      <c r="AB588" s="377">
        <f t="shared" si="224"/>
        <v>0</v>
      </c>
      <c r="AC588" s="377">
        <f t="shared" si="225"/>
        <v>0</v>
      </c>
      <c r="AD588" s="376"/>
      <c r="AE588" s="332">
        <v>573</v>
      </c>
      <c r="AF588" s="350">
        <v>6921190.7192114647</v>
      </c>
      <c r="AG588" s="350">
        <v>13896734.743509497</v>
      </c>
      <c r="AH588" s="350">
        <v>20925070.057925016</v>
      </c>
      <c r="AI588" s="350">
        <v>28006429.702014253</v>
      </c>
      <c r="AJ588" s="350">
        <v>35141834.907421239</v>
      </c>
      <c r="AK588" s="348">
        <v>104891260.13008147</v>
      </c>
      <c r="AL588" s="369"/>
      <c r="AM588" s="350">
        <v>7593459.9269053154</v>
      </c>
      <c r="AN588" s="350">
        <v>15873184.821607227</v>
      </c>
      <c r="AO588" s="350">
        <v>23879504.378739551</v>
      </c>
      <c r="AP588" s="350">
        <v>31607037.879793257</v>
      </c>
      <c r="AQ588" s="350">
        <v>39052280.143821299</v>
      </c>
      <c r="AR588" s="348">
        <v>118005467.15086666</v>
      </c>
      <c r="AS588" s="369"/>
      <c r="AT588" s="350">
        <f t="shared" si="243"/>
        <v>672269.20769385062</v>
      </c>
      <c r="AU588" s="350">
        <f t="shared" si="226"/>
        <v>1976450.078097729</v>
      </c>
      <c r="AV588" s="350">
        <f t="shared" si="227"/>
        <v>2954434.320814535</v>
      </c>
      <c r="AW588" s="350">
        <f t="shared" si="228"/>
        <v>3600608.177779004</v>
      </c>
      <c r="AX588" s="350">
        <f t="shared" si="229"/>
        <v>3910445.2364000604</v>
      </c>
      <c r="AY588" s="350">
        <f t="shared" si="230"/>
        <v>13114207.020785183</v>
      </c>
      <c r="AZ588" s="365"/>
      <c r="BA588" s="377">
        <f t="shared" si="231"/>
        <v>0</v>
      </c>
      <c r="BB588" s="377">
        <f t="shared" si="232"/>
        <v>0</v>
      </c>
      <c r="BC588" s="377">
        <f t="shared" si="233"/>
        <v>0</v>
      </c>
      <c r="BD588" s="377">
        <f t="shared" si="234"/>
        <v>0</v>
      </c>
      <c r="BE588" s="377">
        <f t="shared" si="235"/>
        <v>0</v>
      </c>
      <c r="BF588" s="377">
        <f t="shared" si="236"/>
        <v>0</v>
      </c>
      <c r="BG588" s="328"/>
    </row>
    <row r="589" spans="2:59">
      <c r="B589" s="332">
        <v>574</v>
      </c>
      <c r="C589" s="350">
        <v>7030979.0728021059</v>
      </c>
      <c r="D589" s="350">
        <v>13318951.344332216</v>
      </c>
      <c r="E589" s="350">
        <v>19654283.737770356</v>
      </c>
      <c r="F589" s="350">
        <v>26037393.136790283</v>
      </c>
      <c r="G589" s="350">
        <v>32469290.095967408</v>
      </c>
      <c r="H589" s="348">
        <v>98510897.387662366</v>
      </c>
      <c r="I589" s="369"/>
      <c r="J589" s="350">
        <v>7841144.1460707635</v>
      </c>
      <c r="K589" s="350">
        <v>15706143.947054679</v>
      </c>
      <c r="L589" s="350">
        <v>23351462.874710642</v>
      </c>
      <c r="M589" s="350">
        <v>30771641.067417428</v>
      </c>
      <c r="N589" s="350">
        <v>37963025.885952368</v>
      </c>
      <c r="O589" s="348">
        <v>115633417.92120588</v>
      </c>
      <c r="P589" s="369"/>
      <c r="Q589" s="350">
        <f t="shared" si="237"/>
        <v>810165.07326865755</v>
      </c>
      <c r="R589" s="350">
        <f t="shared" si="238"/>
        <v>2387192.6027224623</v>
      </c>
      <c r="S589" s="350">
        <f t="shared" si="239"/>
        <v>3697179.1369402856</v>
      </c>
      <c r="T589" s="350">
        <f t="shared" si="240"/>
        <v>4734247.9306271449</v>
      </c>
      <c r="U589" s="350">
        <f t="shared" si="241"/>
        <v>5493735.7899849601</v>
      </c>
      <c r="V589" s="350">
        <f t="shared" si="242"/>
        <v>17122520.533543512</v>
      </c>
      <c r="W589" s="365"/>
      <c r="X589" s="377">
        <f t="shared" si="220"/>
        <v>0</v>
      </c>
      <c r="Y589" s="377">
        <f t="shared" si="221"/>
        <v>0</v>
      </c>
      <c r="Z589" s="377">
        <f t="shared" si="222"/>
        <v>0</v>
      </c>
      <c r="AA589" s="377">
        <f t="shared" si="223"/>
        <v>0</v>
      </c>
      <c r="AB589" s="377">
        <f t="shared" si="224"/>
        <v>0</v>
      </c>
      <c r="AC589" s="377">
        <f t="shared" si="225"/>
        <v>0</v>
      </c>
      <c r="AD589" s="376"/>
      <c r="AE589" s="332">
        <v>574</v>
      </c>
      <c r="AF589" s="350">
        <v>4794254.3072305508</v>
      </c>
      <c r="AG589" s="350">
        <v>9626158.7208655085</v>
      </c>
      <c r="AH589" s="350">
        <v>14494631.245436562</v>
      </c>
      <c r="AI589" s="350">
        <v>19399833.305609144</v>
      </c>
      <c r="AJ589" s="350">
        <v>24342472.300500937</v>
      </c>
      <c r="AK589" s="348">
        <v>72657349.879642695</v>
      </c>
      <c r="AL589" s="369"/>
      <c r="AM589" s="350">
        <v>5887598.7198352637</v>
      </c>
      <c r="AN589" s="350">
        <v>12856711.54697587</v>
      </c>
      <c r="AO589" s="350">
        <v>19655237.529148899</v>
      </c>
      <c r="AP589" s="350">
        <v>26279271.956989296</v>
      </c>
      <c r="AQ589" s="350">
        <v>32727022.500633016</v>
      </c>
      <c r="AR589" s="348">
        <v>97405842.253582343</v>
      </c>
      <c r="AS589" s="369"/>
      <c r="AT589" s="350">
        <f t="shared" si="243"/>
        <v>1093344.4126047129</v>
      </c>
      <c r="AU589" s="350">
        <f t="shared" si="226"/>
        <v>3230552.8261103611</v>
      </c>
      <c r="AV589" s="350">
        <f t="shared" si="227"/>
        <v>5160606.2837123368</v>
      </c>
      <c r="AW589" s="350">
        <f t="shared" si="228"/>
        <v>6879438.6513801515</v>
      </c>
      <c r="AX589" s="350">
        <f t="shared" si="229"/>
        <v>8384550.2001320794</v>
      </c>
      <c r="AY589" s="350">
        <f t="shared" si="230"/>
        <v>24748492.373939648</v>
      </c>
      <c r="AZ589" s="365"/>
      <c r="BA589" s="377">
        <f t="shared" si="231"/>
        <v>0</v>
      </c>
      <c r="BB589" s="377">
        <f t="shared" si="232"/>
        <v>0</v>
      </c>
      <c r="BC589" s="377">
        <f t="shared" si="233"/>
        <v>0</v>
      </c>
      <c r="BD589" s="377">
        <f t="shared" si="234"/>
        <v>0</v>
      </c>
      <c r="BE589" s="377">
        <f t="shared" si="235"/>
        <v>0</v>
      </c>
      <c r="BF589" s="377">
        <f t="shared" si="236"/>
        <v>0</v>
      </c>
      <c r="BG589" s="328"/>
    </row>
    <row r="590" spans="2:59">
      <c r="B590" s="332">
        <v>575</v>
      </c>
      <c r="C590" s="350">
        <v>8663895.5464530401</v>
      </c>
      <c r="D590" s="350">
        <v>16299221.178461578</v>
      </c>
      <c r="E590" s="350">
        <v>23992018.698900599</v>
      </c>
      <c r="F590" s="350">
        <v>31742827.314124726</v>
      </c>
      <c r="G590" s="350">
        <v>39552888.471071474</v>
      </c>
      <c r="H590" s="348">
        <v>120250851.20901144</v>
      </c>
      <c r="I590" s="369"/>
      <c r="J590" s="350">
        <v>9892942.1379504055</v>
      </c>
      <c r="K590" s="350">
        <v>19925407.663319021</v>
      </c>
      <c r="L590" s="350">
        <v>29711610.214205839</v>
      </c>
      <c r="M590" s="350">
        <v>39244394.639755815</v>
      </c>
      <c r="N590" s="350">
        <v>48519079.591538593</v>
      </c>
      <c r="O590" s="348">
        <v>147293434.24676967</v>
      </c>
      <c r="P590" s="369"/>
      <c r="Q590" s="350">
        <f t="shared" si="237"/>
        <v>1229046.5914973654</v>
      </c>
      <c r="R590" s="350">
        <f t="shared" si="238"/>
        <v>3626186.4848574437</v>
      </c>
      <c r="S590" s="350">
        <f t="shared" si="239"/>
        <v>5719591.5153052397</v>
      </c>
      <c r="T590" s="350">
        <f t="shared" si="240"/>
        <v>7501567.3256310895</v>
      </c>
      <c r="U590" s="350">
        <f t="shared" si="241"/>
        <v>8966191.1204671189</v>
      </c>
      <c r="V590" s="350">
        <f t="shared" si="242"/>
        <v>27042583.037758231</v>
      </c>
      <c r="W590" s="365"/>
      <c r="X590" s="377">
        <f t="shared" si="220"/>
        <v>0</v>
      </c>
      <c r="Y590" s="377">
        <f t="shared" si="221"/>
        <v>0</v>
      </c>
      <c r="Z590" s="377">
        <f t="shared" si="222"/>
        <v>0</v>
      </c>
      <c r="AA590" s="377">
        <f t="shared" si="223"/>
        <v>0</v>
      </c>
      <c r="AB590" s="377">
        <f t="shared" si="224"/>
        <v>0</v>
      </c>
      <c r="AC590" s="377">
        <f t="shared" si="225"/>
        <v>0</v>
      </c>
      <c r="AD590" s="376"/>
      <c r="AE590" s="332">
        <v>575</v>
      </c>
      <c r="AF590" s="350">
        <v>6790548.28063263</v>
      </c>
      <c r="AG590" s="350">
        <v>13634423.908737104</v>
      </c>
      <c r="AH590" s="350">
        <v>20530094.353497133</v>
      </c>
      <c r="AI590" s="350">
        <v>27477788.255680189</v>
      </c>
      <c r="AJ590" s="350">
        <v>34478507.570450619</v>
      </c>
      <c r="AK590" s="348">
        <v>102911362.36899768</v>
      </c>
      <c r="AL590" s="369"/>
      <c r="AM590" s="350">
        <v>8079956.6298423316</v>
      </c>
      <c r="AN590" s="350">
        <v>17441454.060755298</v>
      </c>
      <c r="AO590" s="350">
        <v>26553570.444283068</v>
      </c>
      <c r="AP590" s="350">
        <v>35410848.487916991</v>
      </c>
      <c r="AQ590" s="350">
        <v>44010487.042339653</v>
      </c>
      <c r="AR590" s="348">
        <v>131496316.66513735</v>
      </c>
      <c r="AS590" s="369"/>
      <c r="AT590" s="350">
        <f t="shared" si="243"/>
        <v>1289408.3492097016</v>
      </c>
      <c r="AU590" s="350">
        <f t="shared" si="226"/>
        <v>3807030.1520181932</v>
      </c>
      <c r="AV590" s="350">
        <f t="shared" si="227"/>
        <v>6023476.0907859355</v>
      </c>
      <c r="AW590" s="350">
        <f t="shared" si="228"/>
        <v>7933060.2322368026</v>
      </c>
      <c r="AX590" s="350">
        <f t="shared" si="229"/>
        <v>9531979.4718890339</v>
      </c>
      <c r="AY590" s="350">
        <f t="shared" si="230"/>
        <v>28584954.296139672</v>
      </c>
      <c r="AZ590" s="365"/>
      <c r="BA590" s="377">
        <f t="shared" si="231"/>
        <v>0</v>
      </c>
      <c r="BB590" s="377">
        <f t="shared" si="232"/>
        <v>0</v>
      </c>
      <c r="BC590" s="377">
        <f t="shared" si="233"/>
        <v>0</v>
      </c>
      <c r="BD590" s="377">
        <f t="shared" si="234"/>
        <v>0</v>
      </c>
      <c r="BE590" s="377">
        <f t="shared" si="235"/>
        <v>0</v>
      </c>
      <c r="BF590" s="377">
        <f t="shared" si="236"/>
        <v>0</v>
      </c>
      <c r="BG590" s="328"/>
    </row>
    <row r="591" spans="2:59">
      <c r="B591" s="332">
        <v>576</v>
      </c>
      <c r="C591" s="350">
        <v>6238842.0746415369</v>
      </c>
      <c r="D591" s="350">
        <v>11704813.704235375</v>
      </c>
      <c r="E591" s="350">
        <v>17211917.769901831</v>
      </c>
      <c r="F591" s="350">
        <v>22760549.81956958</v>
      </c>
      <c r="G591" s="350">
        <v>28351602.730795387</v>
      </c>
      <c r="H591" s="348">
        <v>86267726.099143714</v>
      </c>
      <c r="I591" s="369"/>
      <c r="J591" s="350">
        <v>7111961.5079536634</v>
      </c>
      <c r="K591" s="350">
        <v>14280749.085243393</v>
      </c>
      <c r="L591" s="350">
        <v>21272282.720686413</v>
      </c>
      <c r="M591" s="350">
        <v>28081464.914890729</v>
      </c>
      <c r="N591" s="350">
        <v>34704955.882945292</v>
      </c>
      <c r="O591" s="348">
        <v>105451414.11171949</v>
      </c>
      <c r="P591" s="369"/>
      <c r="Q591" s="350">
        <f t="shared" si="237"/>
        <v>873119.43331212644</v>
      </c>
      <c r="R591" s="350">
        <f t="shared" si="238"/>
        <v>2575935.3810080178</v>
      </c>
      <c r="S591" s="350">
        <f t="shared" si="239"/>
        <v>4060364.9507845826</v>
      </c>
      <c r="T591" s="350">
        <f t="shared" si="240"/>
        <v>5320915.0953211486</v>
      </c>
      <c r="U591" s="350">
        <f t="shared" si="241"/>
        <v>6353353.1521499045</v>
      </c>
      <c r="V591" s="350">
        <f t="shared" si="242"/>
        <v>19183688.012575775</v>
      </c>
      <c r="W591" s="365"/>
      <c r="X591" s="377">
        <f t="shared" si="220"/>
        <v>0</v>
      </c>
      <c r="Y591" s="377">
        <f t="shared" si="221"/>
        <v>0</v>
      </c>
      <c r="Z591" s="377">
        <f t="shared" si="222"/>
        <v>0</v>
      </c>
      <c r="AA591" s="377">
        <f t="shared" si="223"/>
        <v>0</v>
      </c>
      <c r="AB591" s="377">
        <f t="shared" si="224"/>
        <v>0</v>
      </c>
      <c r="AC591" s="377">
        <f t="shared" si="225"/>
        <v>0</v>
      </c>
      <c r="AD591" s="376"/>
      <c r="AE591" s="332">
        <v>576</v>
      </c>
      <c r="AF591" s="350">
        <v>6452786.4039290054</v>
      </c>
      <c r="AG591" s="350">
        <v>12956247.653025575</v>
      </c>
      <c r="AH591" s="350">
        <v>19508927.444557391</v>
      </c>
      <c r="AI591" s="350">
        <v>26111043.04669999</v>
      </c>
      <c r="AJ591" s="350">
        <v>32763546.577367064</v>
      </c>
      <c r="AK591" s="348">
        <v>97792551.125579029</v>
      </c>
      <c r="AL591" s="369"/>
      <c r="AM591" s="350">
        <v>8008921.6362481816</v>
      </c>
      <c r="AN591" s="350">
        <v>17555155.819391072</v>
      </c>
      <c r="AO591" s="350">
        <v>26874322.591547891</v>
      </c>
      <c r="AP591" s="350">
        <v>35961142.52588141</v>
      </c>
      <c r="AQ591" s="350">
        <v>44813288.887940496</v>
      </c>
      <c r="AR591" s="348">
        <v>133212831.46100906</v>
      </c>
      <c r="AS591" s="369"/>
      <c r="AT591" s="350">
        <f t="shared" si="243"/>
        <v>1556135.2323191762</v>
      </c>
      <c r="AU591" s="350">
        <f t="shared" si="226"/>
        <v>4598908.1663654968</v>
      </c>
      <c r="AV591" s="350">
        <f t="shared" si="227"/>
        <v>7365395.1469905004</v>
      </c>
      <c r="AW591" s="350">
        <f t="shared" si="228"/>
        <v>9850099.4791814201</v>
      </c>
      <c r="AX591" s="350">
        <f t="shared" si="229"/>
        <v>12049742.310573433</v>
      </c>
      <c r="AY591" s="350">
        <f t="shared" si="230"/>
        <v>35420280.335430026</v>
      </c>
      <c r="AZ591" s="365"/>
      <c r="BA591" s="377">
        <f t="shared" si="231"/>
        <v>0</v>
      </c>
      <c r="BB591" s="377">
        <f t="shared" si="232"/>
        <v>0</v>
      </c>
      <c r="BC591" s="377">
        <f t="shared" si="233"/>
        <v>0</v>
      </c>
      <c r="BD591" s="377">
        <f t="shared" si="234"/>
        <v>0</v>
      </c>
      <c r="BE591" s="377">
        <f t="shared" si="235"/>
        <v>0</v>
      </c>
      <c r="BF591" s="377">
        <f t="shared" si="236"/>
        <v>0</v>
      </c>
      <c r="BG591" s="328"/>
    </row>
    <row r="592" spans="2:59">
      <c r="B592" s="332">
        <v>577</v>
      </c>
      <c r="C592" s="350">
        <v>8866707.8632202856</v>
      </c>
      <c r="D592" s="350">
        <v>16726030.696504764</v>
      </c>
      <c r="E592" s="350">
        <v>24644526.227115132</v>
      </c>
      <c r="F592" s="350">
        <v>32622736.06851181</v>
      </c>
      <c r="G592" s="350">
        <v>40661932.252558157</v>
      </c>
      <c r="H592" s="348">
        <v>123521933.10791016</v>
      </c>
      <c r="I592" s="369"/>
      <c r="J592" s="350">
        <v>9934733.7130276039</v>
      </c>
      <c r="K592" s="350">
        <v>19874096.519871764</v>
      </c>
      <c r="L592" s="350">
        <v>29538980.946084935</v>
      </c>
      <c r="M592" s="350">
        <v>38922640.016438946</v>
      </c>
      <c r="N592" s="350">
        <v>48020648.338267468</v>
      </c>
      <c r="O592" s="348">
        <v>146291099.53369072</v>
      </c>
      <c r="P592" s="369"/>
      <c r="Q592" s="350">
        <f t="shared" si="237"/>
        <v>1068025.8498073183</v>
      </c>
      <c r="R592" s="350">
        <f t="shared" si="238"/>
        <v>3148065.8233669996</v>
      </c>
      <c r="S592" s="350">
        <f t="shared" si="239"/>
        <v>4894454.7189698033</v>
      </c>
      <c r="T592" s="350">
        <f t="shared" si="240"/>
        <v>6299903.947927136</v>
      </c>
      <c r="U592" s="350">
        <f t="shared" si="241"/>
        <v>7358716.0857093111</v>
      </c>
      <c r="V592" s="350">
        <f t="shared" si="242"/>
        <v>22769166.425780565</v>
      </c>
      <c r="W592" s="365"/>
      <c r="X592" s="377">
        <f t="shared" ref="X592:X655" si="244">IF(Q592&lt;Q$8,1,0)</f>
        <v>0</v>
      </c>
      <c r="Y592" s="377">
        <f t="shared" ref="Y592:Y655" si="245">IF(R592&lt;R$8,1,0)</f>
        <v>0</v>
      </c>
      <c r="Z592" s="377">
        <f t="shared" ref="Z592:Z655" si="246">IF(S592&lt;S$8,1,0)</f>
        <v>0</v>
      </c>
      <c r="AA592" s="377">
        <f t="shared" ref="AA592:AA655" si="247">IF(T592&lt;T$8,1,0)</f>
        <v>0</v>
      </c>
      <c r="AB592" s="377">
        <f t="shared" ref="AB592:AB655" si="248">IF(U592&lt;U$8,1,0)</f>
        <v>0</v>
      </c>
      <c r="AC592" s="377">
        <f t="shared" ref="AC592:AC655" si="249">IF(V592&lt;V$8,1,0)</f>
        <v>0</v>
      </c>
      <c r="AD592" s="376"/>
      <c r="AE592" s="332">
        <v>577</v>
      </c>
      <c r="AF592" s="350">
        <v>7207377.4984289519</v>
      </c>
      <c r="AG592" s="350">
        <v>14471355.776108041</v>
      </c>
      <c r="AH592" s="350">
        <v>21790308.229755096</v>
      </c>
      <c r="AI592" s="350">
        <v>29164477.534961931</v>
      </c>
      <c r="AJ592" s="350">
        <v>36594927.150643423</v>
      </c>
      <c r="AK592" s="348">
        <v>109228446.18989743</v>
      </c>
      <c r="AL592" s="369"/>
      <c r="AM592" s="350">
        <v>8483193.4150747731</v>
      </c>
      <c r="AN592" s="350">
        <v>18237032.691581246</v>
      </c>
      <c r="AO592" s="350">
        <v>27723405.354323991</v>
      </c>
      <c r="AP592" s="350">
        <v>36936545.352428488</v>
      </c>
      <c r="AQ592" s="350">
        <v>45873385.666542813</v>
      </c>
      <c r="AR592" s="348">
        <v>137253562.47995132</v>
      </c>
      <c r="AS592" s="369"/>
      <c r="AT592" s="350">
        <f t="shared" si="243"/>
        <v>1275815.9166458212</v>
      </c>
      <c r="AU592" s="350">
        <f t="shared" ref="AU592:AU655" si="250">AN592-AG592</f>
        <v>3765676.9154732041</v>
      </c>
      <c r="AV592" s="350">
        <f t="shared" ref="AV592:AV655" si="251">AO592-AH592</f>
        <v>5933097.1245688945</v>
      </c>
      <c r="AW592" s="350">
        <f t="shared" ref="AW592:AW655" si="252">AP592-AI592</f>
        <v>7772067.817466557</v>
      </c>
      <c r="AX592" s="350">
        <f t="shared" ref="AX592:AX655" si="253">AQ592-AJ592</f>
        <v>9278458.51589939</v>
      </c>
      <c r="AY592" s="350">
        <f t="shared" ref="AY592:AY655" si="254">AR592-AK592</f>
        <v>28025116.290053889</v>
      </c>
      <c r="AZ592" s="365"/>
      <c r="BA592" s="377">
        <f t="shared" ref="BA592:BA655" si="255">IF(AT592&lt;AT$8,1,0)</f>
        <v>0</v>
      </c>
      <c r="BB592" s="377">
        <f t="shared" ref="BB592:BB655" si="256">IF(AU592&lt;AU$8,1,0)</f>
        <v>0</v>
      </c>
      <c r="BC592" s="377">
        <f t="shared" ref="BC592:BC655" si="257">IF(AV592&lt;AV$8,1,0)</f>
        <v>0</v>
      </c>
      <c r="BD592" s="377">
        <f t="shared" ref="BD592:BD655" si="258">IF(AW592&lt;AW$8,1,0)</f>
        <v>0</v>
      </c>
      <c r="BE592" s="377">
        <f t="shared" ref="BE592:BE655" si="259">IF(AX592&lt;AX$8,1,0)</f>
        <v>0</v>
      </c>
      <c r="BF592" s="377">
        <f t="shared" ref="BF592:BF655" si="260">IF(AY592&lt;AY$8,1,0)</f>
        <v>0</v>
      </c>
      <c r="BG592" s="328"/>
    </row>
    <row r="593" spans="2:59">
      <c r="B593" s="332">
        <v>578</v>
      </c>
      <c r="C593" s="350">
        <v>7181522.8919491041</v>
      </c>
      <c r="D593" s="350">
        <v>13492115.394210141</v>
      </c>
      <c r="E593" s="350">
        <v>19850202.398954913</v>
      </c>
      <c r="F593" s="350">
        <v>26256234.996097296</v>
      </c>
      <c r="G593" s="350">
        <v>32711241.606119089</v>
      </c>
      <c r="H593" s="348">
        <v>99491317.287330538</v>
      </c>
      <c r="I593" s="369"/>
      <c r="J593" s="350">
        <v>8203469.7722322233</v>
      </c>
      <c r="K593" s="350">
        <v>16507342.210619425</v>
      </c>
      <c r="L593" s="350">
        <v>24602519.781327792</v>
      </c>
      <c r="M593" s="350">
        <v>32483282.357706025</v>
      </c>
      <c r="N593" s="350">
        <v>40145967.179622054</v>
      </c>
      <c r="O593" s="348">
        <v>121942581.30150752</v>
      </c>
      <c r="P593" s="369"/>
      <c r="Q593" s="350">
        <f t="shared" ref="Q593:Q656" si="261">J593-C593</f>
        <v>1021946.8802831192</v>
      </c>
      <c r="R593" s="350">
        <f t="shared" ref="R593:R656" si="262">K593-D593</f>
        <v>3015226.8164092842</v>
      </c>
      <c r="S593" s="350">
        <f t="shared" ref="S593:S656" si="263">L593-E593</f>
        <v>4752317.3823728785</v>
      </c>
      <c r="T593" s="350">
        <f t="shared" ref="T593:T656" si="264">M593-F593</f>
        <v>6227047.3616087288</v>
      </c>
      <c r="U593" s="350">
        <f t="shared" ref="U593:U656" si="265">N593-G593</f>
        <v>7434725.5735029653</v>
      </c>
      <c r="V593" s="350">
        <f t="shared" ref="V593:V656" si="266">O593-H593</f>
        <v>22451264.01417698</v>
      </c>
      <c r="W593" s="365"/>
      <c r="X593" s="377">
        <f t="shared" si="244"/>
        <v>0</v>
      </c>
      <c r="Y593" s="377">
        <f t="shared" si="245"/>
        <v>0</v>
      </c>
      <c r="Z593" s="377">
        <f t="shared" si="246"/>
        <v>0</v>
      </c>
      <c r="AA593" s="377">
        <f t="shared" si="247"/>
        <v>0</v>
      </c>
      <c r="AB593" s="377">
        <f t="shared" si="248"/>
        <v>0</v>
      </c>
      <c r="AC593" s="377">
        <f t="shared" si="249"/>
        <v>0</v>
      </c>
      <c r="AD593" s="376"/>
      <c r="AE593" s="332">
        <v>578</v>
      </c>
      <c r="AF593" s="350">
        <v>6720014.4335768037</v>
      </c>
      <c r="AG593" s="350">
        <v>13492802.300152715</v>
      </c>
      <c r="AH593" s="350">
        <v>20316846.987404283</v>
      </c>
      <c r="AI593" s="350">
        <v>27192374.761193123</v>
      </c>
      <c r="AJ593" s="350">
        <v>34120377.169313006</v>
      </c>
      <c r="AK593" s="348">
        <v>101842415.65163994</v>
      </c>
      <c r="AL593" s="369"/>
      <c r="AM593" s="350">
        <v>7953868.9924388267</v>
      </c>
      <c r="AN593" s="350">
        <v>17135252.558258202</v>
      </c>
      <c r="AO593" s="350">
        <v>26068582.68909549</v>
      </c>
      <c r="AP593" s="350">
        <v>34748470.702267364</v>
      </c>
      <c r="AQ593" s="350">
        <v>43172101.845338501</v>
      </c>
      <c r="AR593" s="348">
        <v>129078276.78739837</v>
      </c>
      <c r="AS593" s="369"/>
      <c r="AT593" s="350">
        <f t="shared" ref="AT593:AT656" si="267">AM593-AF593</f>
        <v>1233854.5588620231</v>
      </c>
      <c r="AU593" s="350">
        <f t="shared" si="250"/>
        <v>3642450.2581054866</v>
      </c>
      <c r="AV593" s="350">
        <f t="shared" si="251"/>
        <v>5751735.7016912065</v>
      </c>
      <c r="AW593" s="350">
        <f t="shared" si="252"/>
        <v>7556095.941074241</v>
      </c>
      <c r="AX593" s="350">
        <f t="shared" si="253"/>
        <v>9051724.6760254949</v>
      </c>
      <c r="AY593" s="350">
        <f t="shared" si="254"/>
        <v>27235861.13575843</v>
      </c>
      <c r="AZ593" s="365"/>
      <c r="BA593" s="377">
        <f t="shared" si="255"/>
        <v>0</v>
      </c>
      <c r="BB593" s="377">
        <f t="shared" si="256"/>
        <v>0</v>
      </c>
      <c r="BC593" s="377">
        <f t="shared" si="257"/>
        <v>0</v>
      </c>
      <c r="BD593" s="377">
        <f t="shared" si="258"/>
        <v>0</v>
      </c>
      <c r="BE593" s="377">
        <f t="shared" si="259"/>
        <v>0</v>
      </c>
      <c r="BF593" s="377">
        <f t="shared" si="260"/>
        <v>0</v>
      </c>
      <c r="BG593" s="328"/>
    </row>
    <row r="594" spans="2:59">
      <c r="B594" s="332">
        <v>579</v>
      </c>
      <c r="C594" s="350">
        <v>5767383.4320924561</v>
      </c>
      <c r="D594" s="350">
        <v>10870876.648454498</v>
      </c>
      <c r="E594" s="350">
        <v>16012791.172861522</v>
      </c>
      <c r="F594" s="350">
        <v>21193481.248132989</v>
      </c>
      <c r="G594" s="350">
        <v>26413773.981500521</v>
      </c>
      <c r="H594" s="348">
        <v>80258306.483041987</v>
      </c>
      <c r="I594" s="369"/>
      <c r="J594" s="350">
        <v>6528626.3911813172</v>
      </c>
      <c r="K594" s="350">
        <v>13115927.206954718</v>
      </c>
      <c r="L594" s="350">
        <v>19534808.337840825</v>
      </c>
      <c r="M594" s="350">
        <v>25780575.483299665</v>
      </c>
      <c r="N594" s="350">
        <v>31850116.333648462</v>
      </c>
      <c r="O594" s="348">
        <v>96810053.752924994</v>
      </c>
      <c r="P594" s="369"/>
      <c r="Q594" s="350">
        <f t="shared" si="261"/>
        <v>761242.95908886101</v>
      </c>
      <c r="R594" s="350">
        <f t="shared" si="262"/>
        <v>2245050.5585002191</v>
      </c>
      <c r="S594" s="350">
        <f t="shared" si="263"/>
        <v>3522017.1649793033</v>
      </c>
      <c r="T594" s="350">
        <f t="shared" si="264"/>
        <v>4587094.2351666763</v>
      </c>
      <c r="U594" s="350">
        <f t="shared" si="265"/>
        <v>5436342.3521479405</v>
      </c>
      <c r="V594" s="350">
        <f t="shared" si="266"/>
        <v>16551747.269883007</v>
      </c>
      <c r="W594" s="365"/>
      <c r="X594" s="377">
        <f t="shared" si="244"/>
        <v>0</v>
      </c>
      <c r="Y594" s="377">
        <f t="shared" si="245"/>
        <v>0</v>
      </c>
      <c r="Z594" s="377">
        <f t="shared" si="246"/>
        <v>0</v>
      </c>
      <c r="AA594" s="377">
        <f t="shared" si="247"/>
        <v>0</v>
      </c>
      <c r="AB594" s="377">
        <f t="shared" si="248"/>
        <v>0</v>
      </c>
      <c r="AC594" s="377">
        <f t="shared" si="249"/>
        <v>0</v>
      </c>
      <c r="AD594" s="376"/>
      <c r="AE594" s="332">
        <v>579</v>
      </c>
      <c r="AF594" s="350">
        <v>6926670.3330157418</v>
      </c>
      <c r="AG594" s="350">
        <v>13907737.003470857</v>
      </c>
      <c r="AH594" s="350">
        <v>20941636.759724837</v>
      </c>
      <c r="AI594" s="350">
        <v>28028602.825834937</v>
      </c>
      <c r="AJ594" s="350">
        <v>35169657.241970092</v>
      </c>
      <c r="AK594" s="348">
        <v>104974304.16401646</v>
      </c>
      <c r="AL594" s="369"/>
      <c r="AM594" s="350">
        <v>8383462.4333015345</v>
      </c>
      <c r="AN594" s="350">
        <v>18210837.902996764</v>
      </c>
      <c r="AO594" s="350">
        <v>27788072.343017381</v>
      </c>
      <c r="AP594" s="350">
        <v>37109559.033220261</v>
      </c>
      <c r="AQ594" s="350">
        <v>46172584.016284041</v>
      </c>
      <c r="AR594" s="348">
        <v>137664515.72882</v>
      </c>
      <c r="AS594" s="369"/>
      <c r="AT594" s="350">
        <f t="shared" si="267"/>
        <v>1456792.1002857927</v>
      </c>
      <c r="AU594" s="350">
        <f t="shared" si="250"/>
        <v>4303100.8995259069</v>
      </c>
      <c r="AV594" s="350">
        <f t="shared" si="251"/>
        <v>6846435.5832925439</v>
      </c>
      <c r="AW594" s="350">
        <f t="shared" si="252"/>
        <v>9080956.2073853239</v>
      </c>
      <c r="AX594" s="350">
        <f t="shared" si="253"/>
        <v>11002926.774313949</v>
      </c>
      <c r="AY594" s="350">
        <f t="shared" si="254"/>
        <v>32690211.564803541</v>
      </c>
      <c r="AZ594" s="365"/>
      <c r="BA594" s="377">
        <f t="shared" si="255"/>
        <v>0</v>
      </c>
      <c r="BB594" s="377">
        <f t="shared" si="256"/>
        <v>0</v>
      </c>
      <c r="BC594" s="377">
        <f t="shared" si="257"/>
        <v>0</v>
      </c>
      <c r="BD594" s="377">
        <f t="shared" si="258"/>
        <v>0</v>
      </c>
      <c r="BE594" s="377">
        <f t="shared" si="259"/>
        <v>0</v>
      </c>
      <c r="BF594" s="377">
        <f t="shared" si="260"/>
        <v>0</v>
      </c>
      <c r="BG594" s="328"/>
    </row>
    <row r="595" spans="2:59">
      <c r="B595" s="332">
        <v>580</v>
      </c>
      <c r="C595" s="350">
        <v>8292403.2610816462</v>
      </c>
      <c r="D595" s="350">
        <v>15657384.32982262</v>
      </c>
      <c r="E595" s="350">
        <v>23077820.975837775</v>
      </c>
      <c r="F595" s="350">
        <v>30554216.411145646</v>
      </c>
      <c r="G595" s="350">
        <v>38087760.772381291</v>
      </c>
      <c r="H595" s="348">
        <v>115669585.75026898</v>
      </c>
      <c r="I595" s="369"/>
      <c r="J595" s="350">
        <v>9351495.5409155339</v>
      </c>
      <c r="K595" s="350">
        <v>18780199.680151321</v>
      </c>
      <c r="L595" s="350">
        <v>27961732.759813651</v>
      </c>
      <c r="M595" s="350">
        <v>36889442.911825433</v>
      </c>
      <c r="N595" s="350">
        <v>45558919.255580992</v>
      </c>
      <c r="O595" s="348">
        <v>138541790.14828694</v>
      </c>
      <c r="P595" s="369"/>
      <c r="Q595" s="350">
        <f t="shared" si="261"/>
        <v>1059092.2798338877</v>
      </c>
      <c r="R595" s="350">
        <f t="shared" si="262"/>
        <v>3122815.3503287006</v>
      </c>
      <c r="S595" s="350">
        <f t="shared" si="263"/>
        <v>4883911.7839758769</v>
      </c>
      <c r="T595" s="350">
        <f t="shared" si="264"/>
        <v>6335226.5006797872</v>
      </c>
      <c r="U595" s="350">
        <f t="shared" si="265"/>
        <v>7471158.4831997007</v>
      </c>
      <c r="V595" s="350">
        <f t="shared" si="266"/>
        <v>22872204.398017958</v>
      </c>
      <c r="W595" s="365"/>
      <c r="X595" s="377">
        <f t="shared" si="244"/>
        <v>0</v>
      </c>
      <c r="Y595" s="377">
        <f t="shared" si="245"/>
        <v>0</v>
      </c>
      <c r="Z595" s="377">
        <f t="shared" si="246"/>
        <v>0</v>
      </c>
      <c r="AA595" s="377">
        <f t="shared" si="247"/>
        <v>0</v>
      </c>
      <c r="AB595" s="377">
        <f t="shared" si="248"/>
        <v>0</v>
      </c>
      <c r="AC595" s="377">
        <f t="shared" si="249"/>
        <v>0</v>
      </c>
      <c r="AD595" s="376"/>
      <c r="AE595" s="332">
        <v>580</v>
      </c>
      <c r="AF595" s="350">
        <v>7051836.356414739</v>
      </c>
      <c r="AG595" s="350">
        <v>14159052.000650121</v>
      </c>
      <c r="AH595" s="350">
        <v>21320055.432862386</v>
      </c>
      <c r="AI595" s="350">
        <v>28535084.091504224</v>
      </c>
      <c r="AJ595" s="350">
        <v>35805178.485171318</v>
      </c>
      <c r="AK595" s="348">
        <v>106871206.36660278</v>
      </c>
      <c r="AL595" s="369"/>
      <c r="AM595" s="350">
        <v>8453958.0120574273</v>
      </c>
      <c r="AN595" s="350">
        <v>18299703.500548184</v>
      </c>
      <c r="AO595" s="350">
        <v>27888362.048560798</v>
      </c>
      <c r="AP595" s="350">
        <v>37214248.530000649</v>
      </c>
      <c r="AQ595" s="350">
        <v>46274517.917057157</v>
      </c>
      <c r="AR595" s="348">
        <v>138130790.00822422</v>
      </c>
      <c r="AS595" s="369"/>
      <c r="AT595" s="350">
        <f t="shared" si="267"/>
        <v>1402121.6556426883</v>
      </c>
      <c r="AU595" s="350">
        <f t="shared" si="250"/>
        <v>4140651.499898063</v>
      </c>
      <c r="AV595" s="350">
        <f t="shared" si="251"/>
        <v>6568306.6156984121</v>
      </c>
      <c r="AW595" s="350">
        <f t="shared" si="252"/>
        <v>8679164.4384964257</v>
      </c>
      <c r="AX595" s="350">
        <f t="shared" si="253"/>
        <v>10469339.431885839</v>
      </c>
      <c r="AY595" s="350">
        <f t="shared" si="254"/>
        <v>31259583.641621441</v>
      </c>
      <c r="AZ595" s="365"/>
      <c r="BA595" s="377">
        <f t="shared" si="255"/>
        <v>0</v>
      </c>
      <c r="BB595" s="377">
        <f t="shared" si="256"/>
        <v>0</v>
      </c>
      <c r="BC595" s="377">
        <f t="shared" si="257"/>
        <v>0</v>
      </c>
      <c r="BD595" s="377">
        <f t="shared" si="258"/>
        <v>0</v>
      </c>
      <c r="BE595" s="377">
        <f t="shared" si="259"/>
        <v>0</v>
      </c>
      <c r="BF595" s="377">
        <f t="shared" si="260"/>
        <v>0</v>
      </c>
      <c r="BG595" s="328"/>
    </row>
    <row r="596" spans="2:59">
      <c r="B596" s="332">
        <v>581</v>
      </c>
      <c r="C596" s="350">
        <v>6737565.9572957288</v>
      </c>
      <c r="D596" s="350">
        <v>12751456.482414931</v>
      </c>
      <c r="E596" s="350">
        <v>18810639.03285262</v>
      </c>
      <c r="F596" s="350">
        <v>24915515.730085347</v>
      </c>
      <c r="G596" s="350">
        <v>31067054.563641373</v>
      </c>
      <c r="H596" s="348">
        <v>94282231.766289994</v>
      </c>
      <c r="I596" s="369"/>
      <c r="J596" s="350">
        <v>7549955.7595998123</v>
      </c>
      <c r="K596" s="350">
        <v>15145932.194400791</v>
      </c>
      <c r="L596" s="350">
        <v>22534062.201210454</v>
      </c>
      <c r="M596" s="350">
        <v>29709079.274557065</v>
      </c>
      <c r="N596" s="350">
        <v>36667490.436753377</v>
      </c>
      <c r="O596" s="348">
        <v>111606519.86652151</v>
      </c>
      <c r="P596" s="369"/>
      <c r="Q596" s="350">
        <f t="shared" si="261"/>
        <v>812389.80230408348</v>
      </c>
      <c r="R596" s="350">
        <f t="shared" si="262"/>
        <v>2394475.71198586</v>
      </c>
      <c r="S596" s="350">
        <f t="shared" si="263"/>
        <v>3723423.1683578342</v>
      </c>
      <c r="T596" s="350">
        <f t="shared" si="264"/>
        <v>4793563.5444717184</v>
      </c>
      <c r="U596" s="350">
        <f t="shared" si="265"/>
        <v>5600435.8731120043</v>
      </c>
      <c r="V596" s="350">
        <f t="shared" si="266"/>
        <v>17324288.100231513</v>
      </c>
      <c r="W596" s="365"/>
      <c r="X596" s="377">
        <f t="shared" si="244"/>
        <v>0</v>
      </c>
      <c r="Y596" s="377">
        <f t="shared" si="245"/>
        <v>0</v>
      </c>
      <c r="Z596" s="377">
        <f t="shared" si="246"/>
        <v>0</v>
      </c>
      <c r="AA596" s="377">
        <f t="shared" si="247"/>
        <v>0</v>
      </c>
      <c r="AB596" s="377">
        <f t="shared" si="248"/>
        <v>0</v>
      </c>
      <c r="AC596" s="377">
        <f t="shared" si="249"/>
        <v>0</v>
      </c>
      <c r="AD596" s="376"/>
      <c r="AE596" s="332">
        <v>581</v>
      </c>
      <c r="AF596" s="350">
        <v>8013343.5402118023</v>
      </c>
      <c r="AG596" s="350">
        <v>16089617.250082944</v>
      </c>
      <c r="AH596" s="350">
        <v>24227012.631181575</v>
      </c>
      <c r="AI596" s="350">
        <v>32425799.496333018</v>
      </c>
      <c r="AJ596" s="350">
        <v>40687160.22590068</v>
      </c>
      <c r="AK596" s="348">
        <v>121442933.14371002</v>
      </c>
      <c r="AL596" s="369"/>
      <c r="AM596" s="350">
        <v>9130622.217775356</v>
      </c>
      <c r="AN596" s="350">
        <v>19383104.354565404</v>
      </c>
      <c r="AO596" s="350">
        <v>29329189.183498122</v>
      </c>
      <c r="AP596" s="350">
        <v>38962551.056317158</v>
      </c>
      <c r="AQ596" s="350">
        <v>48279474.933183618</v>
      </c>
      <c r="AR596" s="348">
        <v>145084941.74533966</v>
      </c>
      <c r="AS596" s="369"/>
      <c r="AT596" s="350">
        <f t="shared" si="267"/>
        <v>1117278.6775635537</v>
      </c>
      <c r="AU596" s="350">
        <f t="shared" si="250"/>
        <v>3293487.1044824608</v>
      </c>
      <c r="AV596" s="350">
        <f t="shared" si="251"/>
        <v>5102176.5523165464</v>
      </c>
      <c r="AW596" s="350">
        <f t="shared" si="252"/>
        <v>6536751.5599841401</v>
      </c>
      <c r="AX596" s="350">
        <f t="shared" si="253"/>
        <v>7592314.7072829381</v>
      </c>
      <c r="AY596" s="350">
        <f t="shared" si="254"/>
        <v>23642008.601629645</v>
      </c>
      <c r="AZ596" s="365"/>
      <c r="BA596" s="377">
        <f t="shared" si="255"/>
        <v>0</v>
      </c>
      <c r="BB596" s="377">
        <f t="shared" si="256"/>
        <v>0</v>
      </c>
      <c r="BC596" s="377">
        <f t="shared" si="257"/>
        <v>0</v>
      </c>
      <c r="BD596" s="377">
        <f t="shared" si="258"/>
        <v>0</v>
      </c>
      <c r="BE596" s="377">
        <f t="shared" si="259"/>
        <v>0</v>
      </c>
      <c r="BF596" s="377">
        <f t="shared" si="260"/>
        <v>0</v>
      </c>
      <c r="BG596" s="328"/>
    </row>
    <row r="597" spans="2:59">
      <c r="B597" s="332">
        <v>582</v>
      </c>
      <c r="C597" s="350">
        <v>8376332.642777143</v>
      </c>
      <c r="D597" s="350">
        <v>15766496.875596981</v>
      </c>
      <c r="E597" s="350">
        <v>23212290.33562889</v>
      </c>
      <c r="F597" s="350">
        <v>30714232.467774499</v>
      </c>
      <c r="G597" s="350">
        <v>38273523.792366095</v>
      </c>
      <c r="H597" s="348">
        <v>116342876.11414361</v>
      </c>
      <c r="I597" s="369"/>
      <c r="J597" s="350">
        <v>9755255.1234471258</v>
      </c>
      <c r="K597" s="350">
        <v>19837762.369741648</v>
      </c>
      <c r="L597" s="350">
        <v>29683655.553443417</v>
      </c>
      <c r="M597" s="350">
        <v>39286098.507031016</v>
      </c>
      <c r="N597" s="350">
        <v>48640902.025455795</v>
      </c>
      <c r="O597" s="348">
        <v>147203673.579119</v>
      </c>
      <c r="P597" s="369"/>
      <c r="Q597" s="350">
        <f t="shared" si="261"/>
        <v>1378922.4806699827</v>
      </c>
      <c r="R597" s="350">
        <f t="shared" si="262"/>
        <v>4071265.4941446669</v>
      </c>
      <c r="S597" s="350">
        <f t="shared" si="263"/>
        <v>6471365.2178145275</v>
      </c>
      <c r="T597" s="350">
        <f t="shared" si="264"/>
        <v>8571866.0392565168</v>
      </c>
      <c r="U597" s="350">
        <f t="shared" si="265"/>
        <v>10367378.2330897</v>
      </c>
      <c r="V597" s="350">
        <f t="shared" si="266"/>
        <v>30860797.464975387</v>
      </c>
      <c r="W597" s="365"/>
      <c r="X597" s="377">
        <f t="shared" si="244"/>
        <v>0</v>
      </c>
      <c r="Y597" s="377">
        <f t="shared" si="245"/>
        <v>0</v>
      </c>
      <c r="Z597" s="377">
        <f t="shared" si="246"/>
        <v>0</v>
      </c>
      <c r="AA597" s="377">
        <f t="shared" si="247"/>
        <v>0</v>
      </c>
      <c r="AB597" s="377">
        <f t="shared" si="248"/>
        <v>0</v>
      </c>
      <c r="AC597" s="377">
        <f t="shared" si="249"/>
        <v>0</v>
      </c>
      <c r="AD597" s="376"/>
      <c r="AE597" s="332">
        <v>582</v>
      </c>
      <c r="AF597" s="350">
        <v>6197118.9772945493</v>
      </c>
      <c r="AG597" s="350">
        <v>12442904.999335559</v>
      </c>
      <c r="AH597" s="350">
        <v>18735959.463917073</v>
      </c>
      <c r="AI597" s="350">
        <v>25076491.030779157</v>
      </c>
      <c r="AJ597" s="350">
        <v>31465414.093739029</v>
      </c>
      <c r="AK597" s="348">
        <v>93917888.565065369</v>
      </c>
      <c r="AL597" s="369"/>
      <c r="AM597" s="350">
        <v>7431105.5099821286</v>
      </c>
      <c r="AN597" s="350">
        <v>16087053.891693598</v>
      </c>
      <c r="AO597" s="350">
        <v>24517129.717700906</v>
      </c>
      <c r="AP597" s="350">
        <v>32716336.415621459</v>
      </c>
      <c r="AQ597" s="350">
        <v>40682175.621096082</v>
      </c>
      <c r="AR597" s="348">
        <v>121433801.15609416</v>
      </c>
      <c r="AS597" s="369"/>
      <c r="AT597" s="350">
        <f t="shared" si="267"/>
        <v>1233986.5326875793</v>
      </c>
      <c r="AU597" s="350">
        <f t="shared" si="250"/>
        <v>3644148.8923580386</v>
      </c>
      <c r="AV597" s="350">
        <f t="shared" si="251"/>
        <v>5781170.2537838332</v>
      </c>
      <c r="AW597" s="350">
        <f t="shared" si="252"/>
        <v>7639845.3848423027</v>
      </c>
      <c r="AX597" s="350">
        <f t="shared" si="253"/>
        <v>9216761.527357053</v>
      </c>
      <c r="AY597" s="350">
        <f t="shared" si="254"/>
        <v>27515912.591028795</v>
      </c>
      <c r="AZ597" s="365"/>
      <c r="BA597" s="377">
        <f t="shared" si="255"/>
        <v>0</v>
      </c>
      <c r="BB597" s="377">
        <f t="shared" si="256"/>
        <v>0</v>
      </c>
      <c r="BC597" s="377">
        <f t="shared" si="257"/>
        <v>0</v>
      </c>
      <c r="BD597" s="377">
        <f t="shared" si="258"/>
        <v>0</v>
      </c>
      <c r="BE597" s="377">
        <f t="shared" si="259"/>
        <v>0</v>
      </c>
      <c r="BF597" s="377">
        <f t="shared" si="260"/>
        <v>0</v>
      </c>
      <c r="BG597" s="328"/>
    </row>
    <row r="598" spans="2:59">
      <c r="B598" s="332">
        <v>583</v>
      </c>
      <c r="C598" s="350">
        <v>9126123.2577196658</v>
      </c>
      <c r="D598" s="350">
        <v>17357512.861544169</v>
      </c>
      <c r="E598" s="350">
        <v>25650922.522111215</v>
      </c>
      <c r="F598" s="350">
        <v>34006877.623463199</v>
      </c>
      <c r="G598" s="350">
        <v>42426692.199005142</v>
      </c>
      <c r="H598" s="348">
        <v>128568128.46384339</v>
      </c>
      <c r="I598" s="369"/>
      <c r="J598" s="350">
        <v>10535524.144567495</v>
      </c>
      <c r="K598" s="350">
        <v>21517102.157606483</v>
      </c>
      <c r="L598" s="350">
        <v>32226289.032136217</v>
      </c>
      <c r="M598" s="350">
        <v>42655662.305706553</v>
      </c>
      <c r="N598" s="350">
        <v>52800621.97396303</v>
      </c>
      <c r="O598" s="348">
        <v>159735199.61397979</v>
      </c>
      <c r="P598" s="369"/>
      <c r="Q598" s="350">
        <f t="shared" si="261"/>
        <v>1409400.8868478294</v>
      </c>
      <c r="R598" s="350">
        <f t="shared" si="262"/>
        <v>4159589.296062313</v>
      </c>
      <c r="S598" s="350">
        <f t="shared" si="263"/>
        <v>6575366.5100250021</v>
      </c>
      <c r="T598" s="350">
        <f t="shared" si="264"/>
        <v>8648784.6822433546</v>
      </c>
      <c r="U598" s="350">
        <f t="shared" si="265"/>
        <v>10373929.774957888</v>
      </c>
      <c r="V598" s="350">
        <f t="shared" si="266"/>
        <v>31167071.150136396</v>
      </c>
      <c r="W598" s="365"/>
      <c r="X598" s="377">
        <f t="shared" si="244"/>
        <v>0</v>
      </c>
      <c r="Y598" s="377">
        <f t="shared" si="245"/>
        <v>0</v>
      </c>
      <c r="Z598" s="377">
        <f t="shared" si="246"/>
        <v>0</v>
      </c>
      <c r="AA598" s="377">
        <f t="shared" si="247"/>
        <v>0</v>
      </c>
      <c r="AB598" s="377">
        <f t="shared" si="248"/>
        <v>0</v>
      </c>
      <c r="AC598" s="377">
        <f t="shared" si="249"/>
        <v>0</v>
      </c>
      <c r="AD598" s="376"/>
      <c r="AE598" s="332">
        <v>583</v>
      </c>
      <c r="AF598" s="350">
        <v>5817127.9469382707</v>
      </c>
      <c r="AG598" s="350">
        <v>11679938.803487731</v>
      </c>
      <c r="AH598" s="350">
        <v>17587119.726049811</v>
      </c>
      <c r="AI598" s="350">
        <v>23538866.57989832</v>
      </c>
      <c r="AJ598" s="350">
        <v>29536037.690627486</v>
      </c>
      <c r="AK598" s="348">
        <v>88159090.747001618</v>
      </c>
      <c r="AL598" s="369"/>
      <c r="AM598" s="350">
        <v>6808256.8804135723</v>
      </c>
      <c r="AN598" s="350">
        <v>14604793.350473832</v>
      </c>
      <c r="AO598" s="350">
        <v>22184299.698803723</v>
      </c>
      <c r="AP598" s="350">
        <v>29542133.018015914</v>
      </c>
      <c r="AQ598" s="350">
        <v>36675778.809777685</v>
      </c>
      <c r="AR598" s="348">
        <v>109815261.75748473</v>
      </c>
      <c r="AS598" s="369"/>
      <c r="AT598" s="350">
        <f t="shared" si="267"/>
        <v>991128.9334753016</v>
      </c>
      <c r="AU598" s="350">
        <f t="shared" si="250"/>
        <v>2924854.5469861012</v>
      </c>
      <c r="AV598" s="350">
        <f t="shared" si="251"/>
        <v>4597179.9727539122</v>
      </c>
      <c r="AW598" s="350">
        <f t="shared" si="252"/>
        <v>6003266.4381175935</v>
      </c>
      <c r="AX598" s="350">
        <f t="shared" si="253"/>
        <v>7139741.119150199</v>
      </c>
      <c r="AY598" s="350">
        <f t="shared" si="254"/>
        <v>21656171.010483116</v>
      </c>
      <c r="AZ598" s="365"/>
      <c r="BA598" s="377">
        <f t="shared" si="255"/>
        <v>0</v>
      </c>
      <c r="BB598" s="377">
        <f t="shared" si="256"/>
        <v>0</v>
      </c>
      <c r="BC598" s="377">
        <f t="shared" si="257"/>
        <v>0</v>
      </c>
      <c r="BD598" s="377">
        <f t="shared" si="258"/>
        <v>0</v>
      </c>
      <c r="BE598" s="377">
        <f t="shared" si="259"/>
        <v>0</v>
      </c>
      <c r="BF598" s="377">
        <f t="shared" si="260"/>
        <v>0</v>
      </c>
      <c r="BG598" s="328"/>
    </row>
    <row r="599" spans="2:59">
      <c r="B599" s="332">
        <v>584</v>
      </c>
      <c r="C599" s="350">
        <v>9865670.5029156376</v>
      </c>
      <c r="D599" s="350">
        <v>18649346.406753547</v>
      </c>
      <c r="E599" s="350">
        <v>27499167.051994875</v>
      </c>
      <c r="F599" s="350">
        <v>36415726.296451725</v>
      </c>
      <c r="G599" s="350">
        <v>45400440.794078849</v>
      </c>
      <c r="H599" s="348">
        <v>137830351.05219463</v>
      </c>
      <c r="I599" s="369"/>
      <c r="J599" s="350">
        <v>11227424.678512102</v>
      </c>
      <c r="K599" s="350">
        <v>22666253.446447145</v>
      </c>
      <c r="L599" s="350">
        <v>33815357.516348988</v>
      </c>
      <c r="M599" s="350">
        <v>44666667.762671493</v>
      </c>
      <c r="N599" s="350">
        <v>55214915.531254776</v>
      </c>
      <c r="O599" s="348">
        <v>167590618.93523449</v>
      </c>
      <c r="P599" s="369"/>
      <c r="Q599" s="350">
        <f t="shared" si="261"/>
        <v>1361754.1755964644</v>
      </c>
      <c r="R599" s="350">
        <f t="shared" si="262"/>
        <v>4016907.0396935977</v>
      </c>
      <c r="S599" s="350">
        <f t="shared" si="263"/>
        <v>6316190.4643541127</v>
      </c>
      <c r="T599" s="350">
        <f t="shared" si="264"/>
        <v>8250941.4662197679</v>
      </c>
      <c r="U599" s="350">
        <f t="shared" si="265"/>
        <v>9814474.7371759266</v>
      </c>
      <c r="V599" s="350">
        <f t="shared" si="266"/>
        <v>29760267.883039862</v>
      </c>
      <c r="W599" s="365"/>
      <c r="X599" s="377">
        <f t="shared" si="244"/>
        <v>0</v>
      </c>
      <c r="Y599" s="377">
        <f t="shared" si="245"/>
        <v>0</v>
      </c>
      <c r="Z599" s="377">
        <f t="shared" si="246"/>
        <v>0</v>
      </c>
      <c r="AA599" s="377">
        <f t="shared" si="247"/>
        <v>0</v>
      </c>
      <c r="AB599" s="377">
        <f t="shared" si="248"/>
        <v>0</v>
      </c>
      <c r="AC599" s="377">
        <f t="shared" si="249"/>
        <v>0</v>
      </c>
      <c r="AD599" s="376"/>
      <c r="AE599" s="332">
        <v>584</v>
      </c>
      <c r="AF599" s="350">
        <v>9862863.7741247844</v>
      </c>
      <c r="AG599" s="350">
        <v>19803182.319471844</v>
      </c>
      <c r="AH599" s="350">
        <v>29818729.727020863</v>
      </c>
      <c r="AI599" s="350">
        <v>39909838.083762422</v>
      </c>
      <c r="AJ599" s="350">
        <v>50077962.669430234</v>
      </c>
      <c r="AK599" s="348">
        <v>149472576.57381016</v>
      </c>
      <c r="AL599" s="369"/>
      <c r="AM599" s="350">
        <v>11643446.299001038</v>
      </c>
      <c r="AN599" s="350">
        <v>25059210.052096494</v>
      </c>
      <c r="AO599" s="350">
        <v>38110001.213033542</v>
      </c>
      <c r="AP599" s="350">
        <v>50787919.471211806</v>
      </c>
      <c r="AQ599" s="350">
        <v>63088802.942623451</v>
      </c>
      <c r="AR599" s="348">
        <v>188689379.97796634</v>
      </c>
      <c r="AS599" s="369"/>
      <c r="AT599" s="350">
        <f t="shared" si="267"/>
        <v>1780582.5248762537</v>
      </c>
      <c r="AU599" s="350">
        <f t="shared" si="250"/>
        <v>5256027.73262465</v>
      </c>
      <c r="AV599" s="350">
        <f t="shared" si="251"/>
        <v>8291271.4860126786</v>
      </c>
      <c r="AW599" s="350">
        <f t="shared" si="252"/>
        <v>10878081.387449384</v>
      </c>
      <c r="AX599" s="350">
        <f t="shared" si="253"/>
        <v>13010840.273193218</v>
      </c>
      <c r="AY599" s="350">
        <f t="shared" si="254"/>
        <v>39216803.404156178</v>
      </c>
      <c r="AZ599" s="365"/>
      <c r="BA599" s="377">
        <f t="shared" si="255"/>
        <v>0</v>
      </c>
      <c r="BB599" s="377">
        <f t="shared" si="256"/>
        <v>0</v>
      </c>
      <c r="BC599" s="377">
        <f t="shared" si="257"/>
        <v>0</v>
      </c>
      <c r="BD599" s="377">
        <f t="shared" si="258"/>
        <v>0</v>
      </c>
      <c r="BE599" s="377">
        <f t="shared" si="259"/>
        <v>0</v>
      </c>
      <c r="BF599" s="377">
        <f t="shared" si="260"/>
        <v>0</v>
      </c>
      <c r="BG599" s="328"/>
    </row>
    <row r="600" spans="2:59">
      <c r="B600" s="332">
        <v>585</v>
      </c>
      <c r="C600" s="350">
        <v>6947680.3746488355</v>
      </c>
      <c r="D600" s="350">
        <v>12980959.871541206</v>
      </c>
      <c r="E600" s="350">
        <v>19059623.280594151</v>
      </c>
      <c r="F600" s="350">
        <v>25184123.214364674</v>
      </c>
      <c r="G600" s="350">
        <v>31355452.18769687</v>
      </c>
      <c r="H600" s="348">
        <v>95527838.928845748</v>
      </c>
      <c r="I600" s="369"/>
      <c r="J600" s="350">
        <v>8009142.6326399688</v>
      </c>
      <c r="K600" s="350">
        <v>16114083.868903849</v>
      </c>
      <c r="L600" s="350">
        <v>24031102.570136175</v>
      </c>
      <c r="M600" s="350">
        <v>31754385.162353575</v>
      </c>
      <c r="N600" s="350">
        <v>39280168.595531046</v>
      </c>
      <c r="O600" s="348">
        <v>119188882.82956462</v>
      </c>
      <c r="P600" s="369"/>
      <c r="Q600" s="350">
        <f t="shared" si="261"/>
        <v>1061462.2579911333</v>
      </c>
      <c r="R600" s="350">
        <f t="shared" si="262"/>
        <v>3133123.9973626435</v>
      </c>
      <c r="S600" s="350">
        <f t="shared" si="263"/>
        <v>4971479.2895420231</v>
      </c>
      <c r="T600" s="350">
        <f t="shared" si="264"/>
        <v>6570261.9479889013</v>
      </c>
      <c r="U600" s="350">
        <f t="shared" si="265"/>
        <v>7924716.407834176</v>
      </c>
      <c r="V600" s="350">
        <f t="shared" si="266"/>
        <v>23661043.900718868</v>
      </c>
      <c r="W600" s="365"/>
      <c r="X600" s="377">
        <f t="shared" si="244"/>
        <v>0</v>
      </c>
      <c r="Y600" s="377">
        <f t="shared" si="245"/>
        <v>0</v>
      </c>
      <c r="Z600" s="377">
        <f t="shared" si="246"/>
        <v>0</v>
      </c>
      <c r="AA600" s="377">
        <f t="shared" si="247"/>
        <v>0</v>
      </c>
      <c r="AB600" s="377">
        <f t="shared" si="248"/>
        <v>0</v>
      </c>
      <c r="AC600" s="377">
        <f t="shared" si="249"/>
        <v>0</v>
      </c>
      <c r="AD600" s="376"/>
      <c r="AE600" s="332">
        <v>585</v>
      </c>
      <c r="AF600" s="350">
        <v>6995228.1540089119</v>
      </c>
      <c r="AG600" s="350">
        <v>14045391.041856272</v>
      </c>
      <c r="AH600" s="350">
        <v>21148909.939369891</v>
      </c>
      <c r="AI600" s="350">
        <v>28306020.378979221</v>
      </c>
      <c r="AJ600" s="350">
        <v>35517754.516658269</v>
      </c>
      <c r="AK600" s="348">
        <v>106013304.03087255</v>
      </c>
      <c r="AL600" s="369"/>
      <c r="AM600" s="350">
        <v>8120270.9909806121</v>
      </c>
      <c r="AN600" s="350">
        <v>17364449.651625607</v>
      </c>
      <c r="AO600" s="350">
        <v>26345643.628364325</v>
      </c>
      <c r="AP600" s="350">
        <v>35058288.616827391</v>
      </c>
      <c r="AQ600" s="350">
        <v>43499293.21074257</v>
      </c>
      <c r="AR600" s="348">
        <v>130387946.09854051</v>
      </c>
      <c r="AS600" s="369"/>
      <c r="AT600" s="350">
        <f t="shared" si="267"/>
        <v>1125042.8369717002</v>
      </c>
      <c r="AU600" s="350">
        <f t="shared" si="250"/>
        <v>3319058.609769335</v>
      </c>
      <c r="AV600" s="350">
        <f t="shared" si="251"/>
        <v>5196733.6889944337</v>
      </c>
      <c r="AW600" s="350">
        <f t="shared" si="252"/>
        <v>6752268.2378481701</v>
      </c>
      <c r="AX600" s="350">
        <f t="shared" si="253"/>
        <v>7981538.6940843016</v>
      </c>
      <c r="AY600" s="350">
        <f t="shared" si="254"/>
        <v>24374642.067667961</v>
      </c>
      <c r="AZ600" s="365"/>
      <c r="BA600" s="377">
        <f t="shared" si="255"/>
        <v>0</v>
      </c>
      <c r="BB600" s="377">
        <f t="shared" si="256"/>
        <v>0</v>
      </c>
      <c r="BC600" s="377">
        <f t="shared" si="257"/>
        <v>0</v>
      </c>
      <c r="BD600" s="377">
        <f t="shared" si="258"/>
        <v>0</v>
      </c>
      <c r="BE600" s="377">
        <f t="shared" si="259"/>
        <v>0</v>
      </c>
      <c r="BF600" s="377">
        <f t="shared" si="260"/>
        <v>0</v>
      </c>
      <c r="BG600" s="328"/>
    </row>
    <row r="601" spans="2:59">
      <c r="B601" s="332">
        <v>586</v>
      </c>
      <c r="C601" s="350">
        <v>9192071.1949399114</v>
      </c>
      <c r="D601" s="350">
        <v>17195068.498411097</v>
      </c>
      <c r="E601" s="350">
        <v>25258273.303797163</v>
      </c>
      <c r="F601" s="350">
        <v>33382279.760953046</v>
      </c>
      <c r="G601" s="350">
        <v>41568401.705992669</v>
      </c>
      <c r="H601" s="348">
        <v>126596094.46409389</v>
      </c>
      <c r="I601" s="369"/>
      <c r="J601" s="350">
        <v>10476230.518376051</v>
      </c>
      <c r="K601" s="350">
        <v>20983778.146405287</v>
      </c>
      <c r="L601" s="350">
        <v>31229444.981066868</v>
      </c>
      <c r="M601" s="350">
        <v>41205888.047156096</v>
      </c>
      <c r="N601" s="350">
        <v>50908340.949416012</v>
      </c>
      <c r="O601" s="348">
        <v>154803682.64242032</v>
      </c>
      <c r="P601" s="369"/>
      <c r="Q601" s="350">
        <f t="shared" si="261"/>
        <v>1284159.3234361392</v>
      </c>
      <c r="R601" s="350">
        <f t="shared" si="262"/>
        <v>3788709.6479941905</v>
      </c>
      <c r="S601" s="350">
        <f t="shared" si="263"/>
        <v>5971171.6772697046</v>
      </c>
      <c r="T601" s="350">
        <f t="shared" si="264"/>
        <v>7823608.2862030491</v>
      </c>
      <c r="U601" s="350">
        <f t="shared" si="265"/>
        <v>9339939.2434233427</v>
      </c>
      <c r="V601" s="350">
        <f t="shared" si="266"/>
        <v>28207588.178326428</v>
      </c>
      <c r="W601" s="365"/>
      <c r="X601" s="377">
        <f t="shared" si="244"/>
        <v>0</v>
      </c>
      <c r="Y601" s="377">
        <f t="shared" si="245"/>
        <v>0</v>
      </c>
      <c r="Z601" s="377">
        <f t="shared" si="246"/>
        <v>0</v>
      </c>
      <c r="AA601" s="377">
        <f t="shared" si="247"/>
        <v>0</v>
      </c>
      <c r="AB601" s="377">
        <f t="shared" si="248"/>
        <v>0</v>
      </c>
      <c r="AC601" s="377">
        <f t="shared" si="249"/>
        <v>0</v>
      </c>
      <c r="AD601" s="376"/>
      <c r="AE601" s="332">
        <v>586</v>
      </c>
      <c r="AF601" s="350">
        <v>5980039.5140392072</v>
      </c>
      <c r="AG601" s="350">
        <v>12007041.310339198</v>
      </c>
      <c r="AH601" s="350">
        <v>18079655.778462172</v>
      </c>
      <c r="AI601" s="350">
        <v>24198084.268986538</v>
      </c>
      <c r="AJ601" s="350">
        <v>30363209.145342533</v>
      </c>
      <c r="AK601" s="348">
        <v>90628030.017169639</v>
      </c>
      <c r="AL601" s="369"/>
      <c r="AM601" s="350">
        <v>7143694.8986460846</v>
      </c>
      <c r="AN601" s="350">
        <v>15443151.369231887</v>
      </c>
      <c r="AO601" s="350">
        <v>23523835.570304286</v>
      </c>
      <c r="AP601" s="350">
        <v>31380933.621386863</v>
      </c>
      <c r="AQ601" s="350">
        <v>39012007.221822768</v>
      </c>
      <c r="AR601" s="348">
        <v>116503622.68139189</v>
      </c>
      <c r="AS601" s="369"/>
      <c r="AT601" s="350">
        <f t="shared" si="267"/>
        <v>1163655.3846068773</v>
      </c>
      <c r="AU601" s="350">
        <f t="shared" si="250"/>
        <v>3436110.0588926896</v>
      </c>
      <c r="AV601" s="350">
        <f t="shared" si="251"/>
        <v>5444179.7918421142</v>
      </c>
      <c r="AW601" s="350">
        <f t="shared" si="252"/>
        <v>7182849.3524003252</v>
      </c>
      <c r="AX601" s="350">
        <f t="shared" si="253"/>
        <v>8648798.0764802359</v>
      </c>
      <c r="AY601" s="350">
        <f t="shared" si="254"/>
        <v>25875592.664222255</v>
      </c>
      <c r="AZ601" s="365"/>
      <c r="BA601" s="377">
        <f t="shared" si="255"/>
        <v>0</v>
      </c>
      <c r="BB601" s="377">
        <f t="shared" si="256"/>
        <v>0</v>
      </c>
      <c r="BC601" s="377">
        <f t="shared" si="257"/>
        <v>0</v>
      </c>
      <c r="BD601" s="377">
        <f t="shared" si="258"/>
        <v>0</v>
      </c>
      <c r="BE601" s="377">
        <f t="shared" si="259"/>
        <v>0</v>
      </c>
      <c r="BF601" s="377">
        <f t="shared" si="260"/>
        <v>0</v>
      </c>
      <c r="BG601" s="328"/>
    </row>
    <row r="602" spans="2:59">
      <c r="B602" s="332">
        <v>587</v>
      </c>
      <c r="C602" s="350">
        <v>8616160.7426350322</v>
      </c>
      <c r="D602" s="350">
        <v>16212639.597492836</v>
      </c>
      <c r="E602" s="350">
        <v>23866298.987323426</v>
      </c>
      <c r="F602" s="350">
        <v>31577674.420724597</v>
      </c>
      <c r="G602" s="350">
        <v>39348000.613180727</v>
      </c>
      <c r="H602" s="348">
        <v>119620774.36135662</v>
      </c>
      <c r="I602" s="369"/>
      <c r="J602" s="350">
        <v>10323219.404159559</v>
      </c>
      <c r="K602" s="350">
        <v>21256548.276856169</v>
      </c>
      <c r="L602" s="350">
        <v>31958732.086694393</v>
      </c>
      <c r="M602" s="350">
        <v>42422524.433590956</v>
      </c>
      <c r="N602" s="350">
        <v>52643768.822636634</v>
      </c>
      <c r="O602" s="348">
        <v>158604793.0239377</v>
      </c>
      <c r="P602" s="369"/>
      <c r="Q602" s="350">
        <f t="shared" si="261"/>
        <v>1707058.6615245268</v>
      </c>
      <c r="R602" s="350">
        <f t="shared" si="262"/>
        <v>5043908.6793633327</v>
      </c>
      <c r="S602" s="350">
        <f t="shared" si="263"/>
        <v>8092433.0993709676</v>
      </c>
      <c r="T602" s="350">
        <f t="shared" si="264"/>
        <v>10844850.012866359</v>
      </c>
      <c r="U602" s="350">
        <f t="shared" si="265"/>
        <v>13295768.209455907</v>
      </c>
      <c r="V602" s="350">
        <f t="shared" si="266"/>
        <v>38984018.662581086</v>
      </c>
      <c r="W602" s="365"/>
      <c r="X602" s="377">
        <f t="shared" si="244"/>
        <v>0</v>
      </c>
      <c r="Y602" s="377">
        <f t="shared" si="245"/>
        <v>0</v>
      </c>
      <c r="Z602" s="377">
        <f t="shared" si="246"/>
        <v>0</v>
      </c>
      <c r="AA602" s="377">
        <f t="shared" si="247"/>
        <v>0</v>
      </c>
      <c r="AB602" s="377">
        <f t="shared" si="248"/>
        <v>0</v>
      </c>
      <c r="AC602" s="377">
        <f t="shared" si="249"/>
        <v>0</v>
      </c>
      <c r="AD602" s="376"/>
      <c r="AE602" s="332">
        <v>587</v>
      </c>
      <c r="AF602" s="350">
        <v>3630022.5733530535</v>
      </c>
      <c r="AG602" s="350">
        <v>7288552.3403964825</v>
      </c>
      <c r="AH602" s="350">
        <v>10974770.056317115</v>
      </c>
      <c r="AI602" s="350">
        <v>14688797.945582379</v>
      </c>
      <c r="AJ602" s="350">
        <v>18431171.623243328</v>
      </c>
      <c r="AK602" s="348">
        <v>55013314.538892359</v>
      </c>
      <c r="AL602" s="369"/>
      <c r="AM602" s="350">
        <v>4410902.8028963283</v>
      </c>
      <c r="AN602" s="350">
        <v>9595338.7355091684</v>
      </c>
      <c r="AO602" s="350">
        <v>14649206.561521506</v>
      </c>
      <c r="AP602" s="350">
        <v>19569563.06847319</v>
      </c>
      <c r="AQ602" s="350">
        <v>24355003.617019828</v>
      </c>
      <c r="AR602" s="348">
        <v>72580014.785420015</v>
      </c>
      <c r="AS602" s="369"/>
      <c r="AT602" s="350">
        <f t="shared" si="267"/>
        <v>780880.22954327473</v>
      </c>
      <c r="AU602" s="350">
        <f t="shared" si="250"/>
        <v>2306786.3951126859</v>
      </c>
      <c r="AV602" s="350">
        <f t="shared" si="251"/>
        <v>3674436.5052043907</v>
      </c>
      <c r="AW602" s="350">
        <f t="shared" si="252"/>
        <v>4880765.1228908114</v>
      </c>
      <c r="AX602" s="350">
        <f t="shared" si="253"/>
        <v>5923831.9937765002</v>
      </c>
      <c r="AY602" s="350">
        <f t="shared" si="254"/>
        <v>17566700.246527657</v>
      </c>
      <c r="AZ602" s="365"/>
      <c r="BA602" s="377">
        <f t="shared" si="255"/>
        <v>0</v>
      </c>
      <c r="BB602" s="377">
        <f t="shared" si="256"/>
        <v>0</v>
      </c>
      <c r="BC602" s="377">
        <f t="shared" si="257"/>
        <v>0</v>
      </c>
      <c r="BD602" s="377">
        <f t="shared" si="258"/>
        <v>0</v>
      </c>
      <c r="BE602" s="377">
        <f t="shared" si="259"/>
        <v>0</v>
      </c>
      <c r="BF602" s="377">
        <f t="shared" si="260"/>
        <v>0</v>
      </c>
      <c r="BG602" s="328"/>
    </row>
    <row r="603" spans="2:59">
      <c r="B603" s="332">
        <v>588</v>
      </c>
      <c r="C603" s="350">
        <v>11416836.852135379</v>
      </c>
      <c r="D603" s="350">
        <v>21494493.0726697</v>
      </c>
      <c r="E603" s="350">
        <v>31648010.144974619</v>
      </c>
      <c r="F603" s="350">
        <v>41878094.947784185</v>
      </c>
      <c r="G603" s="350">
        <v>52186383.942152008</v>
      </c>
      <c r="H603" s="348">
        <v>158623818.9597159</v>
      </c>
      <c r="I603" s="369"/>
      <c r="J603" s="350">
        <v>12880169.560283542</v>
      </c>
      <c r="K603" s="350">
        <v>25809485.118599884</v>
      </c>
      <c r="L603" s="350">
        <v>38396827.093190044</v>
      </c>
      <c r="M603" s="350">
        <v>50633274.413158</v>
      </c>
      <c r="N603" s="350">
        <v>62512986.850785993</v>
      </c>
      <c r="O603" s="348">
        <v>190232743.03601748</v>
      </c>
      <c r="P603" s="369"/>
      <c r="Q603" s="350">
        <f t="shared" si="261"/>
        <v>1463332.7081481628</v>
      </c>
      <c r="R603" s="350">
        <f t="shared" si="262"/>
        <v>4314992.0459301844</v>
      </c>
      <c r="S603" s="350">
        <f t="shared" si="263"/>
        <v>6748816.948215425</v>
      </c>
      <c r="T603" s="350">
        <f t="shared" si="264"/>
        <v>8755179.4653738141</v>
      </c>
      <c r="U603" s="350">
        <f t="shared" si="265"/>
        <v>10326602.908633985</v>
      </c>
      <c r="V603" s="350">
        <f t="shared" si="266"/>
        <v>31608924.076301575</v>
      </c>
      <c r="W603" s="365"/>
      <c r="X603" s="377">
        <f t="shared" si="244"/>
        <v>0</v>
      </c>
      <c r="Y603" s="377">
        <f t="shared" si="245"/>
        <v>0</v>
      </c>
      <c r="Z603" s="377">
        <f t="shared" si="246"/>
        <v>0</v>
      </c>
      <c r="AA603" s="377">
        <f t="shared" si="247"/>
        <v>0</v>
      </c>
      <c r="AB603" s="377">
        <f t="shared" si="248"/>
        <v>0</v>
      </c>
      <c r="AC603" s="377">
        <f t="shared" si="249"/>
        <v>0</v>
      </c>
      <c r="AD603" s="376"/>
      <c r="AE603" s="332">
        <v>588</v>
      </c>
      <c r="AF603" s="350">
        <v>6306939.0467585837</v>
      </c>
      <c r="AG603" s="350">
        <v>12663407.574220441</v>
      </c>
      <c r="AH603" s="350">
        <v>19067982.195341378</v>
      </c>
      <c r="AI603" s="350">
        <v>25520875.267551821</v>
      </c>
      <c r="AJ603" s="350">
        <v>32023017.388778172</v>
      </c>
      <c r="AK603" s="348">
        <v>95582221.472650409</v>
      </c>
      <c r="AL603" s="369"/>
      <c r="AM603" s="350">
        <v>7317498.1623856146</v>
      </c>
      <c r="AN603" s="350">
        <v>15644661.807951486</v>
      </c>
      <c r="AO603" s="350">
        <v>23734603.511670541</v>
      </c>
      <c r="AP603" s="350">
        <v>31582307.534702454</v>
      </c>
      <c r="AQ603" s="350">
        <v>39184982.812393591</v>
      </c>
      <c r="AR603" s="348">
        <v>117464053.82910368</v>
      </c>
      <c r="AS603" s="369"/>
      <c r="AT603" s="350">
        <f t="shared" si="267"/>
        <v>1010559.1156270308</v>
      </c>
      <c r="AU603" s="350">
        <f t="shared" si="250"/>
        <v>2981254.2337310445</v>
      </c>
      <c r="AV603" s="350">
        <f t="shared" si="251"/>
        <v>4666621.3163291626</v>
      </c>
      <c r="AW603" s="350">
        <f t="shared" si="252"/>
        <v>6061432.267150633</v>
      </c>
      <c r="AX603" s="350">
        <f t="shared" si="253"/>
        <v>7161965.4236154184</v>
      </c>
      <c r="AY603" s="350">
        <f t="shared" si="254"/>
        <v>21881832.35645327</v>
      </c>
      <c r="AZ603" s="365"/>
      <c r="BA603" s="377">
        <f t="shared" si="255"/>
        <v>0</v>
      </c>
      <c r="BB603" s="377">
        <f t="shared" si="256"/>
        <v>0</v>
      </c>
      <c r="BC603" s="377">
        <f t="shared" si="257"/>
        <v>0</v>
      </c>
      <c r="BD603" s="377">
        <f t="shared" si="258"/>
        <v>0</v>
      </c>
      <c r="BE603" s="377">
        <f t="shared" si="259"/>
        <v>0</v>
      </c>
      <c r="BF603" s="377">
        <f t="shared" si="260"/>
        <v>0</v>
      </c>
      <c r="BG603" s="328"/>
    </row>
    <row r="604" spans="2:59">
      <c r="B604" s="332">
        <v>589</v>
      </c>
      <c r="C604" s="350">
        <v>6534522.0677615879</v>
      </c>
      <c r="D604" s="350">
        <v>12274836.88941041</v>
      </c>
      <c r="E604" s="350">
        <v>18058353.645493299</v>
      </c>
      <c r="F604" s="350">
        <v>23885483.179078273</v>
      </c>
      <c r="G604" s="350">
        <v>29757161.199127115</v>
      </c>
      <c r="H604" s="348">
        <v>90510356.980870694</v>
      </c>
      <c r="I604" s="369"/>
      <c r="J604" s="350">
        <v>7820573.2829178842</v>
      </c>
      <c r="K604" s="350">
        <v>16074753.110079572</v>
      </c>
      <c r="L604" s="350">
        <v>24158216.729659341</v>
      </c>
      <c r="M604" s="350">
        <v>32065348.179352656</v>
      </c>
      <c r="N604" s="350">
        <v>39792851.796515137</v>
      </c>
      <c r="O604" s="348">
        <v>119911743.09852459</v>
      </c>
      <c r="P604" s="369"/>
      <c r="Q604" s="350">
        <f t="shared" si="261"/>
        <v>1286051.2151562963</v>
      </c>
      <c r="R604" s="350">
        <f t="shared" si="262"/>
        <v>3799916.2206691615</v>
      </c>
      <c r="S604" s="350">
        <f t="shared" si="263"/>
        <v>6099863.0841660425</v>
      </c>
      <c r="T604" s="350">
        <f t="shared" si="264"/>
        <v>8179865.0002743825</v>
      </c>
      <c r="U604" s="350">
        <f t="shared" si="265"/>
        <v>10035690.597388022</v>
      </c>
      <c r="V604" s="350">
        <f t="shared" si="266"/>
        <v>29401386.117653891</v>
      </c>
      <c r="W604" s="365"/>
      <c r="X604" s="377">
        <f t="shared" si="244"/>
        <v>0</v>
      </c>
      <c r="Y604" s="377">
        <f t="shared" si="245"/>
        <v>0</v>
      </c>
      <c r="Z604" s="377">
        <f t="shared" si="246"/>
        <v>0</v>
      </c>
      <c r="AA604" s="377">
        <f t="shared" si="247"/>
        <v>0</v>
      </c>
      <c r="AB604" s="377">
        <f t="shared" si="248"/>
        <v>0</v>
      </c>
      <c r="AC604" s="377">
        <f t="shared" si="249"/>
        <v>0</v>
      </c>
      <c r="AD604" s="376"/>
      <c r="AE604" s="332">
        <v>589</v>
      </c>
      <c r="AF604" s="350">
        <v>5244266.0775788827</v>
      </c>
      <c r="AG604" s="350">
        <v>10529716.281651866</v>
      </c>
      <c r="AH604" s="350">
        <v>15855167.055451423</v>
      </c>
      <c r="AI604" s="350">
        <v>21220794.975738563</v>
      </c>
      <c r="AJ604" s="350">
        <v>26627373.841514844</v>
      </c>
      <c r="AK604" s="348">
        <v>79477318.231935576</v>
      </c>
      <c r="AL604" s="369"/>
      <c r="AM604" s="350">
        <v>5869076.6538945632</v>
      </c>
      <c r="AN604" s="350">
        <v>12369610.307144068</v>
      </c>
      <c r="AO604" s="350">
        <v>18666438.579429805</v>
      </c>
      <c r="AP604" s="350">
        <v>24755451.791931622</v>
      </c>
      <c r="AQ604" s="350">
        <v>30634110.926494762</v>
      </c>
      <c r="AR604" s="348">
        <v>92294688.258894831</v>
      </c>
      <c r="AS604" s="369"/>
      <c r="AT604" s="350">
        <f t="shared" si="267"/>
        <v>624810.57631568052</v>
      </c>
      <c r="AU604" s="350">
        <f t="shared" si="250"/>
        <v>1839894.0254922025</v>
      </c>
      <c r="AV604" s="350">
        <f t="shared" si="251"/>
        <v>2811271.5239783823</v>
      </c>
      <c r="AW604" s="350">
        <f t="shared" si="252"/>
        <v>3534656.8161930591</v>
      </c>
      <c r="AX604" s="350">
        <f t="shared" si="253"/>
        <v>4006737.0849799179</v>
      </c>
      <c r="AY604" s="350">
        <f t="shared" si="254"/>
        <v>12817370.026959255</v>
      </c>
      <c r="AZ604" s="365"/>
      <c r="BA604" s="377">
        <f t="shared" si="255"/>
        <v>0</v>
      </c>
      <c r="BB604" s="377">
        <f t="shared" si="256"/>
        <v>0</v>
      </c>
      <c r="BC604" s="377">
        <f t="shared" si="257"/>
        <v>0</v>
      </c>
      <c r="BD604" s="377">
        <f t="shared" si="258"/>
        <v>0</v>
      </c>
      <c r="BE604" s="377">
        <f t="shared" si="259"/>
        <v>0</v>
      </c>
      <c r="BF604" s="377">
        <f t="shared" si="260"/>
        <v>0</v>
      </c>
      <c r="BG604" s="328"/>
    </row>
    <row r="605" spans="2:59">
      <c r="B605" s="332">
        <v>590</v>
      </c>
      <c r="C605" s="350">
        <v>6129175.760759769</v>
      </c>
      <c r="D605" s="350">
        <v>11564494.538780941</v>
      </c>
      <c r="E605" s="350">
        <v>17040736.544255372</v>
      </c>
      <c r="F605" s="350">
        <v>22558275.606009077</v>
      </c>
      <c r="G605" s="350">
        <v>28117991.109592699</v>
      </c>
      <c r="H605" s="348">
        <v>85410673.559397846</v>
      </c>
      <c r="I605" s="369"/>
      <c r="J605" s="350">
        <v>6867718.4869399015</v>
      </c>
      <c r="K605" s="350">
        <v>13741405.946818577</v>
      </c>
      <c r="L605" s="350">
        <v>20436202.488110706</v>
      </c>
      <c r="M605" s="350">
        <v>26947020.872069653</v>
      </c>
      <c r="N605" s="350">
        <v>33270363.040381089</v>
      </c>
      <c r="O605" s="348">
        <v>101262710.83431993</v>
      </c>
      <c r="P605" s="369"/>
      <c r="Q605" s="350">
        <f t="shared" si="261"/>
        <v>738542.72618013248</v>
      </c>
      <c r="R605" s="350">
        <f t="shared" si="262"/>
        <v>2176911.4080376364</v>
      </c>
      <c r="S605" s="350">
        <f t="shared" si="263"/>
        <v>3395465.9438553341</v>
      </c>
      <c r="T605" s="350">
        <f t="shared" si="264"/>
        <v>4388745.2660605758</v>
      </c>
      <c r="U605" s="350">
        <f t="shared" si="265"/>
        <v>5152371.9307883903</v>
      </c>
      <c r="V605" s="350">
        <f t="shared" si="266"/>
        <v>15852037.274922088</v>
      </c>
      <c r="W605" s="365"/>
      <c r="X605" s="377">
        <f t="shared" si="244"/>
        <v>0</v>
      </c>
      <c r="Y605" s="377">
        <f t="shared" si="245"/>
        <v>0</v>
      </c>
      <c r="Z605" s="377">
        <f t="shared" si="246"/>
        <v>0</v>
      </c>
      <c r="AA605" s="377">
        <f t="shared" si="247"/>
        <v>0</v>
      </c>
      <c r="AB605" s="377">
        <f t="shared" si="248"/>
        <v>0</v>
      </c>
      <c r="AC605" s="377">
        <f t="shared" si="249"/>
        <v>0</v>
      </c>
      <c r="AD605" s="376"/>
      <c r="AE605" s="332">
        <v>590</v>
      </c>
      <c r="AF605" s="350">
        <v>6695088.0138709908</v>
      </c>
      <c r="AG605" s="350">
        <v>13442753.70926566</v>
      </c>
      <c r="AH605" s="350">
        <v>20241486.099401351</v>
      </c>
      <c r="AI605" s="350">
        <v>27091510.61085609</v>
      </c>
      <c r="AJ605" s="350">
        <v>33993815.113494575</v>
      </c>
      <c r="AK605" s="348">
        <v>101464653.54688866</v>
      </c>
      <c r="AL605" s="369"/>
      <c r="AM605" s="350">
        <v>7889247.9387220033</v>
      </c>
      <c r="AN605" s="350">
        <v>16967543.655466191</v>
      </c>
      <c r="AO605" s="350">
        <v>25797654.244228318</v>
      </c>
      <c r="AP605" s="350">
        <v>34374220.943112373</v>
      </c>
      <c r="AQ605" s="350">
        <v>42694403.874168545</v>
      </c>
      <c r="AR605" s="348">
        <v>127723070.65569744</v>
      </c>
      <c r="AS605" s="369"/>
      <c r="AT605" s="350">
        <f t="shared" si="267"/>
        <v>1194159.9248510124</v>
      </c>
      <c r="AU605" s="350">
        <f t="shared" si="250"/>
        <v>3524789.946200531</v>
      </c>
      <c r="AV605" s="350">
        <f t="shared" si="251"/>
        <v>5556168.1448269673</v>
      </c>
      <c r="AW605" s="350">
        <f t="shared" si="252"/>
        <v>7282710.3322562836</v>
      </c>
      <c r="AX605" s="350">
        <f t="shared" si="253"/>
        <v>8700588.76067397</v>
      </c>
      <c r="AY605" s="350">
        <f t="shared" si="254"/>
        <v>26258417.108808771</v>
      </c>
      <c r="AZ605" s="365"/>
      <c r="BA605" s="377">
        <f t="shared" si="255"/>
        <v>0</v>
      </c>
      <c r="BB605" s="377">
        <f t="shared" si="256"/>
        <v>0</v>
      </c>
      <c r="BC605" s="377">
        <f t="shared" si="257"/>
        <v>0</v>
      </c>
      <c r="BD605" s="377">
        <f t="shared" si="258"/>
        <v>0</v>
      </c>
      <c r="BE605" s="377">
        <f t="shared" si="259"/>
        <v>0</v>
      </c>
      <c r="BF605" s="377">
        <f t="shared" si="260"/>
        <v>0</v>
      </c>
      <c r="BG605" s="328"/>
    </row>
    <row r="606" spans="2:59">
      <c r="B606" s="332">
        <v>591</v>
      </c>
      <c r="C606" s="350">
        <v>10204586.2419594</v>
      </c>
      <c r="D606" s="350">
        <v>19125103.232820477</v>
      </c>
      <c r="E606" s="350">
        <v>28112742.211541496</v>
      </c>
      <c r="F606" s="350">
        <v>37168154.65344917</v>
      </c>
      <c r="G606" s="350">
        <v>46292800.326443881</v>
      </c>
      <c r="H606" s="348">
        <v>140903386.66621444</v>
      </c>
      <c r="I606" s="369"/>
      <c r="J606" s="350">
        <v>11497147.71424672</v>
      </c>
      <c r="K606" s="350">
        <v>22936489.660846926</v>
      </c>
      <c r="L606" s="350">
        <v>34084413.233277842</v>
      </c>
      <c r="M606" s="350">
        <v>44932595.710667789</v>
      </c>
      <c r="N606" s="350">
        <v>55475405.716149449</v>
      </c>
      <c r="O606" s="348">
        <v>168926052.03518873</v>
      </c>
      <c r="P606" s="369"/>
      <c r="Q606" s="350">
        <f t="shared" si="261"/>
        <v>1292561.4722873196</v>
      </c>
      <c r="R606" s="350">
        <f t="shared" si="262"/>
        <v>3811386.4280264489</v>
      </c>
      <c r="S606" s="350">
        <f t="shared" si="263"/>
        <v>5971671.0217363462</v>
      </c>
      <c r="T606" s="350">
        <f t="shared" si="264"/>
        <v>7764441.0572186187</v>
      </c>
      <c r="U606" s="350">
        <f t="shared" si="265"/>
        <v>9182605.3897055686</v>
      </c>
      <c r="V606" s="350">
        <f t="shared" si="266"/>
        <v>28022665.368974298</v>
      </c>
      <c r="W606" s="365"/>
      <c r="X606" s="377">
        <f t="shared" si="244"/>
        <v>0</v>
      </c>
      <c r="Y606" s="377">
        <f t="shared" si="245"/>
        <v>0</v>
      </c>
      <c r="Z606" s="377">
        <f t="shared" si="246"/>
        <v>0</v>
      </c>
      <c r="AA606" s="377">
        <f t="shared" si="247"/>
        <v>0</v>
      </c>
      <c r="AB606" s="377">
        <f t="shared" si="248"/>
        <v>0</v>
      </c>
      <c r="AC606" s="377">
        <f t="shared" si="249"/>
        <v>0</v>
      </c>
      <c r="AD606" s="376"/>
      <c r="AE606" s="332">
        <v>591</v>
      </c>
      <c r="AF606" s="350">
        <v>4903434.9917554315</v>
      </c>
      <c r="AG606" s="350">
        <v>9845377.5046718158</v>
      </c>
      <c r="AH606" s="350">
        <v>14824720.902742755</v>
      </c>
      <c r="AI606" s="350">
        <v>19841630.286795672</v>
      </c>
      <c r="AJ606" s="350">
        <v>24896829.165715262</v>
      </c>
      <c r="AK606" s="348">
        <v>74311992.851680934</v>
      </c>
      <c r="AL606" s="369"/>
      <c r="AM606" s="350">
        <v>6108009.4915759107</v>
      </c>
      <c r="AN606" s="350">
        <v>13405533.154496454</v>
      </c>
      <c r="AO606" s="350">
        <v>20531170.801561072</v>
      </c>
      <c r="AP606" s="350">
        <v>27480904.382900491</v>
      </c>
      <c r="AQ606" s="350">
        <v>34252988.184662089</v>
      </c>
      <c r="AR606" s="348">
        <v>101778606.01519601</v>
      </c>
      <c r="AS606" s="369"/>
      <c r="AT606" s="350">
        <f t="shared" si="267"/>
        <v>1204574.4998204792</v>
      </c>
      <c r="AU606" s="350">
        <f t="shared" si="250"/>
        <v>3560155.6498246379</v>
      </c>
      <c r="AV606" s="350">
        <f t="shared" si="251"/>
        <v>5706449.8988183178</v>
      </c>
      <c r="AW606" s="350">
        <f t="shared" si="252"/>
        <v>7639274.0961048193</v>
      </c>
      <c r="AX606" s="350">
        <f t="shared" si="253"/>
        <v>9356159.0189468265</v>
      </c>
      <c r="AY606" s="350">
        <f t="shared" si="254"/>
        <v>27466613.163515076</v>
      </c>
      <c r="AZ606" s="365"/>
      <c r="BA606" s="377">
        <f t="shared" si="255"/>
        <v>0</v>
      </c>
      <c r="BB606" s="377">
        <f t="shared" si="256"/>
        <v>0</v>
      </c>
      <c r="BC606" s="377">
        <f t="shared" si="257"/>
        <v>0</v>
      </c>
      <c r="BD606" s="377">
        <f t="shared" si="258"/>
        <v>0</v>
      </c>
      <c r="BE606" s="377">
        <f t="shared" si="259"/>
        <v>0</v>
      </c>
      <c r="BF606" s="377">
        <f t="shared" si="260"/>
        <v>0</v>
      </c>
      <c r="BG606" s="328"/>
    </row>
    <row r="607" spans="2:59">
      <c r="B607" s="332">
        <v>592</v>
      </c>
      <c r="C607" s="350">
        <v>8194879.658754034</v>
      </c>
      <c r="D607" s="350">
        <v>15561191.770724323</v>
      </c>
      <c r="E607" s="350">
        <v>22982997.937087037</v>
      </c>
      <c r="F607" s="350">
        <v>30460775.603254892</v>
      </c>
      <c r="G607" s="350">
        <v>37995703.870382041</v>
      </c>
      <c r="H607" s="348">
        <v>115195548.84020233</v>
      </c>
      <c r="I607" s="369"/>
      <c r="J607" s="350">
        <v>9393170.7803251855</v>
      </c>
      <c r="K607" s="350">
        <v>19096827.598861866</v>
      </c>
      <c r="L607" s="350">
        <v>28558226.937339514</v>
      </c>
      <c r="M607" s="350">
        <v>37770620.378906824</v>
      </c>
      <c r="N607" s="350">
        <v>46729694.423561871</v>
      </c>
      <c r="O607" s="348">
        <v>141548540.11899525</v>
      </c>
      <c r="P607" s="369"/>
      <c r="Q607" s="350">
        <f t="shared" si="261"/>
        <v>1198291.1215711515</v>
      </c>
      <c r="R607" s="350">
        <f t="shared" si="262"/>
        <v>3535635.8281375431</v>
      </c>
      <c r="S607" s="350">
        <f t="shared" si="263"/>
        <v>5575229.0002524778</v>
      </c>
      <c r="T607" s="350">
        <f t="shared" si="264"/>
        <v>7309844.7756519318</v>
      </c>
      <c r="U607" s="350">
        <f t="shared" si="265"/>
        <v>8733990.5531798303</v>
      </c>
      <c r="V607" s="350">
        <f t="shared" si="266"/>
        <v>26352991.278792918</v>
      </c>
      <c r="W607" s="365"/>
      <c r="X607" s="377">
        <f t="shared" si="244"/>
        <v>0</v>
      </c>
      <c r="Y607" s="377">
        <f t="shared" si="245"/>
        <v>0</v>
      </c>
      <c r="Z607" s="377">
        <f t="shared" si="246"/>
        <v>0</v>
      </c>
      <c r="AA607" s="377">
        <f t="shared" si="247"/>
        <v>0</v>
      </c>
      <c r="AB607" s="377">
        <f t="shared" si="248"/>
        <v>0</v>
      </c>
      <c r="AC607" s="377">
        <f t="shared" si="249"/>
        <v>0</v>
      </c>
      <c r="AD607" s="376"/>
      <c r="AE607" s="332">
        <v>592</v>
      </c>
      <c r="AF607" s="350">
        <v>4679999.4006185625</v>
      </c>
      <c r="AG607" s="350">
        <v>9396751.6441432908</v>
      </c>
      <c r="AH607" s="350">
        <v>14149200.520824205</v>
      </c>
      <c r="AI607" s="350">
        <v>18937503.608313441</v>
      </c>
      <c r="AJ607" s="350">
        <v>23762351.447252899</v>
      </c>
      <c r="AK607" s="348">
        <v>70925806.621152401</v>
      </c>
      <c r="AL607" s="369"/>
      <c r="AM607" s="350">
        <v>5658348.5331797386</v>
      </c>
      <c r="AN607" s="350">
        <v>12286547.87583462</v>
      </c>
      <c r="AO607" s="350">
        <v>18745561.98248418</v>
      </c>
      <c r="AP607" s="350">
        <v>25031604.354637802</v>
      </c>
      <c r="AQ607" s="350">
        <v>31142835.302122176</v>
      </c>
      <c r="AR607" s="348">
        <v>92864898.048258513</v>
      </c>
      <c r="AS607" s="369"/>
      <c r="AT607" s="350">
        <f t="shared" si="267"/>
        <v>978349.13256117608</v>
      </c>
      <c r="AU607" s="350">
        <f t="shared" si="250"/>
        <v>2889796.2316913288</v>
      </c>
      <c r="AV607" s="350">
        <f t="shared" si="251"/>
        <v>4596361.4616599753</v>
      </c>
      <c r="AW607" s="350">
        <f t="shared" si="252"/>
        <v>6094100.7463243604</v>
      </c>
      <c r="AX607" s="350">
        <f t="shared" si="253"/>
        <v>7380483.8548692763</v>
      </c>
      <c r="AY607" s="350">
        <f t="shared" si="254"/>
        <v>21939091.427106112</v>
      </c>
      <c r="AZ607" s="365"/>
      <c r="BA607" s="377">
        <f t="shared" si="255"/>
        <v>0</v>
      </c>
      <c r="BB607" s="377">
        <f t="shared" si="256"/>
        <v>0</v>
      </c>
      <c r="BC607" s="377">
        <f t="shared" si="257"/>
        <v>0</v>
      </c>
      <c r="BD607" s="377">
        <f t="shared" si="258"/>
        <v>0</v>
      </c>
      <c r="BE607" s="377">
        <f t="shared" si="259"/>
        <v>0</v>
      </c>
      <c r="BF607" s="377">
        <f t="shared" si="260"/>
        <v>0</v>
      </c>
      <c r="BG607" s="328"/>
    </row>
    <row r="608" spans="2:59">
      <c r="B608" s="332">
        <v>593</v>
      </c>
      <c r="C608" s="350">
        <v>9987534.0713873412</v>
      </c>
      <c r="D608" s="350">
        <v>18964120.442872271</v>
      </c>
      <c r="E608" s="350">
        <v>28008331.496458273</v>
      </c>
      <c r="F608" s="350">
        <v>37120749.374861225</v>
      </c>
      <c r="G608" s="350">
        <v>46302811.073138058</v>
      </c>
      <c r="H608" s="348">
        <v>140383546.45871717</v>
      </c>
      <c r="I608" s="369"/>
      <c r="J608" s="350">
        <v>11395963.394215126</v>
      </c>
      <c r="K608" s="350">
        <v>23118979.480785526</v>
      </c>
      <c r="L608" s="350">
        <v>34545799.736993618</v>
      </c>
      <c r="M608" s="350">
        <v>45668175.882888347</v>
      </c>
      <c r="N608" s="350">
        <v>56480758.349789798</v>
      </c>
      <c r="O608" s="348">
        <v>171209676.84467241</v>
      </c>
      <c r="P608" s="369"/>
      <c r="Q608" s="350">
        <f t="shared" si="261"/>
        <v>1408429.3228277843</v>
      </c>
      <c r="R608" s="350">
        <f t="shared" si="262"/>
        <v>4154859.0379132554</v>
      </c>
      <c r="S608" s="350">
        <f t="shared" si="263"/>
        <v>6537468.2405353449</v>
      </c>
      <c r="T608" s="350">
        <f t="shared" si="264"/>
        <v>8547426.5080271214</v>
      </c>
      <c r="U608" s="350">
        <f t="shared" si="265"/>
        <v>10177947.27665174</v>
      </c>
      <c r="V608" s="350">
        <f t="shared" si="266"/>
        <v>30826130.385955244</v>
      </c>
      <c r="W608" s="365"/>
      <c r="X608" s="377">
        <f t="shared" si="244"/>
        <v>0</v>
      </c>
      <c r="Y608" s="377">
        <f t="shared" si="245"/>
        <v>0</v>
      </c>
      <c r="Z608" s="377">
        <f t="shared" si="246"/>
        <v>0</v>
      </c>
      <c r="AA608" s="377">
        <f t="shared" si="247"/>
        <v>0</v>
      </c>
      <c r="AB608" s="377">
        <f t="shared" si="248"/>
        <v>0</v>
      </c>
      <c r="AC608" s="377">
        <f t="shared" si="249"/>
        <v>0</v>
      </c>
      <c r="AD608" s="376"/>
      <c r="AE608" s="332">
        <v>593</v>
      </c>
      <c r="AF608" s="350">
        <v>6927814.0453686565</v>
      </c>
      <c r="AG608" s="350">
        <v>13910033.409947162</v>
      </c>
      <c r="AH608" s="350">
        <v>20945094.583975285</v>
      </c>
      <c r="AI608" s="350">
        <v>28033230.830019586</v>
      </c>
      <c r="AJ608" s="350">
        <v>35175464.357005395</v>
      </c>
      <c r="AK608" s="348">
        <v>104991637.22631609</v>
      </c>
      <c r="AL608" s="369"/>
      <c r="AM608" s="350">
        <v>8427611.5684893113</v>
      </c>
      <c r="AN608" s="350">
        <v>18340672.9055687</v>
      </c>
      <c r="AO608" s="350">
        <v>28004832.732075222</v>
      </c>
      <c r="AP608" s="350">
        <v>37414471.306605086</v>
      </c>
      <c r="AQ608" s="350">
        <v>46566917.534515277</v>
      </c>
      <c r="AR608" s="348">
        <v>138754506.04725361</v>
      </c>
      <c r="AS608" s="369"/>
      <c r="AT608" s="350">
        <f t="shared" si="267"/>
        <v>1499797.5231206547</v>
      </c>
      <c r="AU608" s="350">
        <f t="shared" si="250"/>
        <v>4430639.4956215378</v>
      </c>
      <c r="AV608" s="350">
        <f t="shared" si="251"/>
        <v>7059738.1480999365</v>
      </c>
      <c r="AW608" s="350">
        <f t="shared" si="252"/>
        <v>9381240.4765854999</v>
      </c>
      <c r="AX608" s="350">
        <f t="shared" si="253"/>
        <v>11391453.177509882</v>
      </c>
      <c r="AY608" s="350">
        <f t="shared" si="254"/>
        <v>33762868.820937514</v>
      </c>
      <c r="AZ608" s="365"/>
      <c r="BA608" s="377">
        <f t="shared" si="255"/>
        <v>0</v>
      </c>
      <c r="BB608" s="377">
        <f t="shared" si="256"/>
        <v>0</v>
      </c>
      <c r="BC608" s="377">
        <f t="shared" si="257"/>
        <v>0</v>
      </c>
      <c r="BD608" s="377">
        <f t="shared" si="258"/>
        <v>0</v>
      </c>
      <c r="BE608" s="377">
        <f t="shared" si="259"/>
        <v>0</v>
      </c>
      <c r="BF608" s="377">
        <f t="shared" si="260"/>
        <v>0</v>
      </c>
      <c r="BG608" s="328"/>
    </row>
    <row r="609" spans="2:59">
      <c r="B609" s="332">
        <v>594</v>
      </c>
      <c r="C609" s="350">
        <v>7352425.0220577931</v>
      </c>
      <c r="D609" s="350">
        <v>13958538.609373366</v>
      </c>
      <c r="E609" s="350">
        <v>20614418.367123611</v>
      </c>
      <c r="F609" s="350">
        <v>27320493.317733571</v>
      </c>
      <c r="G609" s="350">
        <v>34077821.249325611</v>
      </c>
      <c r="H609" s="348">
        <v>103323696.56561396</v>
      </c>
      <c r="I609" s="369"/>
      <c r="J609" s="350">
        <v>8545894.4423023909</v>
      </c>
      <c r="K609" s="350">
        <v>17481737.43916424</v>
      </c>
      <c r="L609" s="350">
        <v>26204828.65043848</v>
      </c>
      <c r="M609" s="350">
        <v>34709036.920582741</v>
      </c>
      <c r="N609" s="350">
        <v>42990566.606890842</v>
      </c>
      <c r="O609" s="348">
        <v>129932064.0593787</v>
      </c>
      <c r="P609" s="369"/>
      <c r="Q609" s="350">
        <f t="shared" si="261"/>
        <v>1193469.4202445978</v>
      </c>
      <c r="R609" s="350">
        <f t="shared" si="262"/>
        <v>3523198.8297908735</v>
      </c>
      <c r="S609" s="350">
        <f t="shared" si="263"/>
        <v>5590410.2833148688</v>
      </c>
      <c r="T609" s="350">
        <f t="shared" si="264"/>
        <v>7388543.6028491706</v>
      </c>
      <c r="U609" s="350">
        <f t="shared" si="265"/>
        <v>8912745.3575652316</v>
      </c>
      <c r="V609" s="350">
        <f t="shared" si="266"/>
        <v>26608367.493764743</v>
      </c>
      <c r="W609" s="365"/>
      <c r="X609" s="377">
        <f t="shared" si="244"/>
        <v>0</v>
      </c>
      <c r="Y609" s="377">
        <f t="shared" si="245"/>
        <v>0</v>
      </c>
      <c r="Z609" s="377">
        <f t="shared" si="246"/>
        <v>0</v>
      </c>
      <c r="AA609" s="377">
        <f t="shared" si="247"/>
        <v>0</v>
      </c>
      <c r="AB609" s="377">
        <f t="shared" si="248"/>
        <v>0</v>
      </c>
      <c r="AC609" s="377">
        <f t="shared" si="249"/>
        <v>0</v>
      </c>
      <c r="AD609" s="376"/>
      <c r="AE609" s="332">
        <v>594</v>
      </c>
      <c r="AF609" s="350">
        <v>7404424.4776280262</v>
      </c>
      <c r="AG609" s="350">
        <v>14866997.178437632</v>
      </c>
      <c r="AH609" s="350">
        <v>22386047.028427139</v>
      </c>
      <c r="AI609" s="350">
        <v>29961823.337847404</v>
      </c>
      <c r="AJ609" s="350">
        <v>37595418.640178457</v>
      </c>
      <c r="AK609" s="348">
        <v>112214710.66251867</v>
      </c>
      <c r="AL609" s="369"/>
      <c r="AM609" s="350">
        <v>8315514.7034279164</v>
      </c>
      <c r="AN609" s="350">
        <v>17550512.180887733</v>
      </c>
      <c r="AO609" s="350">
        <v>26498762.282143652</v>
      </c>
      <c r="AP609" s="350">
        <v>35154454.338071838</v>
      </c>
      <c r="AQ609" s="350">
        <v>43514032.77095589</v>
      </c>
      <c r="AR609" s="348">
        <v>131033276.27548704</v>
      </c>
      <c r="AS609" s="369"/>
      <c r="AT609" s="350">
        <f t="shared" si="267"/>
        <v>911090.22579989024</v>
      </c>
      <c r="AU609" s="350">
        <f t="shared" si="250"/>
        <v>2683515.0024501011</v>
      </c>
      <c r="AV609" s="350">
        <f t="shared" si="251"/>
        <v>4112715.2537165135</v>
      </c>
      <c r="AW609" s="350">
        <f t="shared" si="252"/>
        <v>5192631.0002244338</v>
      </c>
      <c r="AX609" s="350">
        <f t="shared" si="253"/>
        <v>5918614.1307774335</v>
      </c>
      <c r="AY609" s="350">
        <f t="shared" si="254"/>
        <v>18818565.61296837</v>
      </c>
      <c r="AZ609" s="365"/>
      <c r="BA609" s="377">
        <f t="shared" si="255"/>
        <v>0</v>
      </c>
      <c r="BB609" s="377">
        <f t="shared" si="256"/>
        <v>0</v>
      </c>
      <c r="BC609" s="377">
        <f t="shared" si="257"/>
        <v>0</v>
      </c>
      <c r="BD609" s="377">
        <f t="shared" si="258"/>
        <v>0</v>
      </c>
      <c r="BE609" s="377">
        <f t="shared" si="259"/>
        <v>0</v>
      </c>
      <c r="BF609" s="377">
        <f t="shared" si="260"/>
        <v>0</v>
      </c>
      <c r="BG609" s="328"/>
    </row>
    <row r="610" spans="2:59">
      <c r="B610" s="332">
        <v>595</v>
      </c>
      <c r="C610" s="350">
        <v>10774179.007950421</v>
      </c>
      <c r="D610" s="350">
        <v>20476439.890503861</v>
      </c>
      <c r="E610" s="350">
        <v>30251798.253454272</v>
      </c>
      <c r="F610" s="350">
        <v>40100877.880574815</v>
      </c>
      <c r="G610" s="350">
        <v>50025229.57660836</v>
      </c>
      <c r="H610" s="348">
        <v>151628524.60909173</v>
      </c>
      <c r="I610" s="369"/>
      <c r="J610" s="350">
        <v>12087473.97746609</v>
      </c>
      <c r="K610" s="350">
        <v>24347348.001181796</v>
      </c>
      <c r="L610" s="350">
        <v>36278804.273976617</v>
      </c>
      <c r="M610" s="350">
        <v>47873042.650165081</v>
      </c>
      <c r="N610" s="350">
        <v>59124131.127899423</v>
      </c>
      <c r="O610" s="348">
        <v>179710800.030689</v>
      </c>
      <c r="P610" s="369"/>
      <c r="Q610" s="350">
        <f t="shared" si="261"/>
        <v>1313294.9695156682</v>
      </c>
      <c r="R610" s="350">
        <f t="shared" si="262"/>
        <v>3870908.1106779352</v>
      </c>
      <c r="S610" s="350">
        <f t="shared" si="263"/>
        <v>6027006.0205223449</v>
      </c>
      <c r="T610" s="350">
        <f t="shared" si="264"/>
        <v>7772164.769590266</v>
      </c>
      <c r="U610" s="350">
        <f t="shared" si="265"/>
        <v>9098901.5512910634</v>
      </c>
      <c r="V610" s="350">
        <f t="shared" si="266"/>
        <v>28082275.421597272</v>
      </c>
      <c r="W610" s="365"/>
      <c r="X610" s="377">
        <f t="shared" si="244"/>
        <v>0</v>
      </c>
      <c r="Y610" s="377">
        <f t="shared" si="245"/>
        <v>0</v>
      </c>
      <c r="Z610" s="377">
        <f t="shared" si="246"/>
        <v>0</v>
      </c>
      <c r="AA610" s="377">
        <f t="shared" si="247"/>
        <v>0</v>
      </c>
      <c r="AB610" s="377">
        <f t="shared" si="248"/>
        <v>0</v>
      </c>
      <c r="AC610" s="377">
        <f t="shared" si="249"/>
        <v>0</v>
      </c>
      <c r="AD610" s="376"/>
      <c r="AE610" s="332">
        <v>595</v>
      </c>
      <c r="AF610" s="350">
        <v>6851816.935660515</v>
      </c>
      <c r="AG610" s="350">
        <v>13757442.372113753</v>
      </c>
      <c r="AH610" s="350">
        <v>20715329.951073527</v>
      </c>
      <c r="AI610" s="350">
        <v>27725710.376250062</v>
      </c>
      <c r="AJ610" s="350">
        <v>34789594.64308586</v>
      </c>
      <c r="AK610" s="348">
        <v>103839894.27818373</v>
      </c>
      <c r="AL610" s="369"/>
      <c r="AM610" s="350">
        <v>8072662.1214213762</v>
      </c>
      <c r="AN610" s="350">
        <v>17360981.143611703</v>
      </c>
      <c r="AO610" s="350">
        <v>26395267.117380235</v>
      </c>
      <c r="AP610" s="350">
        <v>35170036.193740889</v>
      </c>
      <c r="AQ610" s="350">
        <v>43682380.728833601</v>
      </c>
      <c r="AR610" s="348">
        <v>130681327.3049878</v>
      </c>
      <c r="AS610" s="369"/>
      <c r="AT610" s="350">
        <f t="shared" si="267"/>
        <v>1220845.1857608613</v>
      </c>
      <c r="AU610" s="350">
        <f t="shared" si="250"/>
        <v>3603538.77149795</v>
      </c>
      <c r="AV610" s="350">
        <f t="shared" si="251"/>
        <v>5679937.166306708</v>
      </c>
      <c r="AW610" s="350">
        <f t="shared" si="252"/>
        <v>7444325.8174908273</v>
      </c>
      <c r="AX610" s="350">
        <f t="shared" si="253"/>
        <v>8892786.0857477412</v>
      </c>
      <c r="AY610" s="350">
        <f t="shared" si="254"/>
        <v>26841433.026804075</v>
      </c>
      <c r="AZ610" s="365"/>
      <c r="BA610" s="377">
        <f t="shared" si="255"/>
        <v>0</v>
      </c>
      <c r="BB610" s="377">
        <f t="shared" si="256"/>
        <v>0</v>
      </c>
      <c r="BC610" s="377">
        <f t="shared" si="257"/>
        <v>0</v>
      </c>
      <c r="BD610" s="377">
        <f t="shared" si="258"/>
        <v>0</v>
      </c>
      <c r="BE610" s="377">
        <f t="shared" si="259"/>
        <v>0</v>
      </c>
      <c r="BF610" s="377">
        <f t="shared" si="260"/>
        <v>0</v>
      </c>
      <c r="BG610" s="328"/>
    </row>
    <row r="611" spans="2:59">
      <c r="B611" s="332">
        <v>596</v>
      </c>
      <c r="C611" s="350">
        <v>5991973.2707867771</v>
      </c>
      <c r="D611" s="350">
        <v>11170553.409286596</v>
      </c>
      <c r="E611" s="350">
        <v>16388079.988658408</v>
      </c>
      <c r="F611" s="350">
        <v>21644948.952509046</v>
      </c>
      <c r="G611" s="350">
        <v>26942015.45340842</v>
      </c>
      <c r="H611" s="348">
        <v>82137571.074649245</v>
      </c>
      <c r="I611" s="369"/>
      <c r="J611" s="350">
        <v>6855151.4075745614</v>
      </c>
      <c r="K611" s="350">
        <v>13717739.257174432</v>
      </c>
      <c r="L611" s="350">
        <v>20413443.741632551</v>
      </c>
      <c r="M611" s="350">
        <v>26937469.042486101</v>
      </c>
      <c r="N611" s="350">
        <v>33286719.648232754</v>
      </c>
      <c r="O611" s="348">
        <v>101210523.09710041</v>
      </c>
      <c r="P611" s="369"/>
      <c r="Q611" s="350">
        <f t="shared" si="261"/>
        <v>863178.13678778429</v>
      </c>
      <c r="R611" s="350">
        <f t="shared" si="262"/>
        <v>2547185.8478878364</v>
      </c>
      <c r="S611" s="350">
        <f t="shared" si="263"/>
        <v>4025363.7529741433</v>
      </c>
      <c r="T611" s="350">
        <f t="shared" si="264"/>
        <v>5292520.0899770558</v>
      </c>
      <c r="U611" s="350">
        <f t="shared" si="265"/>
        <v>6344704.1948243342</v>
      </c>
      <c r="V611" s="350">
        <f t="shared" si="266"/>
        <v>19072952.022451162</v>
      </c>
      <c r="W611" s="365"/>
      <c r="X611" s="377">
        <f t="shared" si="244"/>
        <v>0</v>
      </c>
      <c r="Y611" s="377">
        <f t="shared" si="245"/>
        <v>0</v>
      </c>
      <c r="Z611" s="377">
        <f t="shared" si="246"/>
        <v>0</v>
      </c>
      <c r="AA611" s="377">
        <f t="shared" si="247"/>
        <v>0</v>
      </c>
      <c r="AB611" s="377">
        <f t="shared" si="248"/>
        <v>0</v>
      </c>
      <c r="AC611" s="377">
        <f t="shared" si="249"/>
        <v>0</v>
      </c>
      <c r="AD611" s="376"/>
      <c r="AE611" s="332">
        <v>596</v>
      </c>
      <c r="AF611" s="350">
        <v>5057489.0191779248</v>
      </c>
      <c r="AG611" s="350">
        <v>10154695.372378785</v>
      </c>
      <c r="AH611" s="350">
        <v>15290477.65577852</v>
      </c>
      <c r="AI611" s="350">
        <v>20465006.157271873</v>
      </c>
      <c r="AJ611" s="350">
        <v>25679027.116636835</v>
      </c>
      <c r="AK611" s="348">
        <v>76646695.321243942</v>
      </c>
      <c r="AL611" s="369"/>
      <c r="AM611" s="350">
        <v>5947112.8047946775</v>
      </c>
      <c r="AN611" s="350">
        <v>12780414.555616438</v>
      </c>
      <c r="AO611" s="350">
        <v>19425863.711967736</v>
      </c>
      <c r="AP611" s="350">
        <v>25879415.770263717</v>
      </c>
      <c r="AQ611" s="350">
        <v>32138912.871402692</v>
      </c>
      <c r="AR611" s="348">
        <v>96171719.714045256</v>
      </c>
      <c r="AS611" s="369"/>
      <c r="AT611" s="350">
        <f t="shared" si="267"/>
        <v>889623.78561675269</v>
      </c>
      <c r="AU611" s="350">
        <f t="shared" si="250"/>
        <v>2625719.1832376532</v>
      </c>
      <c r="AV611" s="350">
        <f t="shared" si="251"/>
        <v>4135386.0561892167</v>
      </c>
      <c r="AW611" s="350">
        <f t="shared" si="252"/>
        <v>5414409.6129918434</v>
      </c>
      <c r="AX611" s="350">
        <f t="shared" si="253"/>
        <v>6459885.754765857</v>
      </c>
      <c r="AY611" s="350">
        <f t="shared" si="254"/>
        <v>19525024.392801315</v>
      </c>
      <c r="AZ611" s="365"/>
      <c r="BA611" s="377">
        <f t="shared" si="255"/>
        <v>0</v>
      </c>
      <c r="BB611" s="377">
        <f t="shared" si="256"/>
        <v>0</v>
      </c>
      <c r="BC611" s="377">
        <f t="shared" si="257"/>
        <v>0</v>
      </c>
      <c r="BD611" s="377">
        <f t="shared" si="258"/>
        <v>0</v>
      </c>
      <c r="BE611" s="377">
        <f t="shared" si="259"/>
        <v>0</v>
      </c>
      <c r="BF611" s="377">
        <f t="shared" si="260"/>
        <v>0</v>
      </c>
      <c r="BG611" s="328"/>
    </row>
    <row r="612" spans="2:59">
      <c r="B612" s="332">
        <v>597</v>
      </c>
      <c r="C612" s="350">
        <v>11007007.55297818</v>
      </c>
      <c r="D612" s="350">
        <v>20720088.692765862</v>
      </c>
      <c r="E612" s="350">
        <v>30506285.381107979</v>
      </c>
      <c r="F612" s="350">
        <v>40366279.758005828</v>
      </c>
      <c r="G612" s="350">
        <v>50301649.445707098</v>
      </c>
      <c r="H612" s="348">
        <v>152901310.83056495</v>
      </c>
      <c r="I612" s="369"/>
      <c r="J612" s="350">
        <v>12404150.698295107</v>
      </c>
      <c r="K612" s="350">
        <v>24839660.167573243</v>
      </c>
      <c r="L612" s="350">
        <v>36949283.359482251</v>
      </c>
      <c r="M612" s="350">
        <v>48724244.806494609</v>
      </c>
      <c r="N612" s="350">
        <v>60158714.115615666</v>
      </c>
      <c r="O612" s="348">
        <v>183076053.14746088</v>
      </c>
      <c r="P612" s="369"/>
      <c r="Q612" s="350">
        <f t="shared" si="261"/>
        <v>1397143.1453169268</v>
      </c>
      <c r="R612" s="350">
        <f t="shared" si="262"/>
        <v>4119571.4748073816</v>
      </c>
      <c r="S612" s="350">
        <f t="shared" si="263"/>
        <v>6442997.9783742726</v>
      </c>
      <c r="T612" s="350">
        <f t="shared" si="264"/>
        <v>8357965.0484887809</v>
      </c>
      <c r="U612" s="350">
        <f t="shared" si="265"/>
        <v>9857064.6699085683</v>
      </c>
      <c r="V612" s="350">
        <f t="shared" si="266"/>
        <v>30174742.316895932</v>
      </c>
      <c r="W612" s="365"/>
      <c r="X612" s="377">
        <f t="shared" si="244"/>
        <v>0</v>
      </c>
      <c r="Y612" s="377">
        <f t="shared" si="245"/>
        <v>0</v>
      </c>
      <c r="Z612" s="377">
        <f t="shared" si="246"/>
        <v>0</v>
      </c>
      <c r="AA612" s="377">
        <f t="shared" si="247"/>
        <v>0</v>
      </c>
      <c r="AB612" s="377">
        <f t="shared" si="248"/>
        <v>0</v>
      </c>
      <c r="AC612" s="377">
        <f t="shared" si="249"/>
        <v>0</v>
      </c>
      <c r="AD612" s="376"/>
      <c r="AE612" s="332">
        <v>597</v>
      </c>
      <c r="AF612" s="350">
        <v>7687544.3960761465</v>
      </c>
      <c r="AG612" s="350">
        <v>15435460.404910579</v>
      </c>
      <c r="AH612" s="350">
        <v>23242013.056335684</v>
      </c>
      <c r="AI612" s="350">
        <v>31107461.193375342</v>
      </c>
      <c r="AJ612" s="350">
        <v>39032939.124260709</v>
      </c>
      <c r="AK612" s="348">
        <v>116505418.17495845</v>
      </c>
      <c r="AL612" s="369"/>
      <c r="AM612" s="350">
        <v>8886820.9409143291</v>
      </c>
      <c r="AN612" s="350">
        <v>18972943.602517188</v>
      </c>
      <c r="AO612" s="350">
        <v>28768942.539603561</v>
      </c>
      <c r="AP612" s="350">
        <v>38268713.246305294</v>
      </c>
      <c r="AQ612" s="350">
        <v>47468820.775236934</v>
      </c>
      <c r="AR612" s="348">
        <v>142366241.1045773</v>
      </c>
      <c r="AS612" s="369"/>
      <c r="AT612" s="350">
        <f t="shared" si="267"/>
        <v>1199276.5448381826</v>
      </c>
      <c r="AU612" s="350">
        <f t="shared" si="250"/>
        <v>3537483.1976066083</v>
      </c>
      <c r="AV612" s="350">
        <f t="shared" si="251"/>
        <v>5526929.4832678773</v>
      </c>
      <c r="AW612" s="350">
        <f t="shared" si="252"/>
        <v>7161252.0529299527</v>
      </c>
      <c r="AX612" s="350">
        <f t="shared" si="253"/>
        <v>8435881.6509762257</v>
      </c>
      <c r="AY612" s="350">
        <f t="shared" si="254"/>
        <v>25860822.92961885</v>
      </c>
      <c r="AZ612" s="365"/>
      <c r="BA612" s="377">
        <f t="shared" si="255"/>
        <v>0</v>
      </c>
      <c r="BB612" s="377">
        <f t="shared" si="256"/>
        <v>0</v>
      </c>
      <c r="BC612" s="377">
        <f t="shared" si="257"/>
        <v>0</v>
      </c>
      <c r="BD612" s="377">
        <f t="shared" si="258"/>
        <v>0</v>
      </c>
      <c r="BE612" s="377">
        <f t="shared" si="259"/>
        <v>0</v>
      </c>
      <c r="BF612" s="377">
        <f t="shared" si="260"/>
        <v>0</v>
      </c>
      <c r="BG612" s="328"/>
    </row>
    <row r="613" spans="2:59">
      <c r="B613" s="332">
        <v>598</v>
      </c>
      <c r="C613" s="350">
        <v>8049250.5514304712</v>
      </c>
      <c r="D613" s="350">
        <v>15135558.332179114</v>
      </c>
      <c r="E613" s="350">
        <v>22275203.092704631</v>
      </c>
      <c r="F613" s="350">
        <v>29468687.443507161</v>
      </c>
      <c r="G613" s="350">
        <v>36717164.511990562</v>
      </c>
      <c r="H613" s="348">
        <v>111645863.93181194</v>
      </c>
      <c r="I613" s="369"/>
      <c r="J613" s="350">
        <v>9202719.5161642451</v>
      </c>
      <c r="K613" s="350">
        <v>18538947.833065681</v>
      </c>
      <c r="L613" s="350">
        <v>27643767.727914769</v>
      </c>
      <c r="M613" s="350">
        <v>36510658.713550985</v>
      </c>
      <c r="N613" s="350">
        <v>45135416.466011621</v>
      </c>
      <c r="O613" s="348">
        <v>137031510.25670731</v>
      </c>
      <c r="P613" s="369"/>
      <c r="Q613" s="350">
        <f t="shared" si="261"/>
        <v>1153468.9647337738</v>
      </c>
      <c r="R613" s="350">
        <f t="shared" si="262"/>
        <v>3403389.5008865669</v>
      </c>
      <c r="S613" s="350">
        <f t="shared" si="263"/>
        <v>5368564.6352101378</v>
      </c>
      <c r="T613" s="350">
        <f t="shared" si="264"/>
        <v>7041971.2700438239</v>
      </c>
      <c r="U613" s="350">
        <f t="shared" si="265"/>
        <v>8418251.954021059</v>
      </c>
      <c r="V613" s="350">
        <f t="shared" si="266"/>
        <v>25385646.324895367</v>
      </c>
      <c r="W613" s="365"/>
      <c r="X613" s="377">
        <f t="shared" si="244"/>
        <v>0</v>
      </c>
      <c r="Y613" s="377">
        <f t="shared" si="245"/>
        <v>0</v>
      </c>
      <c r="Z613" s="377">
        <f t="shared" si="246"/>
        <v>0</v>
      </c>
      <c r="AA613" s="377">
        <f t="shared" si="247"/>
        <v>0</v>
      </c>
      <c r="AB613" s="377">
        <f t="shared" si="248"/>
        <v>0</v>
      </c>
      <c r="AC613" s="377">
        <f t="shared" si="249"/>
        <v>0</v>
      </c>
      <c r="AD613" s="376"/>
      <c r="AE613" s="332">
        <v>598</v>
      </c>
      <c r="AF613" s="350">
        <v>4693373.1743996274</v>
      </c>
      <c r="AG613" s="350">
        <v>9423604.2182587944</v>
      </c>
      <c r="AH613" s="350">
        <v>14189633.903555712</v>
      </c>
      <c r="AI613" s="350">
        <v>18991620.258243401</v>
      </c>
      <c r="AJ613" s="350">
        <v>23830255.796283312</v>
      </c>
      <c r="AK613" s="348">
        <v>71128487.35074085</v>
      </c>
      <c r="AL613" s="369"/>
      <c r="AM613" s="350">
        <v>5475384.9764980748</v>
      </c>
      <c r="AN613" s="350">
        <v>11731088.148775715</v>
      </c>
      <c r="AO613" s="350">
        <v>17811158.514537148</v>
      </c>
      <c r="AP613" s="350">
        <v>23711855.077054266</v>
      </c>
      <c r="AQ613" s="350">
        <v>29431131.213822287</v>
      </c>
      <c r="AR613" s="348">
        <v>88160617.930687487</v>
      </c>
      <c r="AS613" s="369"/>
      <c r="AT613" s="350">
        <f t="shared" si="267"/>
        <v>782011.80209844746</v>
      </c>
      <c r="AU613" s="350">
        <f t="shared" si="250"/>
        <v>2307483.930516921</v>
      </c>
      <c r="AV613" s="350">
        <f t="shared" si="251"/>
        <v>3621524.6109814364</v>
      </c>
      <c r="AW613" s="350">
        <f t="shared" si="252"/>
        <v>4720234.8188108653</v>
      </c>
      <c r="AX613" s="350">
        <f t="shared" si="253"/>
        <v>5600875.4175389744</v>
      </c>
      <c r="AY613" s="350">
        <f t="shared" si="254"/>
        <v>17032130.579946637</v>
      </c>
      <c r="AZ613" s="365"/>
      <c r="BA613" s="377">
        <f t="shared" si="255"/>
        <v>0</v>
      </c>
      <c r="BB613" s="377">
        <f t="shared" si="256"/>
        <v>0</v>
      </c>
      <c r="BC613" s="377">
        <f t="shared" si="257"/>
        <v>0</v>
      </c>
      <c r="BD613" s="377">
        <f t="shared" si="258"/>
        <v>0</v>
      </c>
      <c r="BE613" s="377">
        <f t="shared" si="259"/>
        <v>0</v>
      </c>
      <c r="BF613" s="377">
        <f t="shared" si="260"/>
        <v>0</v>
      </c>
      <c r="BG613" s="328"/>
    </row>
    <row r="614" spans="2:59">
      <c r="B614" s="332">
        <v>599</v>
      </c>
      <c r="C614" s="350">
        <v>7585265.2806794699</v>
      </c>
      <c r="D614" s="350">
        <v>14242242.708826438</v>
      </c>
      <c r="E614" s="350">
        <v>20949318.84137173</v>
      </c>
      <c r="F614" s="350">
        <v>27706972.022756167</v>
      </c>
      <c r="G614" s="350">
        <v>34516288.208222978</v>
      </c>
      <c r="H614" s="348">
        <v>105000087.06185678</v>
      </c>
      <c r="I614" s="369"/>
      <c r="J614" s="350">
        <v>8806151.5241579134</v>
      </c>
      <c r="K614" s="350">
        <v>17846626.618110962</v>
      </c>
      <c r="L614" s="350">
        <v>26673430.699848548</v>
      </c>
      <c r="M614" s="350">
        <v>35280418.261140302</v>
      </c>
      <c r="N614" s="350">
        <v>43663794.576543368</v>
      </c>
      <c r="O614" s="348">
        <v>132270421.67980108</v>
      </c>
      <c r="P614" s="369"/>
      <c r="Q614" s="350">
        <f t="shared" si="261"/>
        <v>1220886.2434784435</v>
      </c>
      <c r="R614" s="350">
        <f t="shared" si="262"/>
        <v>3604383.9092845246</v>
      </c>
      <c r="S614" s="350">
        <f t="shared" si="263"/>
        <v>5724111.8584768176</v>
      </c>
      <c r="T614" s="350">
        <f t="shared" si="264"/>
        <v>7573446.2383841351</v>
      </c>
      <c r="U614" s="350">
        <f t="shared" si="265"/>
        <v>9147506.3683203906</v>
      </c>
      <c r="V614" s="350">
        <f t="shared" si="266"/>
        <v>27270334.6179443</v>
      </c>
      <c r="W614" s="365"/>
      <c r="X614" s="377">
        <f t="shared" si="244"/>
        <v>0</v>
      </c>
      <c r="Y614" s="377">
        <f t="shared" si="245"/>
        <v>0</v>
      </c>
      <c r="Z614" s="377">
        <f t="shared" si="246"/>
        <v>0</v>
      </c>
      <c r="AA614" s="377">
        <f t="shared" si="247"/>
        <v>0</v>
      </c>
      <c r="AB614" s="377">
        <f t="shared" si="248"/>
        <v>0</v>
      </c>
      <c r="AC614" s="377">
        <f t="shared" si="249"/>
        <v>0</v>
      </c>
      <c r="AD614" s="376"/>
      <c r="AE614" s="332">
        <v>599</v>
      </c>
      <c r="AF614" s="350">
        <v>9172802.8295403961</v>
      </c>
      <c r="AG614" s="350">
        <v>18417641.262623556</v>
      </c>
      <c r="AH614" s="350">
        <v>27732445.1272358</v>
      </c>
      <c r="AI614" s="350">
        <v>37117523.275710136</v>
      </c>
      <c r="AJ614" s="350">
        <v>46574229.16829554</v>
      </c>
      <c r="AK614" s="348">
        <v>139014641.66340542</v>
      </c>
      <c r="AL614" s="369"/>
      <c r="AM614" s="350">
        <v>10434086.550023314</v>
      </c>
      <c r="AN614" s="350">
        <v>22135306.388399921</v>
      </c>
      <c r="AO614" s="350">
        <v>33485267.18403846</v>
      </c>
      <c r="AP614" s="350">
        <v>44476733.01738596</v>
      </c>
      <c r="AQ614" s="350">
        <v>55105433.434907943</v>
      </c>
      <c r="AR614" s="348">
        <v>165636826.57475561</v>
      </c>
      <c r="AS614" s="369"/>
      <c r="AT614" s="350">
        <f t="shared" si="267"/>
        <v>1261283.7204829175</v>
      </c>
      <c r="AU614" s="350">
        <f t="shared" si="250"/>
        <v>3717665.1257763654</v>
      </c>
      <c r="AV614" s="350">
        <f t="shared" si="251"/>
        <v>5752822.0568026602</v>
      </c>
      <c r="AW614" s="350">
        <f t="shared" si="252"/>
        <v>7359209.7416758239</v>
      </c>
      <c r="AX614" s="350">
        <f t="shared" si="253"/>
        <v>8531204.2666124031</v>
      </c>
      <c r="AY614" s="350">
        <f t="shared" si="254"/>
        <v>26622184.911350191</v>
      </c>
      <c r="AZ614" s="365"/>
      <c r="BA614" s="377">
        <f t="shared" si="255"/>
        <v>0</v>
      </c>
      <c r="BB614" s="377">
        <f t="shared" si="256"/>
        <v>0</v>
      </c>
      <c r="BC614" s="377">
        <f t="shared" si="257"/>
        <v>0</v>
      </c>
      <c r="BD614" s="377">
        <f t="shared" si="258"/>
        <v>0</v>
      </c>
      <c r="BE614" s="377">
        <f t="shared" si="259"/>
        <v>0</v>
      </c>
      <c r="BF614" s="377">
        <f t="shared" si="260"/>
        <v>0</v>
      </c>
      <c r="BG614" s="328"/>
    </row>
    <row r="615" spans="2:59">
      <c r="B615" s="332">
        <v>600</v>
      </c>
      <c r="C615" s="350">
        <v>9460643.8804963436</v>
      </c>
      <c r="D615" s="350">
        <v>17926565.299346805</v>
      </c>
      <c r="E615" s="350">
        <v>26456252.4665142</v>
      </c>
      <c r="F615" s="350">
        <v>35050265.188447431</v>
      </c>
      <c r="G615" s="350">
        <v>43709963.402429193</v>
      </c>
      <c r="H615" s="348">
        <v>132603690.23723397</v>
      </c>
      <c r="I615" s="369"/>
      <c r="J615" s="350">
        <v>10771191.971530572</v>
      </c>
      <c r="K615" s="350">
        <v>21792390.179348625</v>
      </c>
      <c r="L615" s="350">
        <v>32527731.941323817</v>
      </c>
      <c r="M615" s="350">
        <v>42969686.531753346</v>
      </c>
      <c r="N615" s="350">
        <v>53113437.093203321</v>
      </c>
      <c r="O615" s="348">
        <v>161174437.71715969</v>
      </c>
      <c r="P615" s="369"/>
      <c r="Q615" s="350">
        <f t="shared" si="261"/>
        <v>1310548.091034228</v>
      </c>
      <c r="R615" s="350">
        <f t="shared" si="262"/>
        <v>3865824.8800018206</v>
      </c>
      <c r="S615" s="350">
        <f t="shared" si="263"/>
        <v>6071479.4748096168</v>
      </c>
      <c r="T615" s="350">
        <f t="shared" si="264"/>
        <v>7919421.3433059156</v>
      </c>
      <c r="U615" s="350">
        <f t="shared" si="265"/>
        <v>9403473.6907741278</v>
      </c>
      <c r="V615" s="350">
        <f t="shared" si="266"/>
        <v>28570747.479925722</v>
      </c>
      <c r="W615" s="365"/>
      <c r="X615" s="377">
        <f t="shared" si="244"/>
        <v>0</v>
      </c>
      <c r="Y615" s="377">
        <f t="shared" si="245"/>
        <v>0</v>
      </c>
      <c r="Z615" s="377">
        <f t="shared" si="246"/>
        <v>0</v>
      </c>
      <c r="AA615" s="377">
        <f t="shared" si="247"/>
        <v>0</v>
      </c>
      <c r="AB615" s="377">
        <f t="shared" si="248"/>
        <v>0</v>
      </c>
      <c r="AC615" s="377">
        <f t="shared" si="249"/>
        <v>0</v>
      </c>
      <c r="AD615" s="376"/>
      <c r="AE615" s="332">
        <v>600</v>
      </c>
      <c r="AF615" s="350">
        <v>6209389.0464745825</v>
      </c>
      <c r="AG615" s="350">
        <v>12467541.496666305</v>
      </c>
      <c r="AH615" s="350">
        <v>18773055.979187936</v>
      </c>
      <c r="AI615" s="350">
        <v>25126141.566918205</v>
      </c>
      <c r="AJ615" s="350">
        <v>31527714.464140683</v>
      </c>
      <c r="AK615" s="348">
        <v>94103842.553387716</v>
      </c>
      <c r="AL615" s="369"/>
      <c r="AM615" s="350">
        <v>7025407.9297315106</v>
      </c>
      <c r="AN615" s="350">
        <v>14872090.40387423</v>
      </c>
      <c r="AO615" s="350">
        <v>22479861.663924128</v>
      </c>
      <c r="AP615" s="350">
        <v>29843834.15226429</v>
      </c>
      <c r="AQ615" s="350">
        <v>36961078.780184262</v>
      </c>
      <c r="AR615" s="348">
        <v>111182272.92997843</v>
      </c>
      <c r="AS615" s="369"/>
      <c r="AT615" s="350">
        <f t="shared" si="267"/>
        <v>816018.88325692806</v>
      </c>
      <c r="AU615" s="350">
        <f t="shared" si="250"/>
        <v>2404548.9072079249</v>
      </c>
      <c r="AV615" s="350">
        <f t="shared" si="251"/>
        <v>3706805.6847361922</v>
      </c>
      <c r="AW615" s="350">
        <f t="shared" si="252"/>
        <v>4717692.5853460841</v>
      </c>
      <c r="AX615" s="350">
        <f t="shared" si="253"/>
        <v>5433364.3160435781</v>
      </c>
      <c r="AY615" s="350">
        <f t="shared" si="254"/>
        <v>17078430.376590714</v>
      </c>
      <c r="AZ615" s="365"/>
      <c r="BA615" s="377">
        <f t="shared" si="255"/>
        <v>0</v>
      </c>
      <c r="BB615" s="377">
        <f t="shared" si="256"/>
        <v>0</v>
      </c>
      <c r="BC615" s="377">
        <f t="shared" si="257"/>
        <v>0</v>
      </c>
      <c r="BD615" s="377">
        <f t="shared" si="258"/>
        <v>0</v>
      </c>
      <c r="BE615" s="377">
        <f t="shared" si="259"/>
        <v>0</v>
      </c>
      <c r="BF615" s="377">
        <f t="shared" si="260"/>
        <v>0</v>
      </c>
      <c r="BG615" s="328"/>
    </row>
    <row r="616" spans="2:59">
      <c r="B616" s="332">
        <v>601</v>
      </c>
      <c r="C616" s="350">
        <v>7053017.3092767773</v>
      </c>
      <c r="D616" s="350">
        <v>13405773.906625092</v>
      </c>
      <c r="E616" s="350">
        <v>19806393.055503927</v>
      </c>
      <c r="F616" s="350">
        <v>26255282.773495194</v>
      </c>
      <c r="G616" s="350">
        <v>32753458.300400212</v>
      </c>
      <c r="H616" s="348">
        <v>99273925.345301211</v>
      </c>
      <c r="I616" s="369"/>
      <c r="J616" s="350">
        <v>8132654.5200723298</v>
      </c>
      <c r="K616" s="350">
        <v>16592007.636797763</v>
      </c>
      <c r="L616" s="350">
        <v>24846278.768328313</v>
      </c>
      <c r="M616" s="350">
        <v>32889528.067416973</v>
      </c>
      <c r="N616" s="350">
        <v>40717973.678174391</v>
      </c>
      <c r="O616" s="348">
        <v>123178442.67078976</v>
      </c>
      <c r="P616" s="369"/>
      <c r="Q616" s="350">
        <f t="shared" si="261"/>
        <v>1079637.2107955525</v>
      </c>
      <c r="R616" s="350">
        <f t="shared" si="262"/>
        <v>3186233.7301726714</v>
      </c>
      <c r="S616" s="350">
        <f t="shared" si="263"/>
        <v>5039885.7128243856</v>
      </c>
      <c r="T616" s="350">
        <f t="shared" si="264"/>
        <v>6634245.2939217798</v>
      </c>
      <c r="U616" s="350">
        <f t="shared" si="265"/>
        <v>7964515.377774179</v>
      </c>
      <c r="V616" s="350">
        <f t="shared" si="266"/>
        <v>23904517.325488552</v>
      </c>
      <c r="W616" s="365"/>
      <c r="X616" s="377">
        <f t="shared" si="244"/>
        <v>0</v>
      </c>
      <c r="Y616" s="377">
        <f t="shared" si="245"/>
        <v>0</v>
      </c>
      <c r="Z616" s="377">
        <f t="shared" si="246"/>
        <v>0</v>
      </c>
      <c r="AA616" s="377">
        <f t="shared" si="247"/>
        <v>0</v>
      </c>
      <c r="AB616" s="377">
        <f t="shared" si="248"/>
        <v>0</v>
      </c>
      <c r="AC616" s="377">
        <f t="shared" si="249"/>
        <v>0</v>
      </c>
      <c r="AD616" s="376"/>
      <c r="AE616" s="332">
        <v>601</v>
      </c>
      <c r="AF616" s="350">
        <v>6644071.2889139857</v>
      </c>
      <c r="AG616" s="350">
        <v>13340319.616206765</v>
      </c>
      <c r="AH616" s="350">
        <v>20087245.508849785</v>
      </c>
      <c r="AI616" s="350">
        <v>26885072.675665349</v>
      </c>
      <c r="AJ616" s="350">
        <v>33734781.45892702</v>
      </c>
      <c r="AK616" s="348">
        <v>100691490.54856291</v>
      </c>
      <c r="AL616" s="369"/>
      <c r="AM616" s="350">
        <v>7574283.3537325915</v>
      </c>
      <c r="AN616" s="350">
        <v>16082445.260937084</v>
      </c>
      <c r="AO616" s="350">
        <v>24336680.428577222</v>
      </c>
      <c r="AP616" s="350">
        <v>32331743.009208232</v>
      </c>
      <c r="AQ616" s="350">
        <v>40064556.663198389</v>
      </c>
      <c r="AR616" s="348">
        <v>120389708.71565351</v>
      </c>
      <c r="AS616" s="369"/>
      <c r="AT616" s="350">
        <f t="shared" si="267"/>
        <v>930212.06481860578</v>
      </c>
      <c r="AU616" s="350">
        <f t="shared" si="250"/>
        <v>2742125.6447303183</v>
      </c>
      <c r="AV616" s="350">
        <f t="shared" si="251"/>
        <v>4249434.9197274372</v>
      </c>
      <c r="AW616" s="350">
        <f t="shared" si="252"/>
        <v>5446670.3335428834</v>
      </c>
      <c r="AX616" s="350">
        <f t="shared" si="253"/>
        <v>6329775.2042713687</v>
      </c>
      <c r="AY616" s="350">
        <f t="shared" si="254"/>
        <v>19698218.167090595</v>
      </c>
      <c r="AZ616" s="365"/>
      <c r="BA616" s="377">
        <f t="shared" si="255"/>
        <v>0</v>
      </c>
      <c r="BB616" s="377">
        <f t="shared" si="256"/>
        <v>0</v>
      </c>
      <c r="BC616" s="377">
        <f t="shared" si="257"/>
        <v>0</v>
      </c>
      <c r="BD616" s="377">
        <f t="shared" si="258"/>
        <v>0</v>
      </c>
      <c r="BE616" s="377">
        <f t="shared" si="259"/>
        <v>0</v>
      </c>
      <c r="BF616" s="377">
        <f t="shared" si="260"/>
        <v>0</v>
      </c>
      <c r="BG616" s="328"/>
    </row>
    <row r="617" spans="2:59">
      <c r="B617" s="332">
        <v>602</v>
      </c>
      <c r="C617" s="350">
        <v>8587744.8448084034</v>
      </c>
      <c r="D617" s="350">
        <v>16170015.189208198</v>
      </c>
      <c r="E617" s="350">
        <v>23809362.652237259</v>
      </c>
      <c r="F617" s="350">
        <v>31506318.528947987</v>
      </c>
      <c r="G617" s="350">
        <v>39262113.827900924</v>
      </c>
      <c r="H617" s="348">
        <v>119335555.04310277</v>
      </c>
      <c r="I617" s="369"/>
      <c r="J617" s="350">
        <v>9783326.6395316534</v>
      </c>
      <c r="K617" s="350">
        <v>19697075.89464023</v>
      </c>
      <c r="L617" s="350">
        <v>29363085.137039922</v>
      </c>
      <c r="M617" s="350">
        <v>38774340.519308828</v>
      </c>
      <c r="N617" s="350">
        <v>47926258.509689674</v>
      </c>
      <c r="O617" s="348">
        <v>145544086.70021033</v>
      </c>
      <c r="P617" s="369"/>
      <c r="Q617" s="350">
        <f t="shared" si="261"/>
        <v>1195581.79472325</v>
      </c>
      <c r="R617" s="350">
        <f t="shared" si="262"/>
        <v>3527060.7054320313</v>
      </c>
      <c r="S617" s="350">
        <f t="shared" si="263"/>
        <v>5553722.4848026633</v>
      </c>
      <c r="T617" s="350">
        <f t="shared" si="264"/>
        <v>7268021.9903608412</v>
      </c>
      <c r="U617" s="350">
        <f t="shared" si="265"/>
        <v>8664144.68178875</v>
      </c>
      <c r="V617" s="350">
        <f t="shared" si="266"/>
        <v>26208531.657107562</v>
      </c>
      <c r="W617" s="365"/>
      <c r="X617" s="377">
        <f t="shared" si="244"/>
        <v>0</v>
      </c>
      <c r="Y617" s="377">
        <f t="shared" si="245"/>
        <v>0</v>
      </c>
      <c r="Z617" s="377">
        <f t="shared" si="246"/>
        <v>0</v>
      </c>
      <c r="AA617" s="377">
        <f t="shared" si="247"/>
        <v>0</v>
      </c>
      <c r="AB617" s="377">
        <f t="shared" si="248"/>
        <v>0</v>
      </c>
      <c r="AC617" s="377">
        <f t="shared" si="249"/>
        <v>0</v>
      </c>
      <c r="AD617" s="376"/>
      <c r="AE617" s="332">
        <v>602</v>
      </c>
      <c r="AF617" s="350">
        <v>6509744.5077668112</v>
      </c>
      <c r="AG617" s="350">
        <v>13070611.16251971</v>
      </c>
      <c r="AH617" s="350">
        <v>19681130.806886997</v>
      </c>
      <c r="AI617" s="350">
        <v>26341522.62684878</v>
      </c>
      <c r="AJ617" s="350">
        <v>33052747.14456889</v>
      </c>
      <c r="AK617" s="348">
        <v>98655756.248591185</v>
      </c>
      <c r="AL617" s="369"/>
      <c r="AM617" s="350">
        <v>7884006.398299247</v>
      </c>
      <c r="AN617" s="350">
        <v>17129994.00987798</v>
      </c>
      <c r="AO617" s="350">
        <v>26141051.35200084</v>
      </c>
      <c r="AP617" s="350">
        <v>34911907.722390532</v>
      </c>
      <c r="AQ617" s="350">
        <v>43440017.742487364</v>
      </c>
      <c r="AR617" s="348">
        <v>129506977.22505596</v>
      </c>
      <c r="AS617" s="369"/>
      <c r="AT617" s="350">
        <f t="shared" si="267"/>
        <v>1374261.8905324358</v>
      </c>
      <c r="AU617" s="350">
        <f t="shared" si="250"/>
        <v>4059382.8473582696</v>
      </c>
      <c r="AV617" s="350">
        <f t="shared" si="251"/>
        <v>6459920.5451138429</v>
      </c>
      <c r="AW617" s="350">
        <f t="shared" si="252"/>
        <v>8570385.0955417529</v>
      </c>
      <c r="AX617" s="350">
        <f t="shared" si="253"/>
        <v>10387270.597918473</v>
      </c>
      <c r="AY617" s="350">
        <f t="shared" si="254"/>
        <v>30851220.976464778</v>
      </c>
      <c r="AZ617" s="365"/>
      <c r="BA617" s="377">
        <f t="shared" si="255"/>
        <v>0</v>
      </c>
      <c r="BB617" s="377">
        <f t="shared" si="256"/>
        <v>0</v>
      </c>
      <c r="BC617" s="377">
        <f t="shared" si="257"/>
        <v>0</v>
      </c>
      <c r="BD617" s="377">
        <f t="shared" si="258"/>
        <v>0</v>
      </c>
      <c r="BE617" s="377">
        <f t="shared" si="259"/>
        <v>0</v>
      </c>
      <c r="BF617" s="377">
        <f t="shared" si="260"/>
        <v>0</v>
      </c>
      <c r="BG617" s="328"/>
    </row>
    <row r="618" spans="2:59">
      <c r="B618" s="332">
        <v>603</v>
      </c>
      <c r="C618" s="350">
        <v>6008236.6928215325</v>
      </c>
      <c r="D618" s="350">
        <v>11082803.68246315</v>
      </c>
      <c r="E618" s="350">
        <v>16195495.606341999</v>
      </c>
      <c r="F618" s="350">
        <v>21346736.129208893</v>
      </c>
      <c r="G618" s="350">
        <v>26537378.749259282</v>
      </c>
      <c r="H618" s="348">
        <v>81170650.86009486</v>
      </c>
      <c r="I618" s="369"/>
      <c r="J618" s="350">
        <v>7138682.8809764348</v>
      </c>
      <c r="K618" s="350">
        <v>14422881.158785619</v>
      </c>
      <c r="L618" s="350">
        <v>21554789.162723824</v>
      </c>
      <c r="M618" s="350">
        <v>28529550.641725425</v>
      </c>
      <c r="N618" s="350">
        <v>35344319.776181214</v>
      </c>
      <c r="O618" s="348">
        <v>106990223.6203925</v>
      </c>
      <c r="P618" s="369"/>
      <c r="Q618" s="350">
        <f t="shared" si="261"/>
        <v>1130446.1881549023</v>
      </c>
      <c r="R618" s="350">
        <f t="shared" si="262"/>
        <v>3340077.4763224684</v>
      </c>
      <c r="S618" s="350">
        <f t="shared" si="263"/>
        <v>5359293.5563818254</v>
      </c>
      <c r="T618" s="350">
        <f t="shared" si="264"/>
        <v>7182814.5125165321</v>
      </c>
      <c r="U618" s="350">
        <f t="shared" si="265"/>
        <v>8806941.0269219317</v>
      </c>
      <c r="V618" s="350">
        <f t="shared" si="266"/>
        <v>25819572.760297641</v>
      </c>
      <c r="W618" s="365"/>
      <c r="X618" s="377">
        <f t="shared" si="244"/>
        <v>0</v>
      </c>
      <c r="Y618" s="377">
        <f t="shared" si="245"/>
        <v>0</v>
      </c>
      <c r="Z618" s="377">
        <f t="shared" si="246"/>
        <v>0</v>
      </c>
      <c r="AA618" s="377">
        <f t="shared" si="247"/>
        <v>0</v>
      </c>
      <c r="AB618" s="377">
        <f t="shared" si="248"/>
        <v>0</v>
      </c>
      <c r="AC618" s="377">
        <f t="shared" si="249"/>
        <v>0</v>
      </c>
      <c r="AD618" s="376"/>
      <c r="AE618" s="332">
        <v>603</v>
      </c>
      <c r="AF618" s="350">
        <v>5267632.1737073921</v>
      </c>
      <c r="AG618" s="350">
        <v>10576631.971893996</v>
      </c>
      <c r="AH618" s="350">
        <v>15925810.564394485</v>
      </c>
      <c r="AI618" s="350">
        <v>21315345.314716671</v>
      </c>
      <c r="AJ618" s="350">
        <v>26746013.469563201</v>
      </c>
      <c r="AK618" s="348">
        <v>79831433.494275749</v>
      </c>
      <c r="AL618" s="369"/>
      <c r="AM618" s="350">
        <v>6213476.6313349102</v>
      </c>
      <c r="AN618" s="350">
        <v>13368559.80095534</v>
      </c>
      <c r="AO618" s="350">
        <v>20328561.65789986</v>
      </c>
      <c r="AP618" s="350">
        <v>27089264.199557118</v>
      </c>
      <c r="AQ618" s="350">
        <v>33648439.407694429</v>
      </c>
      <c r="AR618" s="348">
        <v>100648301.69744167</v>
      </c>
      <c r="AS618" s="369"/>
      <c r="AT618" s="350">
        <f t="shared" si="267"/>
        <v>945844.4576275181</v>
      </c>
      <c r="AU618" s="350">
        <f t="shared" si="250"/>
        <v>2791927.8290613443</v>
      </c>
      <c r="AV618" s="350">
        <f t="shared" si="251"/>
        <v>4402751.0935053751</v>
      </c>
      <c r="AW618" s="350">
        <f t="shared" si="252"/>
        <v>5773918.8848404475</v>
      </c>
      <c r="AX618" s="350">
        <f t="shared" si="253"/>
        <v>6902425.9381312281</v>
      </c>
      <c r="AY618" s="350">
        <f t="shared" si="254"/>
        <v>20816868.203165919</v>
      </c>
      <c r="AZ618" s="365"/>
      <c r="BA618" s="377">
        <f t="shared" si="255"/>
        <v>0</v>
      </c>
      <c r="BB618" s="377">
        <f t="shared" si="256"/>
        <v>0</v>
      </c>
      <c r="BC618" s="377">
        <f t="shared" si="257"/>
        <v>0</v>
      </c>
      <c r="BD618" s="377">
        <f t="shared" si="258"/>
        <v>0</v>
      </c>
      <c r="BE618" s="377">
        <f t="shared" si="259"/>
        <v>0</v>
      </c>
      <c r="BF618" s="377">
        <f t="shared" si="260"/>
        <v>0</v>
      </c>
      <c r="BG618" s="328"/>
    </row>
    <row r="619" spans="2:59">
      <c r="B619" s="332">
        <v>604</v>
      </c>
      <c r="C619" s="350">
        <v>9212806.0938240848</v>
      </c>
      <c r="D619" s="350">
        <v>17659033.018921189</v>
      </c>
      <c r="E619" s="350">
        <v>26168942.246295519</v>
      </c>
      <c r="F619" s="350">
        <v>34743033.309614427</v>
      </c>
      <c r="G619" s="350">
        <v>43382637.324557669</v>
      </c>
      <c r="H619" s="348">
        <v>131166451.99321288</v>
      </c>
      <c r="I619" s="369"/>
      <c r="J619" s="350">
        <v>10409111.723962341</v>
      </c>
      <c r="K619" s="350">
        <v>21186087.093870908</v>
      </c>
      <c r="L619" s="350">
        <v>31672158.413738906</v>
      </c>
      <c r="M619" s="350">
        <v>41859872.739512868</v>
      </c>
      <c r="N619" s="350">
        <v>51744377.560725883</v>
      </c>
      <c r="O619" s="348">
        <v>156871607.53181088</v>
      </c>
      <c r="P619" s="369"/>
      <c r="Q619" s="350">
        <f t="shared" si="261"/>
        <v>1196305.6301382557</v>
      </c>
      <c r="R619" s="350">
        <f t="shared" si="262"/>
        <v>3527054.074949719</v>
      </c>
      <c r="S619" s="350">
        <f t="shared" si="263"/>
        <v>5503216.1674433872</v>
      </c>
      <c r="T619" s="350">
        <f t="shared" si="264"/>
        <v>7116839.4298984408</v>
      </c>
      <c r="U619" s="350">
        <f t="shared" si="265"/>
        <v>8361740.2361682132</v>
      </c>
      <c r="V619" s="350">
        <f t="shared" si="266"/>
        <v>25705155.538598001</v>
      </c>
      <c r="W619" s="365"/>
      <c r="X619" s="377">
        <f t="shared" si="244"/>
        <v>0</v>
      </c>
      <c r="Y619" s="377">
        <f t="shared" si="245"/>
        <v>0</v>
      </c>
      <c r="Z619" s="377">
        <f t="shared" si="246"/>
        <v>0</v>
      </c>
      <c r="AA619" s="377">
        <f t="shared" si="247"/>
        <v>0</v>
      </c>
      <c r="AB619" s="377">
        <f t="shared" si="248"/>
        <v>0</v>
      </c>
      <c r="AC619" s="377">
        <f t="shared" si="249"/>
        <v>0</v>
      </c>
      <c r="AD619" s="376"/>
      <c r="AE619" s="332">
        <v>604</v>
      </c>
      <c r="AF619" s="350">
        <v>6133192.3866334073</v>
      </c>
      <c r="AG619" s="350">
        <v>12314549.791465197</v>
      </c>
      <c r="AH619" s="350">
        <v>18542688.039617829</v>
      </c>
      <c r="AI619" s="350">
        <v>24817813.638394758</v>
      </c>
      <c r="AJ619" s="350">
        <v>31140831.549152814</v>
      </c>
      <c r="AK619" s="348">
        <v>92949075.405264005</v>
      </c>
      <c r="AL619" s="369"/>
      <c r="AM619" s="350">
        <v>7329900.1673167627</v>
      </c>
      <c r="AN619" s="350">
        <v>15848300.668942291</v>
      </c>
      <c r="AO619" s="350">
        <v>24142423.344929837</v>
      </c>
      <c r="AP619" s="350">
        <v>32207330.10872392</v>
      </c>
      <c r="AQ619" s="350">
        <v>40040523.505016789</v>
      </c>
      <c r="AR619" s="348">
        <v>119568477.79492959</v>
      </c>
      <c r="AS619" s="369"/>
      <c r="AT619" s="350">
        <f t="shared" si="267"/>
        <v>1196707.7806833554</v>
      </c>
      <c r="AU619" s="350">
        <f t="shared" si="250"/>
        <v>3533750.8774770945</v>
      </c>
      <c r="AV619" s="350">
        <f t="shared" si="251"/>
        <v>5599735.3053120077</v>
      </c>
      <c r="AW619" s="350">
        <f t="shared" si="252"/>
        <v>7389516.4703291617</v>
      </c>
      <c r="AX619" s="350">
        <f t="shared" si="253"/>
        <v>8899691.955863975</v>
      </c>
      <c r="AY619" s="350">
        <f t="shared" si="254"/>
        <v>26619402.389665589</v>
      </c>
      <c r="AZ619" s="365"/>
      <c r="BA619" s="377">
        <f t="shared" si="255"/>
        <v>0</v>
      </c>
      <c r="BB619" s="377">
        <f t="shared" si="256"/>
        <v>0</v>
      </c>
      <c r="BC619" s="377">
        <f t="shared" si="257"/>
        <v>0</v>
      </c>
      <c r="BD619" s="377">
        <f t="shared" si="258"/>
        <v>0</v>
      </c>
      <c r="BE619" s="377">
        <f t="shared" si="259"/>
        <v>0</v>
      </c>
      <c r="BF619" s="377">
        <f t="shared" si="260"/>
        <v>0</v>
      </c>
      <c r="BG619" s="328"/>
    </row>
    <row r="620" spans="2:59">
      <c r="B620" s="332">
        <v>605</v>
      </c>
      <c r="C620" s="350">
        <v>8784660.462116532</v>
      </c>
      <c r="D620" s="350">
        <v>16634870.425177891</v>
      </c>
      <c r="E620" s="350">
        <v>24544205.097615562</v>
      </c>
      <c r="F620" s="350">
        <v>32513186.724607646</v>
      </c>
      <c r="G620" s="350">
        <v>40543077.709238388</v>
      </c>
      <c r="H620" s="348">
        <v>123020000.41875601</v>
      </c>
      <c r="I620" s="369"/>
      <c r="J620" s="350">
        <v>9824215.6774701569</v>
      </c>
      <c r="K620" s="350">
        <v>19698528.33496787</v>
      </c>
      <c r="L620" s="350">
        <v>29305762.926390473</v>
      </c>
      <c r="M620" s="350">
        <v>38638859.705202207</v>
      </c>
      <c r="N620" s="350">
        <v>47693040.986864142</v>
      </c>
      <c r="O620" s="348">
        <v>145160407.63089484</v>
      </c>
      <c r="P620" s="369"/>
      <c r="Q620" s="350">
        <f t="shared" si="261"/>
        <v>1039555.2153536249</v>
      </c>
      <c r="R620" s="350">
        <f t="shared" si="262"/>
        <v>3063657.9097899795</v>
      </c>
      <c r="S620" s="350">
        <f t="shared" si="263"/>
        <v>4761557.8287749104</v>
      </c>
      <c r="T620" s="350">
        <f t="shared" si="264"/>
        <v>6125672.9805945605</v>
      </c>
      <c r="U620" s="350">
        <f t="shared" si="265"/>
        <v>7149963.2776257545</v>
      </c>
      <c r="V620" s="350">
        <f t="shared" si="266"/>
        <v>22140407.212138832</v>
      </c>
      <c r="W620" s="365"/>
      <c r="X620" s="377">
        <f t="shared" si="244"/>
        <v>0</v>
      </c>
      <c r="Y620" s="377">
        <f t="shared" si="245"/>
        <v>0</v>
      </c>
      <c r="Z620" s="377">
        <f t="shared" si="246"/>
        <v>0</v>
      </c>
      <c r="AA620" s="377">
        <f t="shared" si="247"/>
        <v>0</v>
      </c>
      <c r="AB620" s="377">
        <f t="shared" si="248"/>
        <v>0</v>
      </c>
      <c r="AC620" s="377">
        <f t="shared" si="249"/>
        <v>0</v>
      </c>
      <c r="AD620" s="376"/>
      <c r="AE620" s="332">
        <v>605</v>
      </c>
      <c r="AF620" s="350">
        <v>5876397.6753681004</v>
      </c>
      <c r="AG620" s="350">
        <v>11798943.715752743</v>
      </c>
      <c r="AH620" s="350">
        <v>17766311.901214961</v>
      </c>
      <c r="AI620" s="350">
        <v>23778700.092666566</v>
      </c>
      <c r="AJ620" s="350">
        <v>29836975.361035448</v>
      </c>
      <c r="AK620" s="348">
        <v>89057328.746037826</v>
      </c>
      <c r="AL620" s="369"/>
      <c r="AM620" s="350">
        <v>7106336.622663348</v>
      </c>
      <c r="AN620" s="350">
        <v>15431890.461685088</v>
      </c>
      <c r="AO620" s="350">
        <v>23545052.879575629</v>
      </c>
      <c r="AP620" s="350">
        <v>31441068.975037418</v>
      </c>
      <c r="AQ620" s="350">
        <v>39117630.261143699</v>
      </c>
      <c r="AR620" s="348">
        <v>116641979.20010518</v>
      </c>
      <c r="AS620" s="369"/>
      <c r="AT620" s="350">
        <f t="shared" si="267"/>
        <v>1229938.9472952476</v>
      </c>
      <c r="AU620" s="350">
        <f t="shared" si="250"/>
        <v>3632946.7459323443</v>
      </c>
      <c r="AV620" s="350">
        <f t="shared" si="251"/>
        <v>5778740.9783606678</v>
      </c>
      <c r="AW620" s="350">
        <f t="shared" si="252"/>
        <v>7662368.8823708519</v>
      </c>
      <c r="AX620" s="350">
        <f t="shared" si="253"/>
        <v>9280654.9001082517</v>
      </c>
      <c r="AY620" s="350">
        <f t="shared" si="254"/>
        <v>27584650.454067349</v>
      </c>
      <c r="AZ620" s="365"/>
      <c r="BA620" s="377">
        <f t="shared" si="255"/>
        <v>0</v>
      </c>
      <c r="BB620" s="377">
        <f t="shared" si="256"/>
        <v>0</v>
      </c>
      <c r="BC620" s="377">
        <f t="shared" si="257"/>
        <v>0</v>
      </c>
      <c r="BD620" s="377">
        <f t="shared" si="258"/>
        <v>0</v>
      </c>
      <c r="BE620" s="377">
        <f t="shared" si="259"/>
        <v>0</v>
      </c>
      <c r="BF620" s="377">
        <f t="shared" si="260"/>
        <v>0</v>
      </c>
      <c r="BG620" s="328"/>
    </row>
    <row r="621" spans="2:59">
      <c r="B621" s="332">
        <v>606</v>
      </c>
      <c r="C621" s="350">
        <v>7757463.1320139747</v>
      </c>
      <c r="D621" s="350">
        <v>14748982.108622303</v>
      </c>
      <c r="E621" s="350">
        <v>21793177.519676559</v>
      </c>
      <c r="F621" s="350">
        <v>28890497.174111336</v>
      </c>
      <c r="G621" s="350">
        <v>36042057.855862126</v>
      </c>
      <c r="H621" s="348">
        <v>109232177.7902863</v>
      </c>
      <c r="I621" s="369"/>
      <c r="J621" s="350">
        <v>9035474.7251856625</v>
      </c>
      <c r="K621" s="350">
        <v>18521935.576800372</v>
      </c>
      <c r="L621" s="350">
        <v>27784261.115173768</v>
      </c>
      <c r="M621" s="350">
        <v>36815908.518583193</v>
      </c>
      <c r="N621" s="350">
        <v>45612828.34459357</v>
      </c>
      <c r="O621" s="348">
        <v>137770408.28033656</v>
      </c>
      <c r="P621" s="369"/>
      <c r="Q621" s="350">
        <f t="shared" si="261"/>
        <v>1278011.5931716878</v>
      </c>
      <c r="R621" s="350">
        <f t="shared" si="262"/>
        <v>3772953.4681780692</v>
      </c>
      <c r="S621" s="350">
        <f t="shared" si="263"/>
        <v>5991083.5954972096</v>
      </c>
      <c r="T621" s="350">
        <f t="shared" si="264"/>
        <v>7925411.344471857</v>
      </c>
      <c r="U621" s="350">
        <f t="shared" si="265"/>
        <v>9570770.4887314439</v>
      </c>
      <c r="V621" s="350">
        <f t="shared" si="266"/>
        <v>28538230.490050256</v>
      </c>
      <c r="W621" s="365"/>
      <c r="X621" s="377">
        <f t="shared" si="244"/>
        <v>0</v>
      </c>
      <c r="Y621" s="377">
        <f t="shared" si="245"/>
        <v>0</v>
      </c>
      <c r="Z621" s="377">
        <f t="shared" si="246"/>
        <v>0</v>
      </c>
      <c r="AA621" s="377">
        <f t="shared" si="247"/>
        <v>0</v>
      </c>
      <c r="AB621" s="377">
        <f t="shared" si="248"/>
        <v>0</v>
      </c>
      <c r="AC621" s="377">
        <f t="shared" si="249"/>
        <v>0</v>
      </c>
      <c r="AD621" s="376"/>
      <c r="AE621" s="332">
        <v>606</v>
      </c>
      <c r="AF621" s="350">
        <v>4876381.5983891226</v>
      </c>
      <c r="AG621" s="350">
        <v>9791058.2629725747</v>
      </c>
      <c r="AH621" s="350">
        <v>14742929.463312648</v>
      </c>
      <c r="AI621" s="350">
        <v>19732159.389337037</v>
      </c>
      <c r="AJ621" s="350">
        <v>24759467.558163337</v>
      </c>
      <c r="AK621" s="348">
        <v>73901996.272174716</v>
      </c>
      <c r="AL621" s="369"/>
      <c r="AM621" s="350">
        <v>5828449.822264621</v>
      </c>
      <c r="AN621" s="350">
        <v>12602422.081524482</v>
      </c>
      <c r="AO621" s="350">
        <v>19198093.064870559</v>
      </c>
      <c r="AP621" s="350">
        <v>25611536.429379962</v>
      </c>
      <c r="AQ621" s="350">
        <v>31840767.093805566</v>
      </c>
      <c r="AR621" s="348">
        <v>95081268.491845191</v>
      </c>
      <c r="AS621" s="369"/>
      <c r="AT621" s="350">
        <f t="shared" si="267"/>
        <v>952068.2238754984</v>
      </c>
      <c r="AU621" s="350">
        <f t="shared" si="250"/>
        <v>2811363.8185519073</v>
      </c>
      <c r="AV621" s="350">
        <f t="shared" si="251"/>
        <v>4455163.6015579104</v>
      </c>
      <c r="AW621" s="350">
        <f t="shared" si="252"/>
        <v>5879377.0400429256</v>
      </c>
      <c r="AX621" s="350">
        <f t="shared" si="253"/>
        <v>7081299.535642229</v>
      </c>
      <c r="AY621" s="350">
        <f t="shared" si="254"/>
        <v>21179272.219670475</v>
      </c>
      <c r="AZ621" s="365"/>
      <c r="BA621" s="377">
        <f t="shared" si="255"/>
        <v>0</v>
      </c>
      <c r="BB621" s="377">
        <f t="shared" si="256"/>
        <v>0</v>
      </c>
      <c r="BC621" s="377">
        <f t="shared" si="257"/>
        <v>0</v>
      </c>
      <c r="BD621" s="377">
        <f t="shared" si="258"/>
        <v>0</v>
      </c>
      <c r="BE621" s="377">
        <f t="shared" si="259"/>
        <v>0</v>
      </c>
      <c r="BF621" s="377">
        <f t="shared" si="260"/>
        <v>0</v>
      </c>
      <c r="BG621" s="328"/>
    </row>
    <row r="622" spans="2:59">
      <c r="B622" s="332">
        <v>607</v>
      </c>
      <c r="C622" s="350">
        <v>10303227.969427485</v>
      </c>
      <c r="D622" s="350">
        <v>19494615.407297067</v>
      </c>
      <c r="E622" s="350">
        <v>28755223.679881744</v>
      </c>
      <c r="F622" s="350">
        <v>38085668.889057629</v>
      </c>
      <c r="G622" s="350">
        <v>47487431.130388275</v>
      </c>
      <c r="H622" s="348">
        <v>144126167.07605219</v>
      </c>
      <c r="I622" s="369"/>
      <c r="J622" s="350">
        <v>11320287.93773647</v>
      </c>
      <c r="K622" s="350">
        <v>22488235.08998182</v>
      </c>
      <c r="L622" s="350">
        <v>33328952.265245661</v>
      </c>
      <c r="M622" s="350">
        <v>43834559.500250846</v>
      </c>
      <c r="N622" s="350">
        <v>53999599.865050465</v>
      </c>
      <c r="O622" s="348">
        <v>164971634.65826526</v>
      </c>
      <c r="P622" s="369"/>
      <c r="Q622" s="350">
        <f t="shared" si="261"/>
        <v>1017059.9683089852</v>
      </c>
      <c r="R622" s="350">
        <f t="shared" si="262"/>
        <v>2993619.6826847531</v>
      </c>
      <c r="S622" s="350">
        <f t="shared" si="263"/>
        <v>4573728.5853639171</v>
      </c>
      <c r="T622" s="350">
        <f t="shared" si="264"/>
        <v>5748890.6111932173</v>
      </c>
      <c r="U622" s="350">
        <f t="shared" si="265"/>
        <v>6512168.7346621901</v>
      </c>
      <c r="V622" s="350">
        <f t="shared" si="266"/>
        <v>20845467.582213074</v>
      </c>
      <c r="W622" s="365"/>
      <c r="X622" s="377">
        <f t="shared" si="244"/>
        <v>0</v>
      </c>
      <c r="Y622" s="377">
        <f t="shared" si="245"/>
        <v>0</v>
      </c>
      <c r="Z622" s="377">
        <f t="shared" si="246"/>
        <v>0</v>
      </c>
      <c r="AA622" s="377">
        <f t="shared" si="247"/>
        <v>0</v>
      </c>
      <c r="AB622" s="377">
        <f t="shared" si="248"/>
        <v>0</v>
      </c>
      <c r="AC622" s="377">
        <f t="shared" si="249"/>
        <v>0</v>
      </c>
      <c r="AD622" s="376"/>
      <c r="AE622" s="332">
        <v>607</v>
      </c>
      <c r="AF622" s="350">
        <v>6395423.5540833352</v>
      </c>
      <c r="AG622" s="350">
        <v>12841071.472975466</v>
      </c>
      <c r="AH622" s="350">
        <v>19335500.39992892</v>
      </c>
      <c r="AI622" s="350">
        <v>25878925.671686672</v>
      </c>
      <c r="AJ622" s="350">
        <v>32472290.942191422</v>
      </c>
      <c r="AK622" s="348">
        <v>96923212.040865809</v>
      </c>
      <c r="AL622" s="369"/>
      <c r="AM622" s="350">
        <v>7728454.1822126508</v>
      </c>
      <c r="AN622" s="350">
        <v>16778460.306191131</v>
      </c>
      <c r="AO622" s="350">
        <v>25597149.826442733</v>
      </c>
      <c r="AP622" s="350">
        <v>34179349.437896512</v>
      </c>
      <c r="AQ622" s="350">
        <v>42522541.147286832</v>
      </c>
      <c r="AR622" s="348">
        <v>126805954.90002987</v>
      </c>
      <c r="AS622" s="369"/>
      <c r="AT622" s="350">
        <f t="shared" si="267"/>
        <v>1333030.6281293156</v>
      </c>
      <c r="AU622" s="350">
        <f t="shared" si="250"/>
        <v>3937388.8332156651</v>
      </c>
      <c r="AV622" s="350">
        <f t="shared" si="251"/>
        <v>6261649.4265138134</v>
      </c>
      <c r="AW622" s="350">
        <f t="shared" si="252"/>
        <v>8300423.7662098408</v>
      </c>
      <c r="AX622" s="350">
        <f t="shared" si="253"/>
        <v>10050250.20509541</v>
      </c>
      <c r="AY622" s="350">
        <f t="shared" si="254"/>
        <v>29882742.859164059</v>
      </c>
      <c r="AZ622" s="365"/>
      <c r="BA622" s="377">
        <f t="shared" si="255"/>
        <v>0</v>
      </c>
      <c r="BB622" s="377">
        <f t="shared" si="256"/>
        <v>0</v>
      </c>
      <c r="BC622" s="377">
        <f t="shared" si="257"/>
        <v>0</v>
      </c>
      <c r="BD622" s="377">
        <f t="shared" si="258"/>
        <v>0</v>
      </c>
      <c r="BE622" s="377">
        <f t="shared" si="259"/>
        <v>0</v>
      </c>
      <c r="BF622" s="377">
        <f t="shared" si="260"/>
        <v>0</v>
      </c>
      <c r="BG622" s="328"/>
    </row>
    <row r="623" spans="2:59">
      <c r="B623" s="332">
        <v>608</v>
      </c>
      <c r="C623" s="350">
        <v>7780323.6215499565</v>
      </c>
      <c r="D623" s="350">
        <v>14731313.740773223</v>
      </c>
      <c r="E623" s="350">
        <v>21734655.44518248</v>
      </c>
      <c r="F623" s="350">
        <v>28790811.660032019</v>
      </c>
      <c r="G623" s="350">
        <v>35900900.401963286</v>
      </c>
      <c r="H623" s="348">
        <v>108938004.86950096</v>
      </c>
      <c r="I623" s="369"/>
      <c r="J623" s="350">
        <v>8906208.0213713925</v>
      </c>
      <c r="K623" s="350">
        <v>18053237.803699672</v>
      </c>
      <c r="L623" s="350">
        <v>26980504.915621102</v>
      </c>
      <c r="M623" s="350">
        <v>35681299.061999023</v>
      </c>
      <c r="N623" s="350">
        <v>44151180.398869306</v>
      </c>
      <c r="O623" s="348">
        <v>133772430.2015605</v>
      </c>
      <c r="P623" s="369"/>
      <c r="Q623" s="350">
        <f t="shared" si="261"/>
        <v>1125884.399821436</v>
      </c>
      <c r="R623" s="350">
        <f t="shared" si="262"/>
        <v>3321924.0629264489</v>
      </c>
      <c r="S623" s="350">
        <f t="shared" si="263"/>
        <v>5245849.4704386219</v>
      </c>
      <c r="T623" s="350">
        <f t="shared" si="264"/>
        <v>6890487.4019670039</v>
      </c>
      <c r="U623" s="350">
        <f t="shared" si="265"/>
        <v>8250279.9969060197</v>
      </c>
      <c r="V623" s="350">
        <f t="shared" si="266"/>
        <v>24834425.332059532</v>
      </c>
      <c r="W623" s="365"/>
      <c r="X623" s="377">
        <f t="shared" si="244"/>
        <v>0</v>
      </c>
      <c r="Y623" s="377">
        <f t="shared" si="245"/>
        <v>0</v>
      </c>
      <c r="Z623" s="377">
        <f t="shared" si="246"/>
        <v>0</v>
      </c>
      <c r="AA623" s="377">
        <f t="shared" si="247"/>
        <v>0</v>
      </c>
      <c r="AB623" s="377">
        <f t="shared" si="248"/>
        <v>0</v>
      </c>
      <c r="AC623" s="377">
        <f t="shared" si="249"/>
        <v>0</v>
      </c>
      <c r="AD623" s="376"/>
      <c r="AE623" s="332">
        <v>608</v>
      </c>
      <c r="AF623" s="350">
        <v>5373058.0309488</v>
      </c>
      <c r="AG623" s="350">
        <v>10788311.613826744</v>
      </c>
      <c r="AH623" s="350">
        <v>16244548.125341889</v>
      </c>
      <c r="AI623" s="350">
        <v>21741948.478737339</v>
      </c>
      <c r="AJ623" s="350">
        <v>27281305.476452593</v>
      </c>
      <c r="AK623" s="348">
        <v>81429171.72530736</v>
      </c>
      <c r="AL623" s="369"/>
      <c r="AM623" s="350">
        <v>6408236.8360093357</v>
      </c>
      <c r="AN623" s="350">
        <v>13844915.319265485</v>
      </c>
      <c r="AO623" s="350">
        <v>21084716.783550687</v>
      </c>
      <c r="AP623" s="350">
        <v>28123318.894625165</v>
      </c>
      <c r="AQ623" s="350">
        <v>34958520.345987916</v>
      </c>
      <c r="AR623" s="348">
        <v>104419708.17943859</v>
      </c>
      <c r="AS623" s="369"/>
      <c r="AT623" s="350">
        <f t="shared" si="267"/>
        <v>1035178.8050605357</v>
      </c>
      <c r="AU623" s="350">
        <f t="shared" si="250"/>
        <v>3056603.7054387406</v>
      </c>
      <c r="AV623" s="350">
        <f t="shared" si="251"/>
        <v>4840168.6582087986</v>
      </c>
      <c r="AW623" s="350">
        <f t="shared" si="252"/>
        <v>6381370.4158878252</v>
      </c>
      <c r="AX623" s="350">
        <f t="shared" si="253"/>
        <v>7677214.8695353232</v>
      </c>
      <c r="AY623" s="350">
        <f t="shared" si="254"/>
        <v>22990536.454131231</v>
      </c>
      <c r="AZ623" s="365"/>
      <c r="BA623" s="377">
        <f t="shared" si="255"/>
        <v>0</v>
      </c>
      <c r="BB623" s="377">
        <f t="shared" si="256"/>
        <v>0</v>
      </c>
      <c r="BC623" s="377">
        <f t="shared" si="257"/>
        <v>0</v>
      </c>
      <c r="BD623" s="377">
        <f t="shared" si="258"/>
        <v>0</v>
      </c>
      <c r="BE623" s="377">
        <f t="shared" si="259"/>
        <v>0</v>
      </c>
      <c r="BF623" s="377">
        <f t="shared" si="260"/>
        <v>0</v>
      </c>
      <c r="BG623" s="328"/>
    </row>
    <row r="624" spans="2:59">
      <c r="B624" s="332">
        <v>609</v>
      </c>
      <c r="C624" s="350">
        <v>6956684.4594784994</v>
      </c>
      <c r="D624" s="350">
        <v>13039989.880070012</v>
      </c>
      <c r="E624" s="350">
        <v>19169069.487636194</v>
      </c>
      <c r="F624" s="350">
        <v>25344366.955814436</v>
      </c>
      <c r="G624" s="350">
        <v>31566877.506857127</v>
      </c>
      <c r="H624" s="348">
        <v>96076988.28985627</v>
      </c>
      <c r="I624" s="369"/>
      <c r="J624" s="350">
        <v>7918991.9452558924</v>
      </c>
      <c r="K624" s="350">
        <v>15878926.970641021</v>
      </c>
      <c r="L624" s="350">
        <v>23646144.501746282</v>
      </c>
      <c r="M624" s="350">
        <v>31214801.325256795</v>
      </c>
      <c r="N624" s="350">
        <v>38580989.083264142</v>
      </c>
      <c r="O624" s="348">
        <v>117239853.82616413</v>
      </c>
      <c r="P624" s="369"/>
      <c r="Q624" s="350">
        <f t="shared" si="261"/>
        <v>962307.48577739298</v>
      </c>
      <c r="R624" s="350">
        <f t="shared" si="262"/>
        <v>2838937.0905710086</v>
      </c>
      <c r="S624" s="350">
        <f t="shared" si="263"/>
        <v>4477075.0141100883</v>
      </c>
      <c r="T624" s="350">
        <f t="shared" si="264"/>
        <v>5870434.3694423586</v>
      </c>
      <c r="U624" s="350">
        <f t="shared" si="265"/>
        <v>7014111.5764070153</v>
      </c>
      <c r="V624" s="350">
        <f t="shared" si="266"/>
        <v>21162865.536307856</v>
      </c>
      <c r="W624" s="365"/>
      <c r="X624" s="377">
        <f t="shared" si="244"/>
        <v>0</v>
      </c>
      <c r="Y624" s="377">
        <f t="shared" si="245"/>
        <v>0</v>
      </c>
      <c r="Z624" s="377">
        <f t="shared" si="246"/>
        <v>0</v>
      </c>
      <c r="AA624" s="377">
        <f t="shared" si="247"/>
        <v>0</v>
      </c>
      <c r="AB624" s="377">
        <f t="shared" si="248"/>
        <v>0</v>
      </c>
      <c r="AC624" s="377">
        <f t="shared" si="249"/>
        <v>0</v>
      </c>
      <c r="AD624" s="376"/>
      <c r="AE624" s="332">
        <v>609</v>
      </c>
      <c r="AF624" s="350">
        <v>6888452.8109652065</v>
      </c>
      <c r="AG624" s="350">
        <v>13831001.830574043</v>
      </c>
      <c r="AH624" s="350">
        <v>20826092.432340823</v>
      </c>
      <c r="AI624" s="350">
        <v>27873956.55352192</v>
      </c>
      <c r="AJ624" s="350">
        <v>34975610.595235921</v>
      </c>
      <c r="AK624" s="348">
        <v>104395114.22263792</v>
      </c>
      <c r="AL624" s="369"/>
      <c r="AM624" s="350">
        <v>8307074.7780929357</v>
      </c>
      <c r="AN624" s="350">
        <v>18020996.867803603</v>
      </c>
      <c r="AO624" s="350">
        <v>27485255.593418598</v>
      </c>
      <c r="AP624" s="350">
        <v>36694283.692114353</v>
      </c>
      <c r="AQ624" s="350">
        <v>45645351.663659848</v>
      </c>
      <c r="AR624" s="348">
        <v>136152962.59508935</v>
      </c>
      <c r="AS624" s="369"/>
      <c r="AT624" s="350">
        <f t="shared" si="267"/>
        <v>1418621.9671277292</v>
      </c>
      <c r="AU624" s="350">
        <f t="shared" si="250"/>
        <v>4189995.0372295603</v>
      </c>
      <c r="AV624" s="350">
        <f t="shared" si="251"/>
        <v>6659163.1610777751</v>
      </c>
      <c r="AW624" s="350">
        <f t="shared" si="252"/>
        <v>8820327.1385924332</v>
      </c>
      <c r="AX624" s="350">
        <f t="shared" si="253"/>
        <v>10669741.068423927</v>
      </c>
      <c r="AY624" s="350">
        <f t="shared" si="254"/>
        <v>31757848.372451425</v>
      </c>
      <c r="AZ624" s="365"/>
      <c r="BA624" s="377">
        <f t="shared" si="255"/>
        <v>0</v>
      </c>
      <c r="BB624" s="377">
        <f t="shared" si="256"/>
        <v>0</v>
      </c>
      <c r="BC624" s="377">
        <f t="shared" si="257"/>
        <v>0</v>
      </c>
      <c r="BD624" s="377">
        <f t="shared" si="258"/>
        <v>0</v>
      </c>
      <c r="BE624" s="377">
        <f t="shared" si="259"/>
        <v>0</v>
      </c>
      <c r="BF624" s="377">
        <f t="shared" si="260"/>
        <v>0</v>
      </c>
      <c r="BG624" s="328"/>
    </row>
    <row r="625" spans="2:59">
      <c r="B625" s="332">
        <v>610</v>
      </c>
      <c r="C625" s="350">
        <v>7906529.2616208671</v>
      </c>
      <c r="D625" s="350">
        <v>14955334.964250945</v>
      </c>
      <c r="E625" s="350">
        <v>22057224.148498662</v>
      </c>
      <c r="F625" s="350">
        <v>29212670.619933382</v>
      </c>
      <c r="G625" s="350">
        <v>36422810.027743205</v>
      </c>
      <c r="H625" s="348">
        <v>110554569.02204706</v>
      </c>
      <c r="I625" s="369"/>
      <c r="J625" s="350">
        <v>9025202.3731285483</v>
      </c>
      <c r="K625" s="350">
        <v>18255630.417300992</v>
      </c>
      <c r="L625" s="350">
        <v>27258388.580209151</v>
      </c>
      <c r="M625" s="350">
        <v>36026846.210460857</v>
      </c>
      <c r="N625" s="350">
        <v>44556649.088737503</v>
      </c>
      <c r="O625" s="348">
        <v>135122716.66983706</v>
      </c>
      <c r="P625" s="369"/>
      <c r="Q625" s="350">
        <f t="shared" si="261"/>
        <v>1118673.1115076812</v>
      </c>
      <c r="R625" s="350">
        <f t="shared" si="262"/>
        <v>3300295.4530500472</v>
      </c>
      <c r="S625" s="350">
        <f t="shared" si="263"/>
        <v>5201164.4317104891</v>
      </c>
      <c r="T625" s="350">
        <f t="shared" si="264"/>
        <v>6814175.5905274749</v>
      </c>
      <c r="U625" s="350">
        <f t="shared" si="265"/>
        <v>8133839.0609942973</v>
      </c>
      <c r="V625" s="350">
        <f t="shared" si="266"/>
        <v>24568147.64779</v>
      </c>
      <c r="W625" s="365"/>
      <c r="X625" s="377">
        <f t="shared" si="244"/>
        <v>0</v>
      </c>
      <c r="Y625" s="377">
        <f t="shared" si="245"/>
        <v>0</v>
      </c>
      <c r="Z625" s="377">
        <f t="shared" si="246"/>
        <v>0</v>
      </c>
      <c r="AA625" s="377">
        <f t="shared" si="247"/>
        <v>0</v>
      </c>
      <c r="AB625" s="377">
        <f t="shared" si="248"/>
        <v>0</v>
      </c>
      <c r="AC625" s="377">
        <f t="shared" si="249"/>
        <v>0</v>
      </c>
      <c r="AD625" s="376"/>
      <c r="AE625" s="332">
        <v>610</v>
      </c>
      <c r="AF625" s="350">
        <v>7180024.3684259839</v>
      </c>
      <c r="AG625" s="350">
        <v>14416434.707251947</v>
      </c>
      <c r="AH625" s="350">
        <v>21707610.586410739</v>
      </c>
      <c r="AI625" s="350">
        <v>29053793.760502174</v>
      </c>
      <c r="AJ625" s="350">
        <v>36456043.652447462</v>
      </c>
      <c r="AK625" s="348">
        <v>108813907.07503831</v>
      </c>
      <c r="AL625" s="369"/>
      <c r="AM625" s="350">
        <v>8753327.9753467888</v>
      </c>
      <c r="AN625" s="350">
        <v>19064441.136197887</v>
      </c>
      <c r="AO625" s="350">
        <v>29118157.628343567</v>
      </c>
      <c r="AP625" s="350">
        <v>38908647.773949496</v>
      </c>
      <c r="AQ625" s="350">
        <v>48433162.382505059</v>
      </c>
      <c r="AR625" s="348">
        <v>144277736.89634281</v>
      </c>
      <c r="AS625" s="369"/>
      <c r="AT625" s="350">
        <f t="shared" si="267"/>
        <v>1573303.6069208048</v>
      </c>
      <c r="AU625" s="350">
        <f t="shared" si="250"/>
        <v>4648006.42894594</v>
      </c>
      <c r="AV625" s="350">
        <f t="shared" si="251"/>
        <v>7410547.0419328287</v>
      </c>
      <c r="AW625" s="350">
        <f t="shared" si="252"/>
        <v>9854854.013447322</v>
      </c>
      <c r="AX625" s="350">
        <f t="shared" si="253"/>
        <v>11977118.730057597</v>
      </c>
      <c r="AY625" s="350">
        <f t="shared" si="254"/>
        <v>35463829.8213045</v>
      </c>
      <c r="AZ625" s="365"/>
      <c r="BA625" s="377">
        <f t="shared" si="255"/>
        <v>0</v>
      </c>
      <c r="BB625" s="377">
        <f t="shared" si="256"/>
        <v>0</v>
      </c>
      <c r="BC625" s="377">
        <f t="shared" si="257"/>
        <v>0</v>
      </c>
      <c r="BD625" s="377">
        <f t="shared" si="258"/>
        <v>0</v>
      </c>
      <c r="BE625" s="377">
        <f t="shared" si="259"/>
        <v>0</v>
      </c>
      <c r="BF625" s="377">
        <f t="shared" si="260"/>
        <v>0</v>
      </c>
      <c r="BG625" s="328"/>
    </row>
    <row r="626" spans="2:59">
      <c r="B626" s="332">
        <v>611</v>
      </c>
      <c r="C626" s="350">
        <v>9520190.7790893354</v>
      </c>
      <c r="D626" s="350">
        <v>17816056.106865481</v>
      </c>
      <c r="E626" s="350">
        <v>26174334.591840163</v>
      </c>
      <c r="F626" s="350">
        <v>34595639.969121829</v>
      </c>
      <c r="G626" s="350">
        <v>43081333.215643972</v>
      </c>
      <c r="H626" s="348">
        <v>131187554.66256078</v>
      </c>
      <c r="I626" s="369"/>
      <c r="J626" s="350">
        <v>10760649.279854847</v>
      </c>
      <c r="K626" s="350">
        <v>21474444.092660159</v>
      </c>
      <c r="L626" s="350">
        <v>31915808.283604473</v>
      </c>
      <c r="M626" s="350">
        <v>42077087.719992265</v>
      </c>
      <c r="N626" s="350">
        <v>51953180.207865536</v>
      </c>
      <c r="O626" s="348">
        <v>158181169.58397728</v>
      </c>
      <c r="P626" s="369"/>
      <c r="Q626" s="350">
        <f t="shared" si="261"/>
        <v>1240458.5007655118</v>
      </c>
      <c r="R626" s="350">
        <f t="shared" si="262"/>
        <v>3658387.9857946783</v>
      </c>
      <c r="S626" s="350">
        <f t="shared" si="263"/>
        <v>5741473.69176431</v>
      </c>
      <c r="T626" s="350">
        <f t="shared" si="264"/>
        <v>7481447.7508704364</v>
      </c>
      <c r="U626" s="350">
        <f t="shared" si="265"/>
        <v>8871846.9922215641</v>
      </c>
      <c r="V626" s="350">
        <f t="shared" si="266"/>
        <v>26993614.921416506</v>
      </c>
      <c r="W626" s="365"/>
      <c r="X626" s="377">
        <f t="shared" si="244"/>
        <v>0</v>
      </c>
      <c r="Y626" s="377">
        <f t="shared" si="245"/>
        <v>0</v>
      </c>
      <c r="Z626" s="377">
        <f t="shared" si="246"/>
        <v>0</v>
      </c>
      <c r="AA626" s="377">
        <f t="shared" si="247"/>
        <v>0</v>
      </c>
      <c r="AB626" s="377">
        <f t="shared" si="248"/>
        <v>0</v>
      </c>
      <c r="AC626" s="377">
        <f t="shared" si="249"/>
        <v>0</v>
      </c>
      <c r="AD626" s="376"/>
      <c r="AE626" s="332">
        <v>611</v>
      </c>
      <c r="AF626" s="350">
        <v>6831601.2717551049</v>
      </c>
      <c r="AG626" s="350">
        <v>13716852.287205728</v>
      </c>
      <c r="AH626" s="350">
        <v>20654211.250455439</v>
      </c>
      <c r="AI626" s="350">
        <v>27643908.184544105</v>
      </c>
      <c r="AJ626" s="350">
        <v>34686951.102063946</v>
      </c>
      <c r="AK626" s="348">
        <v>103533524.09602433</v>
      </c>
      <c r="AL626" s="369"/>
      <c r="AM626" s="350">
        <v>8601443.169546688</v>
      </c>
      <c r="AN626" s="350">
        <v>18948604.630190581</v>
      </c>
      <c r="AO626" s="350">
        <v>29059033.049360614</v>
      </c>
      <c r="AP626" s="350">
        <v>38927104.462257683</v>
      </c>
      <c r="AQ626" s="350">
        <v>48550479.456701629</v>
      </c>
      <c r="AR626" s="348">
        <v>144086664.7680572</v>
      </c>
      <c r="AS626" s="369"/>
      <c r="AT626" s="350">
        <f t="shared" si="267"/>
        <v>1769841.8977915831</v>
      </c>
      <c r="AU626" s="350">
        <f t="shared" si="250"/>
        <v>5231752.3429848533</v>
      </c>
      <c r="AV626" s="350">
        <f t="shared" si="251"/>
        <v>8404821.7989051752</v>
      </c>
      <c r="AW626" s="350">
        <f t="shared" si="252"/>
        <v>11283196.277713578</v>
      </c>
      <c r="AX626" s="350">
        <f t="shared" si="253"/>
        <v>13863528.354637682</v>
      </c>
      <c r="AY626" s="350">
        <f t="shared" si="254"/>
        <v>40553140.672032863</v>
      </c>
      <c r="AZ626" s="365"/>
      <c r="BA626" s="377">
        <f t="shared" si="255"/>
        <v>0</v>
      </c>
      <c r="BB626" s="377">
        <f t="shared" si="256"/>
        <v>0</v>
      </c>
      <c r="BC626" s="377">
        <f t="shared" si="257"/>
        <v>0</v>
      </c>
      <c r="BD626" s="377">
        <f t="shared" si="258"/>
        <v>0</v>
      </c>
      <c r="BE626" s="377">
        <f t="shared" si="259"/>
        <v>0</v>
      </c>
      <c r="BF626" s="377">
        <f t="shared" si="260"/>
        <v>0</v>
      </c>
      <c r="BG626" s="328"/>
    </row>
    <row r="627" spans="2:59">
      <c r="B627" s="332">
        <v>612</v>
      </c>
      <c r="C627" s="350">
        <v>7942735.8350305492</v>
      </c>
      <c r="D627" s="350">
        <v>14996696.980724074</v>
      </c>
      <c r="E627" s="350">
        <v>22103771.69036378</v>
      </c>
      <c r="F627" s="350">
        <v>29264442.060582593</v>
      </c>
      <c r="G627" s="350">
        <v>36479848.027821526</v>
      </c>
      <c r="H627" s="348">
        <v>110787494.59452252</v>
      </c>
      <c r="I627" s="369"/>
      <c r="J627" s="350">
        <v>8925393.2660493273</v>
      </c>
      <c r="K627" s="350">
        <v>17893572.801451523</v>
      </c>
      <c r="L627" s="350">
        <v>26627447.487096108</v>
      </c>
      <c r="M627" s="350">
        <v>35120500.767660998</v>
      </c>
      <c r="N627" s="350">
        <v>43368315.705747895</v>
      </c>
      <c r="O627" s="348">
        <v>131935230.02800587</v>
      </c>
      <c r="P627" s="369"/>
      <c r="Q627" s="350">
        <f t="shared" si="261"/>
        <v>982657.43101877812</v>
      </c>
      <c r="R627" s="350">
        <f t="shared" si="262"/>
        <v>2896875.8207274489</v>
      </c>
      <c r="S627" s="350">
        <f t="shared" si="263"/>
        <v>4523675.7967323288</v>
      </c>
      <c r="T627" s="350">
        <f t="shared" si="264"/>
        <v>5856058.7070784047</v>
      </c>
      <c r="U627" s="350">
        <f t="shared" si="265"/>
        <v>6888467.677926369</v>
      </c>
      <c r="V627" s="350">
        <f t="shared" si="266"/>
        <v>21147735.433483347</v>
      </c>
      <c r="W627" s="365"/>
      <c r="X627" s="377">
        <f t="shared" si="244"/>
        <v>0</v>
      </c>
      <c r="Y627" s="377">
        <f t="shared" si="245"/>
        <v>0</v>
      </c>
      <c r="Z627" s="377">
        <f t="shared" si="246"/>
        <v>0</v>
      </c>
      <c r="AA627" s="377">
        <f t="shared" si="247"/>
        <v>0</v>
      </c>
      <c r="AB627" s="377">
        <f t="shared" si="248"/>
        <v>0</v>
      </c>
      <c r="AC627" s="377">
        <f t="shared" si="249"/>
        <v>0</v>
      </c>
      <c r="AD627" s="376"/>
      <c r="AE627" s="332">
        <v>612</v>
      </c>
      <c r="AF627" s="350">
        <v>5390844.7626070175</v>
      </c>
      <c r="AG627" s="350">
        <v>10824024.759416293</v>
      </c>
      <c r="AH627" s="350">
        <v>16298323.352921821</v>
      </c>
      <c r="AI627" s="350">
        <v>21813922.055253837</v>
      </c>
      <c r="AJ627" s="350">
        <v>27371616.293309677</v>
      </c>
      <c r="AK627" s="348">
        <v>81698731.223508641</v>
      </c>
      <c r="AL627" s="369"/>
      <c r="AM627" s="350">
        <v>6505040.5726825483</v>
      </c>
      <c r="AN627" s="350">
        <v>14114925.231172327</v>
      </c>
      <c r="AO627" s="350">
        <v>21529545.087977491</v>
      </c>
      <c r="AP627" s="350">
        <v>28744542.120684631</v>
      </c>
      <c r="AQ627" s="350">
        <v>35757784.290832855</v>
      </c>
      <c r="AR627" s="348">
        <v>106651837.30334985</v>
      </c>
      <c r="AS627" s="369"/>
      <c r="AT627" s="350">
        <f t="shared" si="267"/>
        <v>1114195.8100755308</v>
      </c>
      <c r="AU627" s="350">
        <f t="shared" si="250"/>
        <v>3290900.4717560336</v>
      </c>
      <c r="AV627" s="350">
        <f t="shared" si="251"/>
        <v>5231221.7350556701</v>
      </c>
      <c r="AW627" s="350">
        <f t="shared" si="252"/>
        <v>6930620.0654307939</v>
      </c>
      <c r="AX627" s="350">
        <f t="shared" si="253"/>
        <v>8386167.9975231774</v>
      </c>
      <c r="AY627" s="350">
        <f t="shared" si="254"/>
        <v>24953106.079841211</v>
      </c>
      <c r="AZ627" s="365"/>
      <c r="BA627" s="377">
        <f t="shared" si="255"/>
        <v>0</v>
      </c>
      <c r="BB627" s="377">
        <f t="shared" si="256"/>
        <v>0</v>
      </c>
      <c r="BC627" s="377">
        <f t="shared" si="257"/>
        <v>0</v>
      </c>
      <c r="BD627" s="377">
        <f t="shared" si="258"/>
        <v>0</v>
      </c>
      <c r="BE627" s="377">
        <f t="shared" si="259"/>
        <v>0</v>
      </c>
      <c r="BF627" s="377">
        <f t="shared" si="260"/>
        <v>0</v>
      </c>
      <c r="BG627" s="328"/>
    </row>
    <row r="628" spans="2:59">
      <c r="B628" s="332">
        <v>613</v>
      </c>
      <c r="C628" s="350">
        <v>6929470.5168418251</v>
      </c>
      <c r="D628" s="350">
        <v>13122970.29632801</v>
      </c>
      <c r="E628" s="350">
        <v>19363117.458254524</v>
      </c>
      <c r="F628" s="350">
        <v>25650323.700608153</v>
      </c>
      <c r="G628" s="350">
        <v>31985584.863979176</v>
      </c>
      <c r="H628" s="348">
        <v>97051466.836011693</v>
      </c>
      <c r="I628" s="369"/>
      <c r="J628" s="350">
        <v>7753907.9749887427</v>
      </c>
      <c r="K628" s="350">
        <v>15552746.347466916</v>
      </c>
      <c r="L628" s="350">
        <v>23143111.827694092</v>
      </c>
      <c r="M628" s="350">
        <v>30519356.932430923</v>
      </c>
      <c r="N628" s="350">
        <v>37677637.216765337</v>
      </c>
      <c r="O628" s="348">
        <v>114646760.299346</v>
      </c>
      <c r="P628" s="369"/>
      <c r="Q628" s="350">
        <f t="shared" si="261"/>
        <v>824437.45814691763</v>
      </c>
      <c r="R628" s="350">
        <f t="shared" si="262"/>
        <v>2429776.0511389058</v>
      </c>
      <c r="S628" s="350">
        <f t="shared" si="263"/>
        <v>3779994.3694395684</v>
      </c>
      <c r="T628" s="350">
        <f t="shared" si="264"/>
        <v>4869033.2318227701</v>
      </c>
      <c r="U628" s="350">
        <f t="shared" si="265"/>
        <v>5692052.352786161</v>
      </c>
      <c r="V628" s="350">
        <f t="shared" si="266"/>
        <v>17595293.463334307</v>
      </c>
      <c r="W628" s="365"/>
      <c r="X628" s="377">
        <f t="shared" si="244"/>
        <v>0</v>
      </c>
      <c r="Y628" s="377">
        <f t="shared" si="245"/>
        <v>0</v>
      </c>
      <c r="Z628" s="377">
        <f t="shared" si="246"/>
        <v>0</v>
      </c>
      <c r="AA628" s="377">
        <f t="shared" si="247"/>
        <v>0</v>
      </c>
      <c r="AB628" s="377">
        <f t="shared" si="248"/>
        <v>0</v>
      </c>
      <c r="AC628" s="377">
        <f t="shared" si="249"/>
        <v>0</v>
      </c>
      <c r="AD628" s="376"/>
      <c r="AE628" s="332">
        <v>613</v>
      </c>
      <c r="AF628" s="350">
        <v>5555243.8416365581</v>
      </c>
      <c r="AG628" s="350">
        <v>11154113.971812837</v>
      </c>
      <c r="AH628" s="350">
        <v>16795356.65047317</v>
      </c>
      <c r="AI628" s="350">
        <v>22479158.925137587</v>
      </c>
      <c r="AJ628" s="350">
        <v>28206340.48002395</v>
      </c>
      <c r="AK628" s="348">
        <v>84190213.869084105</v>
      </c>
      <c r="AL628" s="369"/>
      <c r="AM628" s="350">
        <v>6509666.7798375962</v>
      </c>
      <c r="AN628" s="350">
        <v>13970764.025972858</v>
      </c>
      <c r="AO628" s="350">
        <v>21224838.765084375</v>
      </c>
      <c r="AP628" s="350">
        <v>28267454.872678638</v>
      </c>
      <c r="AQ628" s="350">
        <v>35096219.066990569</v>
      </c>
      <c r="AR628" s="348">
        <v>105068943.51056404</v>
      </c>
      <c r="AS628" s="369"/>
      <c r="AT628" s="350">
        <f t="shared" si="267"/>
        <v>954422.93820103817</v>
      </c>
      <c r="AU628" s="350">
        <f t="shared" si="250"/>
        <v>2816650.0541600212</v>
      </c>
      <c r="AV628" s="350">
        <f t="shared" si="251"/>
        <v>4429482.1146112047</v>
      </c>
      <c r="AW628" s="350">
        <f t="shared" si="252"/>
        <v>5788295.9475410506</v>
      </c>
      <c r="AX628" s="350">
        <f t="shared" si="253"/>
        <v>6889878.5869666189</v>
      </c>
      <c r="AY628" s="350">
        <f t="shared" si="254"/>
        <v>20878729.641479939</v>
      </c>
      <c r="AZ628" s="365"/>
      <c r="BA628" s="377">
        <f t="shared" si="255"/>
        <v>0</v>
      </c>
      <c r="BB628" s="377">
        <f t="shared" si="256"/>
        <v>0</v>
      </c>
      <c r="BC628" s="377">
        <f t="shared" si="257"/>
        <v>0</v>
      </c>
      <c r="BD628" s="377">
        <f t="shared" si="258"/>
        <v>0</v>
      </c>
      <c r="BE628" s="377">
        <f t="shared" si="259"/>
        <v>0</v>
      </c>
      <c r="BF628" s="377">
        <f t="shared" si="260"/>
        <v>0</v>
      </c>
      <c r="BG628" s="328"/>
    </row>
    <row r="629" spans="2:59">
      <c r="B629" s="332">
        <v>614</v>
      </c>
      <c r="C629" s="350">
        <v>9682857.461840909</v>
      </c>
      <c r="D629" s="350">
        <v>18218349.326903511</v>
      </c>
      <c r="E629" s="350">
        <v>26818089.434109673</v>
      </c>
      <c r="F629" s="350">
        <v>35482679.91517745</v>
      </c>
      <c r="G629" s="350">
        <v>44213508.297003388</v>
      </c>
      <c r="H629" s="348">
        <v>134415484.43503493</v>
      </c>
      <c r="I629" s="369"/>
      <c r="J629" s="350">
        <v>11057312.387841543</v>
      </c>
      <c r="K629" s="350">
        <v>22273539.073734492</v>
      </c>
      <c r="L629" s="350">
        <v>33210840.375465408</v>
      </c>
      <c r="M629" s="350">
        <v>43861345.696077302</v>
      </c>
      <c r="N629" s="350">
        <v>54219956.287009254</v>
      </c>
      <c r="O629" s="348">
        <v>164622993.82012802</v>
      </c>
      <c r="P629" s="369"/>
      <c r="Q629" s="350">
        <f t="shared" si="261"/>
        <v>1374454.9260006342</v>
      </c>
      <c r="R629" s="350">
        <f t="shared" si="262"/>
        <v>4055189.7468309812</v>
      </c>
      <c r="S629" s="350">
        <f t="shared" si="263"/>
        <v>6392750.9413557351</v>
      </c>
      <c r="T629" s="350">
        <f t="shared" si="264"/>
        <v>8378665.7808998525</v>
      </c>
      <c r="U629" s="350">
        <f t="shared" si="265"/>
        <v>10006447.990005866</v>
      </c>
      <c r="V629" s="350">
        <f t="shared" si="266"/>
        <v>30207509.385093093</v>
      </c>
      <c r="W629" s="365"/>
      <c r="X629" s="377">
        <f t="shared" si="244"/>
        <v>0</v>
      </c>
      <c r="Y629" s="377">
        <f t="shared" si="245"/>
        <v>0</v>
      </c>
      <c r="Z629" s="377">
        <f t="shared" si="246"/>
        <v>0</v>
      </c>
      <c r="AA629" s="377">
        <f t="shared" si="247"/>
        <v>0</v>
      </c>
      <c r="AB629" s="377">
        <f t="shared" si="248"/>
        <v>0</v>
      </c>
      <c r="AC629" s="377">
        <f t="shared" si="249"/>
        <v>0</v>
      </c>
      <c r="AD629" s="376"/>
      <c r="AE629" s="332">
        <v>614</v>
      </c>
      <c r="AF629" s="350">
        <v>6247604.6047374504</v>
      </c>
      <c r="AG629" s="350">
        <v>12544272.726565819</v>
      </c>
      <c r="AH629" s="350">
        <v>18888594.369386256</v>
      </c>
      <c r="AI629" s="350">
        <v>25280779.892812252</v>
      </c>
      <c r="AJ629" s="350">
        <v>31721751.139887959</v>
      </c>
      <c r="AK629" s="348">
        <v>94683002.733389735</v>
      </c>
      <c r="AL629" s="369"/>
      <c r="AM629" s="350">
        <v>7364779.9920985168</v>
      </c>
      <c r="AN629" s="350">
        <v>15841867.84997806</v>
      </c>
      <c r="AO629" s="350">
        <v>24087443.436227273</v>
      </c>
      <c r="AP629" s="350">
        <v>32096505.355081603</v>
      </c>
      <c r="AQ629" s="350">
        <v>39866406.405469015</v>
      </c>
      <c r="AR629" s="348">
        <v>119257003.03885446</v>
      </c>
      <c r="AS629" s="369"/>
      <c r="AT629" s="350">
        <f t="shared" si="267"/>
        <v>1117175.3873610664</v>
      </c>
      <c r="AU629" s="350">
        <f t="shared" si="250"/>
        <v>3297595.1234122403</v>
      </c>
      <c r="AV629" s="350">
        <f t="shared" si="251"/>
        <v>5198849.0668410175</v>
      </c>
      <c r="AW629" s="350">
        <f t="shared" si="252"/>
        <v>6815725.4622693509</v>
      </c>
      <c r="AX629" s="350">
        <f t="shared" si="253"/>
        <v>8144655.2655810565</v>
      </c>
      <c r="AY629" s="350">
        <f t="shared" si="254"/>
        <v>24574000.30546473</v>
      </c>
      <c r="AZ629" s="365"/>
      <c r="BA629" s="377">
        <f t="shared" si="255"/>
        <v>0</v>
      </c>
      <c r="BB629" s="377">
        <f t="shared" si="256"/>
        <v>0</v>
      </c>
      <c r="BC629" s="377">
        <f t="shared" si="257"/>
        <v>0</v>
      </c>
      <c r="BD629" s="377">
        <f t="shared" si="258"/>
        <v>0</v>
      </c>
      <c r="BE629" s="377">
        <f t="shared" si="259"/>
        <v>0</v>
      </c>
      <c r="BF629" s="377">
        <f t="shared" si="260"/>
        <v>0</v>
      </c>
      <c r="BG629" s="328"/>
    </row>
    <row r="630" spans="2:59">
      <c r="B630" s="332">
        <v>615</v>
      </c>
      <c r="C630" s="350">
        <v>6380273.6487518754</v>
      </c>
      <c r="D630" s="350">
        <v>11884877.192853451</v>
      </c>
      <c r="E630" s="350">
        <v>17430875.914597396</v>
      </c>
      <c r="F630" s="350">
        <v>23018693.575073294</v>
      </c>
      <c r="G630" s="350">
        <v>28649240.421562694</v>
      </c>
      <c r="H630" s="348">
        <v>87363960.752838716</v>
      </c>
      <c r="I630" s="369"/>
      <c r="J630" s="350">
        <v>7490406.1182505367</v>
      </c>
      <c r="K630" s="350">
        <v>15163654.9253597</v>
      </c>
      <c r="L630" s="350">
        <v>22668512.932931103</v>
      </c>
      <c r="M630" s="350">
        <v>29999702.331913076</v>
      </c>
      <c r="N630" s="350">
        <v>37153995.576496631</v>
      </c>
      <c r="O630" s="348">
        <v>112476271.88495106</v>
      </c>
      <c r="P630" s="369"/>
      <c r="Q630" s="350">
        <f t="shared" si="261"/>
        <v>1110132.4694986613</v>
      </c>
      <c r="R630" s="350">
        <f t="shared" si="262"/>
        <v>3278777.7325062491</v>
      </c>
      <c r="S630" s="350">
        <f t="shared" si="263"/>
        <v>5237637.018333707</v>
      </c>
      <c r="T630" s="350">
        <f t="shared" si="264"/>
        <v>6981008.756839782</v>
      </c>
      <c r="U630" s="350">
        <f t="shared" si="265"/>
        <v>8504755.1549339369</v>
      </c>
      <c r="V630" s="350">
        <f t="shared" si="266"/>
        <v>25112311.132112339</v>
      </c>
      <c r="W630" s="365"/>
      <c r="X630" s="377">
        <f t="shared" si="244"/>
        <v>0</v>
      </c>
      <c r="Y630" s="377">
        <f t="shared" si="245"/>
        <v>0</v>
      </c>
      <c r="Z630" s="377">
        <f t="shared" si="246"/>
        <v>0</v>
      </c>
      <c r="AA630" s="377">
        <f t="shared" si="247"/>
        <v>0</v>
      </c>
      <c r="AB630" s="377">
        <f t="shared" si="248"/>
        <v>0</v>
      </c>
      <c r="AC630" s="377">
        <f t="shared" si="249"/>
        <v>0</v>
      </c>
      <c r="AD630" s="376"/>
      <c r="AE630" s="332">
        <v>615</v>
      </c>
      <c r="AF630" s="350">
        <v>8104754.680226177</v>
      </c>
      <c r="AG630" s="350">
        <v>16273157.397568766</v>
      </c>
      <c r="AH630" s="350">
        <v>24503379.023392987</v>
      </c>
      <c r="AI630" s="350">
        <v>32795692.448377725</v>
      </c>
      <c r="AJ630" s="350">
        <v>41151293.540731557</v>
      </c>
      <c r="AK630" s="348">
        <v>122828277.09029722</v>
      </c>
      <c r="AL630" s="369"/>
      <c r="AM630" s="350">
        <v>9249913.7298627328</v>
      </c>
      <c r="AN630" s="350">
        <v>19649100.970562786</v>
      </c>
      <c r="AO630" s="350">
        <v>29738849.02025849</v>
      </c>
      <c r="AP630" s="350">
        <v>39512755.790924452</v>
      </c>
      <c r="AQ630" s="350">
        <v>48967079.192278482</v>
      </c>
      <c r="AR630" s="348">
        <v>147117698.70388693</v>
      </c>
      <c r="AS630" s="369"/>
      <c r="AT630" s="350">
        <f t="shared" si="267"/>
        <v>1145159.0496365558</v>
      </c>
      <c r="AU630" s="350">
        <f t="shared" si="250"/>
        <v>3375943.5729940198</v>
      </c>
      <c r="AV630" s="350">
        <f t="shared" si="251"/>
        <v>5235469.9968655035</v>
      </c>
      <c r="AW630" s="350">
        <f t="shared" si="252"/>
        <v>6717063.3425467275</v>
      </c>
      <c r="AX630" s="350">
        <f t="shared" si="253"/>
        <v>7815785.6515469253</v>
      </c>
      <c r="AY630" s="350">
        <f t="shared" si="254"/>
        <v>24289421.613589704</v>
      </c>
      <c r="AZ630" s="365"/>
      <c r="BA630" s="377">
        <f t="shared" si="255"/>
        <v>0</v>
      </c>
      <c r="BB630" s="377">
        <f t="shared" si="256"/>
        <v>0</v>
      </c>
      <c r="BC630" s="377">
        <f t="shared" si="257"/>
        <v>0</v>
      </c>
      <c r="BD630" s="377">
        <f t="shared" si="258"/>
        <v>0</v>
      </c>
      <c r="BE630" s="377">
        <f t="shared" si="259"/>
        <v>0</v>
      </c>
      <c r="BF630" s="377">
        <f t="shared" si="260"/>
        <v>0</v>
      </c>
      <c r="BG630" s="328"/>
    </row>
    <row r="631" spans="2:59">
      <c r="B631" s="332">
        <v>616</v>
      </c>
      <c r="C631" s="350">
        <v>8063755.313478753</v>
      </c>
      <c r="D631" s="350">
        <v>15079030.48891307</v>
      </c>
      <c r="E631" s="350">
        <v>22147080.644754652</v>
      </c>
      <c r="F631" s="350">
        <v>29268428.210168328</v>
      </c>
      <c r="G631" s="350">
        <v>36444225.568840079</v>
      </c>
      <c r="H631" s="348">
        <v>111002520.22615489</v>
      </c>
      <c r="I631" s="369"/>
      <c r="J631" s="350">
        <v>9398470.8382749669</v>
      </c>
      <c r="K631" s="350">
        <v>19020109.277485117</v>
      </c>
      <c r="L631" s="350">
        <v>28416688.568380948</v>
      </c>
      <c r="M631" s="350">
        <v>37581783.921682298</v>
      </c>
      <c r="N631" s="350">
        <v>46511501.775137573</v>
      </c>
      <c r="O631" s="348">
        <v>140928554.38096091</v>
      </c>
      <c r="P631" s="369"/>
      <c r="Q631" s="350">
        <f t="shared" si="261"/>
        <v>1334715.524796214</v>
      </c>
      <c r="R631" s="350">
        <f t="shared" si="262"/>
        <v>3941078.7885720469</v>
      </c>
      <c r="S631" s="350">
        <f t="shared" si="263"/>
        <v>6269607.9236262962</v>
      </c>
      <c r="T631" s="350">
        <f t="shared" si="264"/>
        <v>8313355.71151397</v>
      </c>
      <c r="U631" s="350">
        <f t="shared" si="265"/>
        <v>10067276.206297494</v>
      </c>
      <c r="V631" s="350">
        <f t="shared" si="266"/>
        <v>29926034.154806018</v>
      </c>
      <c r="W631" s="365"/>
      <c r="X631" s="377">
        <f t="shared" si="244"/>
        <v>0</v>
      </c>
      <c r="Y631" s="377">
        <f t="shared" si="245"/>
        <v>0</v>
      </c>
      <c r="Z631" s="377">
        <f t="shared" si="246"/>
        <v>0</v>
      </c>
      <c r="AA631" s="377">
        <f t="shared" si="247"/>
        <v>0</v>
      </c>
      <c r="AB631" s="377">
        <f t="shared" si="248"/>
        <v>0</v>
      </c>
      <c r="AC631" s="377">
        <f t="shared" si="249"/>
        <v>0</v>
      </c>
      <c r="AD631" s="376"/>
      <c r="AE631" s="332">
        <v>616</v>
      </c>
      <c r="AF631" s="350">
        <v>7590582.3587826025</v>
      </c>
      <c r="AG631" s="350">
        <v>15240774.870712183</v>
      </c>
      <c r="AH631" s="350">
        <v>22948864.44858316</v>
      </c>
      <c r="AI631" s="350">
        <v>30715106.670664676</v>
      </c>
      <c r="AJ631" s="350">
        <v>38540621.538299844</v>
      </c>
      <c r="AK631" s="348">
        <v>115035949.88704248</v>
      </c>
      <c r="AL631" s="369"/>
      <c r="AM631" s="350">
        <v>8673263.3200765289</v>
      </c>
      <c r="AN631" s="350">
        <v>18432712.211480245</v>
      </c>
      <c r="AO631" s="350">
        <v>27902657.636380438</v>
      </c>
      <c r="AP631" s="350">
        <v>37077100.783549123</v>
      </c>
      <c r="AQ631" s="350">
        <v>45952547.265592314</v>
      </c>
      <c r="AR631" s="348">
        <v>138038281.21707866</v>
      </c>
      <c r="AS631" s="369"/>
      <c r="AT631" s="350">
        <f t="shared" si="267"/>
        <v>1082680.9612939265</v>
      </c>
      <c r="AU631" s="350">
        <f t="shared" si="250"/>
        <v>3191937.3407680616</v>
      </c>
      <c r="AV631" s="350">
        <f t="shared" si="251"/>
        <v>4953793.1877972782</v>
      </c>
      <c r="AW631" s="350">
        <f t="shared" si="252"/>
        <v>6361994.112884447</v>
      </c>
      <c r="AX631" s="350">
        <f t="shared" si="253"/>
        <v>7411925.7272924706</v>
      </c>
      <c r="AY631" s="350">
        <f t="shared" si="254"/>
        <v>23002331.330036178</v>
      </c>
      <c r="AZ631" s="365"/>
      <c r="BA631" s="377">
        <f t="shared" si="255"/>
        <v>0</v>
      </c>
      <c r="BB631" s="377">
        <f t="shared" si="256"/>
        <v>0</v>
      </c>
      <c r="BC631" s="377">
        <f t="shared" si="257"/>
        <v>0</v>
      </c>
      <c r="BD631" s="377">
        <f t="shared" si="258"/>
        <v>0</v>
      </c>
      <c r="BE631" s="377">
        <f t="shared" si="259"/>
        <v>0</v>
      </c>
      <c r="BF631" s="377">
        <f t="shared" si="260"/>
        <v>0</v>
      </c>
      <c r="BG631" s="328"/>
    </row>
    <row r="632" spans="2:59">
      <c r="B632" s="332">
        <v>617</v>
      </c>
      <c r="C632" s="350">
        <v>7120290.6433506776</v>
      </c>
      <c r="D632" s="350">
        <v>13420559.499482796</v>
      </c>
      <c r="E632" s="350">
        <v>19768259.380312346</v>
      </c>
      <c r="F632" s="350">
        <v>26163827.716158904</v>
      </c>
      <c r="G632" s="350">
        <v>32608285.622904144</v>
      </c>
      <c r="H632" s="348">
        <v>99081222.862208873</v>
      </c>
      <c r="I632" s="369"/>
      <c r="J632" s="350">
        <v>7959030.4243311053</v>
      </c>
      <c r="K632" s="350">
        <v>15892492.353878194</v>
      </c>
      <c r="L632" s="350">
        <v>23613898.52988353</v>
      </c>
      <c r="M632" s="350">
        <v>31117524.963854603</v>
      </c>
      <c r="N632" s="350">
        <v>38399471.38977436</v>
      </c>
      <c r="O632" s="348">
        <v>116982417.6617218</v>
      </c>
      <c r="P632" s="369"/>
      <c r="Q632" s="350">
        <f t="shared" si="261"/>
        <v>838739.78098042775</v>
      </c>
      <c r="R632" s="350">
        <f t="shared" si="262"/>
        <v>2471932.8543953989</v>
      </c>
      <c r="S632" s="350">
        <f t="shared" si="263"/>
        <v>3845639.1495711841</v>
      </c>
      <c r="T632" s="350">
        <f t="shared" si="264"/>
        <v>4953697.2476956993</v>
      </c>
      <c r="U632" s="350">
        <f t="shared" si="265"/>
        <v>5791185.7668702155</v>
      </c>
      <c r="V632" s="350">
        <f t="shared" si="266"/>
        <v>17901194.799512923</v>
      </c>
      <c r="W632" s="365"/>
      <c r="X632" s="377">
        <f t="shared" si="244"/>
        <v>0</v>
      </c>
      <c r="Y632" s="377">
        <f t="shared" si="245"/>
        <v>0</v>
      </c>
      <c r="Z632" s="377">
        <f t="shared" si="246"/>
        <v>0</v>
      </c>
      <c r="AA632" s="377">
        <f t="shared" si="247"/>
        <v>0</v>
      </c>
      <c r="AB632" s="377">
        <f t="shared" si="248"/>
        <v>0</v>
      </c>
      <c r="AC632" s="377">
        <f t="shared" si="249"/>
        <v>0</v>
      </c>
      <c r="AD632" s="376"/>
      <c r="AE632" s="332">
        <v>617</v>
      </c>
      <c r="AF632" s="350">
        <v>5548912.6939815823</v>
      </c>
      <c r="AG632" s="350">
        <v>11141401.956907805</v>
      </c>
      <c r="AH632" s="350">
        <v>16776215.477573588</v>
      </c>
      <c r="AI632" s="350">
        <v>22453540.09032641</v>
      </c>
      <c r="AJ632" s="350">
        <v>28174194.545214199</v>
      </c>
      <c r="AK632" s="348">
        <v>84094264.764003575</v>
      </c>
      <c r="AL632" s="369"/>
      <c r="AM632" s="350">
        <v>6728978.412866557</v>
      </c>
      <c r="AN632" s="350">
        <v>14627258.065344959</v>
      </c>
      <c r="AO632" s="350">
        <v>22325541.79848332</v>
      </c>
      <c r="AP632" s="350">
        <v>29819334.415710401</v>
      </c>
      <c r="AQ632" s="350">
        <v>37106474.987665653</v>
      </c>
      <c r="AR632" s="348">
        <v>110607587.68007089</v>
      </c>
      <c r="AS632" s="369"/>
      <c r="AT632" s="350">
        <f t="shared" si="267"/>
        <v>1180065.7188849747</v>
      </c>
      <c r="AU632" s="350">
        <f t="shared" si="250"/>
        <v>3485856.1084371544</v>
      </c>
      <c r="AV632" s="350">
        <f t="shared" si="251"/>
        <v>5549326.3209097311</v>
      </c>
      <c r="AW632" s="350">
        <f t="shared" si="252"/>
        <v>7365794.325383991</v>
      </c>
      <c r="AX632" s="350">
        <f t="shared" si="253"/>
        <v>8932280.4424514547</v>
      </c>
      <c r="AY632" s="350">
        <f t="shared" si="254"/>
        <v>26513322.916067317</v>
      </c>
      <c r="AZ632" s="365"/>
      <c r="BA632" s="377">
        <f t="shared" si="255"/>
        <v>0</v>
      </c>
      <c r="BB632" s="377">
        <f t="shared" si="256"/>
        <v>0</v>
      </c>
      <c r="BC632" s="377">
        <f t="shared" si="257"/>
        <v>0</v>
      </c>
      <c r="BD632" s="377">
        <f t="shared" si="258"/>
        <v>0</v>
      </c>
      <c r="BE632" s="377">
        <f t="shared" si="259"/>
        <v>0</v>
      </c>
      <c r="BF632" s="377">
        <f t="shared" si="260"/>
        <v>0</v>
      </c>
      <c r="BG632" s="328"/>
    </row>
    <row r="633" spans="2:59">
      <c r="B633" s="332">
        <v>618</v>
      </c>
      <c r="C633" s="350">
        <v>7537185.0241524642</v>
      </c>
      <c r="D633" s="350">
        <v>14391676.747403719</v>
      </c>
      <c r="E633" s="350">
        <v>21297832.10515279</v>
      </c>
      <c r="F633" s="350">
        <v>28256072.310521148</v>
      </c>
      <c r="G633" s="350">
        <v>35267484.506431699</v>
      </c>
      <c r="H633" s="348">
        <v>106750250.69366181</v>
      </c>
      <c r="I633" s="369"/>
      <c r="J633" s="350">
        <v>8364831.2883456936</v>
      </c>
      <c r="K633" s="350">
        <v>16829339.929301083</v>
      </c>
      <c r="L633" s="350">
        <v>25059382.526850771</v>
      </c>
      <c r="M633" s="350">
        <v>33048747.159454189</v>
      </c>
      <c r="N633" s="350">
        <v>40793128.890409529</v>
      </c>
      <c r="O633" s="348">
        <v>124095429.79436126</v>
      </c>
      <c r="P633" s="369"/>
      <c r="Q633" s="350">
        <f t="shared" si="261"/>
        <v>827646.26419322938</v>
      </c>
      <c r="R633" s="350">
        <f t="shared" si="262"/>
        <v>2437663.1818973646</v>
      </c>
      <c r="S633" s="350">
        <f t="shared" si="263"/>
        <v>3761550.4216979817</v>
      </c>
      <c r="T633" s="350">
        <f t="shared" si="264"/>
        <v>4792674.8489330411</v>
      </c>
      <c r="U633" s="350">
        <f t="shared" si="265"/>
        <v>5525644.3839778304</v>
      </c>
      <c r="V633" s="350">
        <f t="shared" si="266"/>
        <v>17345179.100699455</v>
      </c>
      <c r="W633" s="365"/>
      <c r="X633" s="377">
        <f t="shared" si="244"/>
        <v>0</v>
      </c>
      <c r="Y633" s="377">
        <f t="shared" si="245"/>
        <v>0</v>
      </c>
      <c r="Z633" s="377">
        <f t="shared" si="246"/>
        <v>0</v>
      </c>
      <c r="AA633" s="377">
        <f t="shared" si="247"/>
        <v>0</v>
      </c>
      <c r="AB633" s="377">
        <f t="shared" si="248"/>
        <v>0</v>
      </c>
      <c r="AC633" s="377">
        <f t="shared" si="249"/>
        <v>0</v>
      </c>
      <c r="AD633" s="376"/>
      <c r="AE633" s="332">
        <v>618</v>
      </c>
      <c r="AF633" s="350">
        <v>6877675.6872599339</v>
      </c>
      <c r="AG633" s="350">
        <v>13809362.948551267</v>
      </c>
      <c r="AH633" s="350">
        <v>20793509.589632884</v>
      </c>
      <c r="AI633" s="350">
        <v>27830347.184890628</v>
      </c>
      <c r="AJ633" s="350">
        <v>34920890.545262985</v>
      </c>
      <c r="AK633" s="348">
        <v>104231785.9555977</v>
      </c>
      <c r="AL633" s="369"/>
      <c r="AM633" s="350">
        <v>7934944.3524374142</v>
      </c>
      <c r="AN633" s="350">
        <v>16927717.148161162</v>
      </c>
      <c r="AO633" s="350">
        <v>25660461.011418462</v>
      </c>
      <c r="AP633" s="350">
        <v>34127718.965852313</v>
      </c>
      <c r="AQ633" s="350">
        <v>42326402.063203782</v>
      </c>
      <c r="AR633" s="348">
        <v>126977243.54107314</v>
      </c>
      <c r="AS633" s="369"/>
      <c r="AT633" s="350">
        <f t="shared" si="267"/>
        <v>1057268.6651774803</v>
      </c>
      <c r="AU633" s="350">
        <f t="shared" si="250"/>
        <v>3118354.1996098943</v>
      </c>
      <c r="AV633" s="350">
        <f t="shared" si="251"/>
        <v>4866951.4217855781</v>
      </c>
      <c r="AW633" s="350">
        <f t="shared" si="252"/>
        <v>6297371.7809616849</v>
      </c>
      <c r="AX633" s="350">
        <f t="shared" si="253"/>
        <v>7405511.5179407969</v>
      </c>
      <c r="AY633" s="350">
        <f t="shared" si="254"/>
        <v>22745457.585475445</v>
      </c>
      <c r="AZ633" s="365"/>
      <c r="BA633" s="377">
        <f t="shared" si="255"/>
        <v>0</v>
      </c>
      <c r="BB633" s="377">
        <f t="shared" si="256"/>
        <v>0</v>
      </c>
      <c r="BC633" s="377">
        <f t="shared" si="257"/>
        <v>0</v>
      </c>
      <c r="BD633" s="377">
        <f t="shared" si="258"/>
        <v>0</v>
      </c>
      <c r="BE633" s="377">
        <f t="shared" si="259"/>
        <v>0</v>
      </c>
      <c r="BF633" s="377">
        <f t="shared" si="260"/>
        <v>0</v>
      </c>
      <c r="BG633" s="328"/>
    </row>
    <row r="634" spans="2:59">
      <c r="B634" s="332">
        <v>619</v>
      </c>
      <c r="C634" s="350">
        <v>7221767.0921554687</v>
      </c>
      <c r="D634" s="350">
        <v>13661253.218261853</v>
      </c>
      <c r="E634" s="350">
        <v>20149234.506222185</v>
      </c>
      <c r="F634" s="350">
        <v>26686143.465394638</v>
      </c>
      <c r="G634" s="350">
        <v>33273017.428574607</v>
      </c>
      <c r="H634" s="348">
        <v>100991415.71060875</v>
      </c>
      <c r="I634" s="369"/>
      <c r="J634" s="350">
        <v>8355312.2682703817</v>
      </c>
      <c r="K634" s="350">
        <v>17007134.817493133</v>
      </c>
      <c r="L634" s="350">
        <v>25451669.427260518</v>
      </c>
      <c r="M634" s="350">
        <v>33682913.292419627</v>
      </c>
      <c r="N634" s="350">
        <v>41697091.78167022</v>
      </c>
      <c r="O634" s="348">
        <v>126194121.58711389</v>
      </c>
      <c r="P634" s="369"/>
      <c r="Q634" s="350">
        <f t="shared" si="261"/>
        <v>1133545.1761149131</v>
      </c>
      <c r="R634" s="350">
        <f t="shared" si="262"/>
        <v>3345881.5992312804</v>
      </c>
      <c r="S634" s="350">
        <f t="shared" si="263"/>
        <v>5302434.9210383333</v>
      </c>
      <c r="T634" s="350">
        <f t="shared" si="264"/>
        <v>6996769.8270249888</v>
      </c>
      <c r="U634" s="350">
        <f t="shared" si="265"/>
        <v>8424074.3530956134</v>
      </c>
      <c r="V634" s="350">
        <f t="shared" si="266"/>
        <v>25202705.876505136</v>
      </c>
      <c r="W634" s="365"/>
      <c r="X634" s="377">
        <f t="shared" si="244"/>
        <v>0</v>
      </c>
      <c r="Y634" s="377">
        <f t="shared" si="245"/>
        <v>0</v>
      </c>
      <c r="Z634" s="377">
        <f t="shared" si="246"/>
        <v>0</v>
      </c>
      <c r="AA634" s="377">
        <f t="shared" si="247"/>
        <v>0</v>
      </c>
      <c r="AB634" s="377">
        <f t="shared" si="248"/>
        <v>0</v>
      </c>
      <c r="AC634" s="377">
        <f t="shared" si="249"/>
        <v>0</v>
      </c>
      <c r="AD634" s="376"/>
      <c r="AE634" s="332">
        <v>619</v>
      </c>
      <c r="AF634" s="350">
        <v>6528422.0075362958</v>
      </c>
      <c r="AG634" s="350">
        <v>13108112.839687487</v>
      </c>
      <c r="AH634" s="350">
        <v>19737599.123834036</v>
      </c>
      <c r="AI634" s="350">
        <v>26417100.674835738</v>
      </c>
      <c r="AJ634" s="350">
        <v>33147580.770748373</v>
      </c>
      <c r="AK634" s="348">
        <v>98938815.416641936</v>
      </c>
      <c r="AL634" s="369"/>
      <c r="AM634" s="350">
        <v>7640405.4818633068</v>
      </c>
      <c r="AN634" s="350">
        <v>16389608.230164247</v>
      </c>
      <c r="AO634" s="350">
        <v>24895233.241727732</v>
      </c>
      <c r="AP634" s="350">
        <v>33152069.989072599</v>
      </c>
      <c r="AQ634" s="350">
        <v>41157296.170679644</v>
      </c>
      <c r="AR634" s="348">
        <v>123234613.11350752</v>
      </c>
      <c r="AS634" s="369"/>
      <c r="AT634" s="350">
        <f t="shared" si="267"/>
        <v>1111983.474327011</v>
      </c>
      <c r="AU634" s="350">
        <f t="shared" si="250"/>
        <v>3281495.3904767595</v>
      </c>
      <c r="AV634" s="350">
        <f t="shared" si="251"/>
        <v>5157634.1178936958</v>
      </c>
      <c r="AW634" s="350">
        <f t="shared" si="252"/>
        <v>6734969.3142368607</v>
      </c>
      <c r="AX634" s="350">
        <f t="shared" si="253"/>
        <v>8009715.3999312706</v>
      </c>
      <c r="AY634" s="350">
        <f t="shared" si="254"/>
        <v>24295797.696865588</v>
      </c>
      <c r="AZ634" s="365"/>
      <c r="BA634" s="377">
        <f t="shared" si="255"/>
        <v>0</v>
      </c>
      <c r="BB634" s="377">
        <f t="shared" si="256"/>
        <v>0</v>
      </c>
      <c r="BC634" s="377">
        <f t="shared" si="257"/>
        <v>0</v>
      </c>
      <c r="BD634" s="377">
        <f t="shared" si="258"/>
        <v>0</v>
      </c>
      <c r="BE634" s="377">
        <f t="shared" si="259"/>
        <v>0</v>
      </c>
      <c r="BF634" s="377">
        <f t="shared" si="260"/>
        <v>0</v>
      </c>
      <c r="BG634" s="328"/>
    </row>
    <row r="635" spans="2:59">
      <c r="B635" s="332">
        <v>620</v>
      </c>
      <c r="C635" s="350">
        <v>8137466.1131836837</v>
      </c>
      <c r="D635" s="350">
        <v>15432749.849826185</v>
      </c>
      <c r="E635" s="350">
        <v>22782986.341025181</v>
      </c>
      <c r="F635" s="350">
        <v>30188654.069971725</v>
      </c>
      <c r="G635" s="350">
        <v>37650923.223132677</v>
      </c>
      <c r="H635" s="348">
        <v>114192779.59713945</v>
      </c>
      <c r="I635" s="369"/>
      <c r="J635" s="350">
        <v>9167089.4557176176</v>
      </c>
      <c r="K635" s="350">
        <v>18468320.199324109</v>
      </c>
      <c r="L635" s="350">
        <v>27524406.39506574</v>
      </c>
      <c r="M635" s="350">
        <v>36328716.044841692</v>
      </c>
      <c r="N635" s="350">
        <v>44876822.315128677</v>
      </c>
      <c r="O635" s="348">
        <v>136365354.41007784</v>
      </c>
      <c r="P635" s="369"/>
      <c r="Q635" s="350">
        <f t="shared" si="261"/>
        <v>1029623.3425339339</v>
      </c>
      <c r="R635" s="350">
        <f t="shared" si="262"/>
        <v>3035570.3494979236</v>
      </c>
      <c r="S635" s="350">
        <f t="shared" si="263"/>
        <v>4741420.0540405586</v>
      </c>
      <c r="T635" s="350">
        <f t="shared" si="264"/>
        <v>6140061.9748699665</v>
      </c>
      <c r="U635" s="350">
        <f t="shared" si="265"/>
        <v>7225899.0919959992</v>
      </c>
      <c r="V635" s="350">
        <f t="shared" si="266"/>
        <v>22172574.812938392</v>
      </c>
      <c r="W635" s="365"/>
      <c r="X635" s="377">
        <f t="shared" si="244"/>
        <v>0</v>
      </c>
      <c r="Y635" s="377">
        <f t="shared" si="245"/>
        <v>0</v>
      </c>
      <c r="Z635" s="377">
        <f t="shared" si="246"/>
        <v>0</v>
      </c>
      <c r="AA635" s="377">
        <f t="shared" si="247"/>
        <v>0</v>
      </c>
      <c r="AB635" s="377">
        <f t="shared" si="248"/>
        <v>0</v>
      </c>
      <c r="AC635" s="377">
        <f t="shared" si="249"/>
        <v>0</v>
      </c>
      <c r="AD635" s="376"/>
      <c r="AE635" s="332">
        <v>620</v>
      </c>
      <c r="AF635" s="350">
        <v>5880203.6870047357</v>
      </c>
      <c r="AG635" s="350">
        <v>11806585.628292188</v>
      </c>
      <c r="AH635" s="350">
        <v>17777818.74496033</v>
      </c>
      <c r="AI635" s="350">
        <v>23794101.026071075</v>
      </c>
      <c r="AJ635" s="350">
        <v>29856300.104134798</v>
      </c>
      <c r="AK635" s="348">
        <v>89115009.190463126</v>
      </c>
      <c r="AL635" s="369"/>
      <c r="AM635" s="350">
        <v>6703392.8537682202</v>
      </c>
      <c r="AN635" s="350">
        <v>14233222.454190589</v>
      </c>
      <c r="AO635" s="350">
        <v>21538316.929544058</v>
      </c>
      <c r="AP635" s="350">
        <v>28614033.568122551</v>
      </c>
      <c r="AQ635" s="350">
        <v>35457649.6388987</v>
      </c>
      <c r="AR635" s="348">
        <v>106546615.44452412</v>
      </c>
      <c r="AS635" s="369"/>
      <c r="AT635" s="350">
        <f t="shared" si="267"/>
        <v>823189.16676348448</v>
      </c>
      <c r="AU635" s="350">
        <f t="shared" si="250"/>
        <v>2426636.8258984014</v>
      </c>
      <c r="AV635" s="350">
        <f t="shared" si="251"/>
        <v>3760498.1845837273</v>
      </c>
      <c r="AW635" s="350">
        <f t="shared" si="252"/>
        <v>4819932.5420514755</v>
      </c>
      <c r="AX635" s="350">
        <f t="shared" si="253"/>
        <v>5601349.5347639024</v>
      </c>
      <c r="AY635" s="350">
        <f t="shared" si="254"/>
        <v>17431606.254060999</v>
      </c>
      <c r="AZ635" s="365"/>
      <c r="BA635" s="377">
        <f t="shared" si="255"/>
        <v>0</v>
      </c>
      <c r="BB635" s="377">
        <f t="shared" si="256"/>
        <v>0</v>
      </c>
      <c r="BC635" s="377">
        <f t="shared" si="257"/>
        <v>0</v>
      </c>
      <c r="BD635" s="377">
        <f t="shared" si="258"/>
        <v>0</v>
      </c>
      <c r="BE635" s="377">
        <f t="shared" si="259"/>
        <v>0</v>
      </c>
      <c r="BF635" s="377">
        <f t="shared" si="260"/>
        <v>0</v>
      </c>
      <c r="BG635" s="328"/>
    </row>
    <row r="636" spans="2:59">
      <c r="B636" s="332">
        <v>621</v>
      </c>
      <c r="C636" s="350">
        <v>9449294.8175559286</v>
      </c>
      <c r="D636" s="350">
        <v>18059220.158799693</v>
      </c>
      <c r="E636" s="350">
        <v>26734045.39725947</v>
      </c>
      <c r="F636" s="350">
        <v>35474294.876167573</v>
      </c>
      <c r="G636" s="350">
        <v>44281332.092040867</v>
      </c>
      <c r="H636" s="348">
        <v>133998187.34182352</v>
      </c>
      <c r="I636" s="369"/>
      <c r="J636" s="350">
        <v>10689159.354118817</v>
      </c>
      <c r="K636" s="350">
        <v>21715061.372530468</v>
      </c>
      <c r="L636" s="350">
        <v>32453178.105402615</v>
      </c>
      <c r="M636" s="350">
        <v>42895603.721763462</v>
      </c>
      <c r="N636" s="350">
        <v>53037088.549545944</v>
      </c>
      <c r="O636" s="348">
        <v>160790091.10336131</v>
      </c>
      <c r="P636" s="369"/>
      <c r="Q636" s="350">
        <f t="shared" si="261"/>
        <v>1239864.536562888</v>
      </c>
      <c r="R636" s="350">
        <f t="shared" si="262"/>
        <v>3655841.2137307748</v>
      </c>
      <c r="S636" s="350">
        <f t="shared" si="263"/>
        <v>5719132.7081431448</v>
      </c>
      <c r="T636" s="350">
        <f t="shared" si="264"/>
        <v>7421308.8455958888</v>
      </c>
      <c r="U636" s="350">
        <f t="shared" si="265"/>
        <v>8755756.4575050771</v>
      </c>
      <c r="V636" s="350">
        <f t="shared" si="266"/>
        <v>26791903.76153779</v>
      </c>
      <c r="W636" s="365"/>
      <c r="X636" s="377">
        <f t="shared" si="244"/>
        <v>0</v>
      </c>
      <c r="Y636" s="377">
        <f t="shared" si="245"/>
        <v>0</v>
      </c>
      <c r="Z636" s="377">
        <f t="shared" si="246"/>
        <v>0</v>
      </c>
      <c r="AA636" s="377">
        <f t="shared" si="247"/>
        <v>0</v>
      </c>
      <c r="AB636" s="377">
        <f t="shared" si="248"/>
        <v>0</v>
      </c>
      <c r="AC636" s="377">
        <f t="shared" si="249"/>
        <v>0</v>
      </c>
      <c r="AD636" s="376"/>
      <c r="AE636" s="332">
        <v>621</v>
      </c>
      <c r="AF636" s="350">
        <v>4918223.2677599844</v>
      </c>
      <c r="AG636" s="350">
        <v>9875070.191564355</v>
      </c>
      <c r="AH636" s="350">
        <v>14869430.797901731</v>
      </c>
      <c r="AI636" s="350">
        <v>19901470.685527336</v>
      </c>
      <c r="AJ636" s="350">
        <v>24971915.545357261</v>
      </c>
      <c r="AK636" s="348">
        <v>74536110.488110662</v>
      </c>
      <c r="AL636" s="369"/>
      <c r="AM636" s="350">
        <v>5724013.7255877508</v>
      </c>
      <c r="AN636" s="350">
        <v>12252512.507023072</v>
      </c>
      <c r="AO636" s="350">
        <v>18596554.367675193</v>
      </c>
      <c r="AP636" s="350">
        <v>24752222.958065022</v>
      </c>
      <c r="AQ636" s="350">
        <v>30717359.745439366</v>
      </c>
      <c r="AR636" s="348">
        <v>92042663.303790405</v>
      </c>
      <c r="AS636" s="369"/>
      <c r="AT636" s="350">
        <f t="shared" si="267"/>
        <v>805790.45782776643</v>
      </c>
      <c r="AU636" s="350">
        <f t="shared" si="250"/>
        <v>2377442.3154587168</v>
      </c>
      <c r="AV636" s="350">
        <f t="shared" si="251"/>
        <v>3727123.5697734617</v>
      </c>
      <c r="AW636" s="350">
        <f t="shared" si="252"/>
        <v>4850752.2725376859</v>
      </c>
      <c r="AX636" s="350">
        <f t="shared" si="253"/>
        <v>5745444.2000821047</v>
      </c>
      <c r="AY636" s="350">
        <f t="shared" si="254"/>
        <v>17506552.815679744</v>
      </c>
      <c r="AZ636" s="365"/>
      <c r="BA636" s="377">
        <f t="shared" si="255"/>
        <v>0</v>
      </c>
      <c r="BB636" s="377">
        <f t="shared" si="256"/>
        <v>0</v>
      </c>
      <c r="BC636" s="377">
        <f t="shared" si="257"/>
        <v>0</v>
      </c>
      <c r="BD636" s="377">
        <f t="shared" si="258"/>
        <v>0</v>
      </c>
      <c r="BE636" s="377">
        <f t="shared" si="259"/>
        <v>0</v>
      </c>
      <c r="BF636" s="377">
        <f t="shared" si="260"/>
        <v>0</v>
      </c>
      <c r="BG636" s="328"/>
    </row>
    <row r="637" spans="2:59">
      <c r="B637" s="332">
        <v>622</v>
      </c>
      <c r="C637" s="350">
        <v>9302573.4162652157</v>
      </c>
      <c r="D637" s="350">
        <v>17530756.631693229</v>
      </c>
      <c r="E637" s="350">
        <v>25820884.019143812</v>
      </c>
      <c r="F637" s="350">
        <v>34173527.762490392</v>
      </c>
      <c r="G637" s="350">
        <v>42590021.834840246</v>
      </c>
      <c r="H637" s="348">
        <v>129417763.66443288</v>
      </c>
      <c r="I637" s="369"/>
      <c r="J637" s="350">
        <v>10593165.917440614</v>
      </c>
      <c r="K637" s="350">
        <v>21338001.321403544</v>
      </c>
      <c r="L637" s="350">
        <v>31821401.33445435</v>
      </c>
      <c r="M637" s="350">
        <v>42035450.480657309</v>
      </c>
      <c r="N637" s="350">
        <v>51974852.476415634</v>
      </c>
      <c r="O637" s="348">
        <v>157762871.53037146</v>
      </c>
      <c r="P637" s="369"/>
      <c r="Q637" s="350">
        <f t="shared" si="261"/>
        <v>1290592.501175398</v>
      </c>
      <c r="R637" s="350">
        <f t="shared" si="262"/>
        <v>3807244.6897103153</v>
      </c>
      <c r="S637" s="350">
        <f t="shared" si="263"/>
        <v>6000517.3153105378</v>
      </c>
      <c r="T637" s="350">
        <f t="shared" si="264"/>
        <v>7861922.7181669176</v>
      </c>
      <c r="U637" s="350">
        <f t="shared" si="265"/>
        <v>9384830.6415753886</v>
      </c>
      <c r="V637" s="350">
        <f t="shared" si="266"/>
        <v>28345107.865938574</v>
      </c>
      <c r="W637" s="365"/>
      <c r="X637" s="377">
        <f t="shared" si="244"/>
        <v>0</v>
      </c>
      <c r="Y637" s="377">
        <f t="shared" si="245"/>
        <v>0</v>
      </c>
      <c r="Z637" s="377">
        <f t="shared" si="246"/>
        <v>0</v>
      </c>
      <c r="AA637" s="377">
        <f t="shared" si="247"/>
        <v>0</v>
      </c>
      <c r="AB637" s="377">
        <f t="shared" si="248"/>
        <v>0</v>
      </c>
      <c r="AC637" s="377">
        <f t="shared" si="249"/>
        <v>0</v>
      </c>
      <c r="AD637" s="376"/>
      <c r="AE637" s="332">
        <v>622</v>
      </c>
      <c r="AF637" s="350">
        <v>6128032.6523775905</v>
      </c>
      <c r="AG637" s="350">
        <v>12304189.802670056</v>
      </c>
      <c r="AH637" s="350">
        <v>18527088.440478981</v>
      </c>
      <c r="AI637" s="350">
        <v>24796934.899377283</v>
      </c>
      <c r="AJ637" s="350">
        <v>31114633.379395582</v>
      </c>
      <c r="AK637" s="348">
        <v>92870879.174299479</v>
      </c>
      <c r="AL637" s="369"/>
      <c r="AM637" s="350">
        <v>7066157.4868425764</v>
      </c>
      <c r="AN637" s="350">
        <v>15071072.495139565</v>
      </c>
      <c r="AO637" s="350">
        <v>22844183.870514095</v>
      </c>
      <c r="AP637" s="350">
        <v>30380630.532823894</v>
      </c>
      <c r="AQ637" s="350">
        <v>37677656.26353588</v>
      </c>
      <c r="AR637" s="348">
        <v>113039700.64885601</v>
      </c>
      <c r="AS637" s="369"/>
      <c r="AT637" s="350">
        <f t="shared" si="267"/>
        <v>938124.83446498588</v>
      </c>
      <c r="AU637" s="350">
        <f t="shared" si="250"/>
        <v>2766882.6924695093</v>
      </c>
      <c r="AV637" s="350">
        <f t="shared" si="251"/>
        <v>4317095.4300351143</v>
      </c>
      <c r="AW637" s="350">
        <f t="shared" si="252"/>
        <v>5583695.6334466115</v>
      </c>
      <c r="AX637" s="350">
        <f t="shared" si="253"/>
        <v>6563022.8841402978</v>
      </c>
      <c r="AY637" s="350">
        <f t="shared" si="254"/>
        <v>20168821.474556535</v>
      </c>
      <c r="AZ637" s="365"/>
      <c r="BA637" s="377">
        <f t="shared" si="255"/>
        <v>0</v>
      </c>
      <c r="BB637" s="377">
        <f t="shared" si="256"/>
        <v>0</v>
      </c>
      <c r="BC637" s="377">
        <f t="shared" si="257"/>
        <v>0</v>
      </c>
      <c r="BD637" s="377">
        <f t="shared" si="258"/>
        <v>0</v>
      </c>
      <c r="BE637" s="377">
        <f t="shared" si="259"/>
        <v>0</v>
      </c>
      <c r="BF637" s="377">
        <f t="shared" si="260"/>
        <v>0</v>
      </c>
      <c r="BG637" s="328"/>
    </row>
    <row r="638" spans="2:59">
      <c r="B638" s="332">
        <v>623</v>
      </c>
      <c r="C638" s="350">
        <v>6396281.4806751534</v>
      </c>
      <c r="D638" s="350">
        <v>11987969.425666209</v>
      </c>
      <c r="E638" s="350">
        <v>17621731.837146059</v>
      </c>
      <c r="F638" s="350">
        <v>23297977.002589054</v>
      </c>
      <c r="G638" s="350">
        <v>29017619.920202121</v>
      </c>
      <c r="H638" s="348">
        <v>88321579.666278601</v>
      </c>
      <c r="I638" s="369"/>
      <c r="J638" s="350">
        <v>7443228.9030360393</v>
      </c>
      <c r="K638" s="350">
        <v>15079142.249598216</v>
      </c>
      <c r="L638" s="350">
        <v>22538693.991949029</v>
      </c>
      <c r="M638" s="350">
        <v>29816637.170962941</v>
      </c>
      <c r="N638" s="350">
        <v>36909719.91168759</v>
      </c>
      <c r="O638" s="348">
        <v>111787422.22723383</v>
      </c>
      <c r="P638" s="369"/>
      <c r="Q638" s="350">
        <f t="shared" si="261"/>
        <v>1046947.4223608859</v>
      </c>
      <c r="R638" s="350">
        <f t="shared" si="262"/>
        <v>3091172.823932007</v>
      </c>
      <c r="S638" s="350">
        <f t="shared" si="263"/>
        <v>4916962.1548029706</v>
      </c>
      <c r="T638" s="350">
        <f t="shared" si="264"/>
        <v>6518660.1683738865</v>
      </c>
      <c r="U638" s="350">
        <f t="shared" si="265"/>
        <v>7892099.991485469</v>
      </c>
      <c r="V638" s="350">
        <f t="shared" si="266"/>
        <v>23465842.560955226</v>
      </c>
      <c r="W638" s="365"/>
      <c r="X638" s="377">
        <f t="shared" si="244"/>
        <v>0</v>
      </c>
      <c r="Y638" s="377">
        <f t="shared" si="245"/>
        <v>0</v>
      </c>
      <c r="Z638" s="377">
        <f t="shared" si="246"/>
        <v>0</v>
      </c>
      <c r="AA638" s="377">
        <f t="shared" si="247"/>
        <v>0</v>
      </c>
      <c r="AB638" s="377">
        <f t="shared" si="248"/>
        <v>0</v>
      </c>
      <c r="AC638" s="377">
        <f t="shared" si="249"/>
        <v>0</v>
      </c>
      <c r="AD638" s="376"/>
      <c r="AE638" s="332">
        <v>623</v>
      </c>
      <c r="AF638" s="350">
        <v>6929415.6636351347</v>
      </c>
      <c r="AG638" s="350">
        <v>13913249.22426475</v>
      </c>
      <c r="AH638" s="350">
        <v>20949936.810666002</v>
      </c>
      <c r="AI638" s="350">
        <v>28039711.739332642</v>
      </c>
      <c r="AJ638" s="350">
        <v>35183596.455511078</v>
      </c>
      <c r="AK638" s="348">
        <v>105015909.89340961</v>
      </c>
      <c r="AL638" s="369"/>
      <c r="AM638" s="350">
        <v>8006611.0968658775</v>
      </c>
      <c r="AN638" s="350">
        <v>17090571.016387284</v>
      </c>
      <c r="AO638" s="350">
        <v>25912904.431977961</v>
      </c>
      <c r="AP638" s="350">
        <v>34468109.928640723</v>
      </c>
      <c r="AQ638" s="350">
        <v>42753087.446206488</v>
      </c>
      <c r="AR638" s="348">
        <v>128231283.92007834</v>
      </c>
      <c r="AS638" s="369"/>
      <c r="AT638" s="350">
        <f t="shared" si="267"/>
        <v>1077195.4332307428</v>
      </c>
      <c r="AU638" s="350">
        <f t="shared" si="250"/>
        <v>3177321.7921225335</v>
      </c>
      <c r="AV638" s="350">
        <f t="shared" si="251"/>
        <v>4962967.6213119589</v>
      </c>
      <c r="AW638" s="350">
        <f t="shared" si="252"/>
        <v>6428398.1893080808</v>
      </c>
      <c r="AX638" s="350">
        <f t="shared" si="253"/>
        <v>7569490.9906954095</v>
      </c>
      <c r="AY638" s="350">
        <f t="shared" si="254"/>
        <v>23215374.026668727</v>
      </c>
      <c r="AZ638" s="365"/>
      <c r="BA638" s="377">
        <f t="shared" si="255"/>
        <v>0</v>
      </c>
      <c r="BB638" s="377">
        <f t="shared" si="256"/>
        <v>0</v>
      </c>
      <c r="BC638" s="377">
        <f t="shared" si="257"/>
        <v>0</v>
      </c>
      <c r="BD638" s="377">
        <f t="shared" si="258"/>
        <v>0</v>
      </c>
      <c r="BE638" s="377">
        <f t="shared" si="259"/>
        <v>0</v>
      </c>
      <c r="BF638" s="377">
        <f t="shared" si="260"/>
        <v>0</v>
      </c>
      <c r="BG638" s="328"/>
    </row>
    <row r="639" spans="2:59">
      <c r="B639" s="332">
        <v>624</v>
      </c>
      <c r="C639" s="350">
        <v>6585278.3552891696</v>
      </c>
      <c r="D639" s="350">
        <v>12212087.578062704</v>
      </c>
      <c r="E639" s="350">
        <v>17881192.770979993</v>
      </c>
      <c r="F639" s="350">
        <v>23593043.647640862</v>
      </c>
      <c r="G639" s="350">
        <v>29348577.861978896</v>
      </c>
      <c r="H639" s="348">
        <v>89620180.213951617</v>
      </c>
      <c r="I639" s="369"/>
      <c r="J639" s="350">
        <v>7266140.996189082</v>
      </c>
      <c r="K639" s="350">
        <v>14217467.768741608</v>
      </c>
      <c r="L639" s="350">
        <v>20980288.099827748</v>
      </c>
      <c r="M639" s="350">
        <v>27549454.712085735</v>
      </c>
      <c r="N639" s="350">
        <v>33921322.826830491</v>
      </c>
      <c r="O639" s="348">
        <v>103934674.40367466</v>
      </c>
      <c r="P639" s="369"/>
      <c r="Q639" s="350">
        <f t="shared" si="261"/>
        <v>680862.64089991245</v>
      </c>
      <c r="R639" s="350">
        <f t="shared" si="262"/>
        <v>2005380.1906789038</v>
      </c>
      <c r="S639" s="350">
        <f t="shared" si="263"/>
        <v>3099095.3288477547</v>
      </c>
      <c r="T639" s="350">
        <f t="shared" si="264"/>
        <v>3956411.0644448735</v>
      </c>
      <c r="U639" s="350">
        <f t="shared" si="265"/>
        <v>4572744.9648515955</v>
      </c>
      <c r="V639" s="350">
        <f t="shared" si="266"/>
        <v>14314494.189723045</v>
      </c>
      <c r="W639" s="365"/>
      <c r="X639" s="377">
        <f t="shared" si="244"/>
        <v>0</v>
      </c>
      <c r="Y639" s="377">
        <f t="shared" si="245"/>
        <v>0</v>
      </c>
      <c r="Z639" s="377">
        <f t="shared" si="246"/>
        <v>0</v>
      </c>
      <c r="AA639" s="377">
        <f t="shared" si="247"/>
        <v>0</v>
      </c>
      <c r="AB639" s="377">
        <f t="shared" si="248"/>
        <v>0</v>
      </c>
      <c r="AC639" s="377">
        <f t="shared" si="249"/>
        <v>0</v>
      </c>
      <c r="AD639" s="376"/>
      <c r="AE639" s="332">
        <v>624</v>
      </c>
      <c r="AF639" s="350">
        <v>5092247.9714767607</v>
      </c>
      <c r="AG639" s="350">
        <v>10224486.245027103</v>
      </c>
      <c r="AH639" s="350">
        <v>15395565.572222479</v>
      </c>
      <c r="AI639" s="350">
        <v>20605657.411306947</v>
      </c>
      <c r="AJ639" s="350">
        <v>25855513.130791895</v>
      </c>
      <c r="AK639" s="348">
        <v>77173470.33082518</v>
      </c>
      <c r="AL639" s="369"/>
      <c r="AM639" s="350">
        <v>5972052.6217037924</v>
      </c>
      <c r="AN639" s="350">
        <v>12820997.858754985</v>
      </c>
      <c r="AO639" s="350">
        <v>19480322.226124883</v>
      </c>
      <c r="AP639" s="350">
        <v>25945957.929823115</v>
      </c>
      <c r="AQ639" s="350">
        <v>32215716.143569794</v>
      </c>
      <c r="AR639" s="348">
        <v>96435046.779976577</v>
      </c>
      <c r="AS639" s="369"/>
      <c r="AT639" s="350">
        <f t="shared" si="267"/>
        <v>879804.65022703167</v>
      </c>
      <c r="AU639" s="350">
        <f t="shared" si="250"/>
        <v>2596511.6137278825</v>
      </c>
      <c r="AV639" s="350">
        <f t="shared" si="251"/>
        <v>4084756.653902404</v>
      </c>
      <c r="AW639" s="350">
        <f t="shared" si="252"/>
        <v>5340300.518516168</v>
      </c>
      <c r="AX639" s="350">
        <f t="shared" si="253"/>
        <v>6360203.0127778985</v>
      </c>
      <c r="AY639" s="350">
        <f t="shared" si="254"/>
        <v>19261576.449151397</v>
      </c>
      <c r="AZ639" s="365"/>
      <c r="BA639" s="377">
        <f t="shared" si="255"/>
        <v>0</v>
      </c>
      <c r="BB639" s="377">
        <f t="shared" si="256"/>
        <v>0</v>
      </c>
      <c r="BC639" s="377">
        <f t="shared" si="257"/>
        <v>0</v>
      </c>
      <c r="BD639" s="377">
        <f t="shared" si="258"/>
        <v>0</v>
      </c>
      <c r="BE639" s="377">
        <f t="shared" si="259"/>
        <v>0</v>
      </c>
      <c r="BF639" s="377">
        <f t="shared" si="260"/>
        <v>0</v>
      </c>
      <c r="BG639" s="328"/>
    </row>
    <row r="640" spans="2:59">
      <c r="B640" s="332">
        <v>625</v>
      </c>
      <c r="C640" s="350">
        <v>6440010.2303352123</v>
      </c>
      <c r="D640" s="350">
        <v>12024297.732028924</v>
      </c>
      <c r="E640" s="350">
        <v>17650589.017438687</v>
      </c>
      <c r="F640" s="350">
        <v>23319305.46304442</v>
      </c>
      <c r="G640" s="350">
        <v>29031366.786187634</v>
      </c>
      <c r="H640" s="348">
        <v>88465569.229034871</v>
      </c>
      <c r="I640" s="369"/>
      <c r="J640" s="350">
        <v>7574544.8869619193</v>
      </c>
      <c r="K640" s="350">
        <v>15375242.445028313</v>
      </c>
      <c r="L640" s="350">
        <v>23006148.793588955</v>
      </c>
      <c r="M640" s="350">
        <v>30461861.754672531</v>
      </c>
      <c r="N640" s="350">
        <v>37739073.391753569</v>
      </c>
      <c r="O640" s="348">
        <v>114156871.27200529</v>
      </c>
      <c r="P640" s="369"/>
      <c r="Q640" s="350">
        <f t="shared" si="261"/>
        <v>1134534.6566267069</v>
      </c>
      <c r="R640" s="350">
        <f t="shared" si="262"/>
        <v>3350944.7129993886</v>
      </c>
      <c r="S640" s="350">
        <f t="shared" si="263"/>
        <v>5355559.7761502676</v>
      </c>
      <c r="T640" s="350">
        <f t="shared" si="264"/>
        <v>7142556.2916281112</v>
      </c>
      <c r="U640" s="350">
        <f t="shared" si="265"/>
        <v>8707706.6055659354</v>
      </c>
      <c r="V640" s="350">
        <f t="shared" si="266"/>
        <v>25691302.042970419</v>
      </c>
      <c r="W640" s="365"/>
      <c r="X640" s="377">
        <f t="shared" si="244"/>
        <v>0</v>
      </c>
      <c r="Y640" s="377">
        <f t="shared" si="245"/>
        <v>0</v>
      </c>
      <c r="Z640" s="377">
        <f t="shared" si="246"/>
        <v>0</v>
      </c>
      <c r="AA640" s="377">
        <f t="shared" si="247"/>
        <v>0</v>
      </c>
      <c r="AB640" s="377">
        <f t="shared" si="248"/>
        <v>0</v>
      </c>
      <c r="AC640" s="377">
        <f t="shared" si="249"/>
        <v>0</v>
      </c>
      <c r="AD640" s="376"/>
      <c r="AE640" s="332">
        <v>625</v>
      </c>
      <c r="AF640" s="350">
        <v>6942701.5576563347</v>
      </c>
      <c r="AG640" s="350">
        <v>13939925.348725606</v>
      </c>
      <c r="AH640" s="350">
        <v>20990104.503546376</v>
      </c>
      <c r="AI640" s="350">
        <v>28093472.785954334</v>
      </c>
      <c r="AJ640" s="350">
        <v>35251054.601548664</v>
      </c>
      <c r="AK640" s="348">
        <v>105217258.79743132</v>
      </c>
      <c r="AL640" s="369"/>
      <c r="AM640" s="350">
        <v>8552135.6801996846</v>
      </c>
      <c r="AN640" s="350">
        <v>18695677.584133208</v>
      </c>
      <c r="AO640" s="350">
        <v>28592970.222341586</v>
      </c>
      <c r="AP640" s="350">
        <v>38238351.679171979</v>
      </c>
      <c r="AQ640" s="350">
        <v>47629252.891980395</v>
      </c>
      <c r="AR640" s="348">
        <v>141708388.05782685</v>
      </c>
      <c r="AS640" s="369"/>
      <c r="AT640" s="350">
        <f t="shared" si="267"/>
        <v>1609434.1225433499</v>
      </c>
      <c r="AU640" s="350">
        <f t="shared" si="250"/>
        <v>4755752.235407602</v>
      </c>
      <c r="AV640" s="350">
        <f t="shared" si="251"/>
        <v>7602865.7187952101</v>
      </c>
      <c r="AW640" s="350">
        <f t="shared" si="252"/>
        <v>10144878.893217646</v>
      </c>
      <c r="AX640" s="350">
        <f t="shared" si="253"/>
        <v>12378198.29043173</v>
      </c>
      <c r="AY640" s="350">
        <f t="shared" si="254"/>
        <v>36491129.260395527</v>
      </c>
      <c r="AZ640" s="365"/>
      <c r="BA640" s="377">
        <f t="shared" si="255"/>
        <v>0</v>
      </c>
      <c r="BB640" s="377">
        <f t="shared" si="256"/>
        <v>0</v>
      </c>
      <c r="BC640" s="377">
        <f t="shared" si="257"/>
        <v>0</v>
      </c>
      <c r="BD640" s="377">
        <f t="shared" si="258"/>
        <v>0</v>
      </c>
      <c r="BE640" s="377">
        <f t="shared" si="259"/>
        <v>0</v>
      </c>
      <c r="BF640" s="377">
        <f t="shared" si="260"/>
        <v>0</v>
      </c>
      <c r="BG640" s="328"/>
    </row>
    <row r="641" spans="2:59">
      <c r="B641" s="332">
        <v>626</v>
      </c>
      <c r="C641" s="350">
        <v>12086983.538517145</v>
      </c>
      <c r="D641" s="350">
        <v>22945376.533566758</v>
      </c>
      <c r="E641" s="350">
        <v>33885569.068866208</v>
      </c>
      <c r="F641" s="350">
        <v>44908266.816399217</v>
      </c>
      <c r="G641" s="350">
        <v>56015208.66474387</v>
      </c>
      <c r="H641" s="348">
        <v>169841404.6220932</v>
      </c>
      <c r="I641" s="369"/>
      <c r="J641" s="350">
        <v>13478595.107882142</v>
      </c>
      <c r="K641" s="350">
        <v>27045710.378517177</v>
      </c>
      <c r="L641" s="350">
        <v>40250435.911038458</v>
      </c>
      <c r="M641" s="350">
        <v>53082666.227871686</v>
      </c>
      <c r="N641" s="350">
        <v>65535388.788726792</v>
      </c>
      <c r="O641" s="348">
        <v>199392796.41403627</v>
      </c>
      <c r="P641" s="369"/>
      <c r="Q641" s="350">
        <f t="shared" si="261"/>
        <v>1391611.5693649966</v>
      </c>
      <c r="R641" s="350">
        <f t="shared" si="262"/>
        <v>4100333.8449504189</v>
      </c>
      <c r="S641" s="350">
        <f t="shared" si="263"/>
        <v>6364866.8421722502</v>
      </c>
      <c r="T641" s="350">
        <f t="shared" si="264"/>
        <v>8174399.4114724696</v>
      </c>
      <c r="U641" s="350">
        <f t="shared" si="265"/>
        <v>9520180.1239829212</v>
      </c>
      <c r="V641" s="350">
        <f t="shared" si="266"/>
        <v>29551391.791943073</v>
      </c>
      <c r="W641" s="365"/>
      <c r="X641" s="377">
        <f t="shared" si="244"/>
        <v>0</v>
      </c>
      <c r="Y641" s="377">
        <f t="shared" si="245"/>
        <v>0</v>
      </c>
      <c r="Z641" s="377">
        <f t="shared" si="246"/>
        <v>0</v>
      </c>
      <c r="AA641" s="377">
        <f t="shared" si="247"/>
        <v>0</v>
      </c>
      <c r="AB641" s="377">
        <f t="shared" si="248"/>
        <v>0</v>
      </c>
      <c r="AC641" s="377">
        <f t="shared" si="249"/>
        <v>0</v>
      </c>
      <c r="AD641" s="376"/>
      <c r="AE641" s="332">
        <v>626</v>
      </c>
      <c r="AF641" s="350">
        <v>8482627.2721747477</v>
      </c>
      <c r="AG641" s="350">
        <v>17031870.080138788</v>
      </c>
      <c r="AH641" s="350">
        <v>25645814.01475158</v>
      </c>
      <c r="AI641" s="350">
        <v>34324744.689829506</v>
      </c>
      <c r="AJ641" s="350">
        <v>43069913.729225494</v>
      </c>
      <c r="AK641" s="348">
        <v>128554969.78612012</v>
      </c>
      <c r="AL641" s="369"/>
      <c r="AM641" s="350">
        <v>9868944.8765340988</v>
      </c>
      <c r="AN641" s="350">
        <v>21122074.427577637</v>
      </c>
      <c r="AO641" s="350">
        <v>32056961.31346665</v>
      </c>
      <c r="AP641" s="350">
        <v>42666851.850465</v>
      </c>
      <c r="AQ641" s="350">
        <v>52948019.642791167</v>
      </c>
      <c r="AR641" s="348">
        <v>158662852.11083454</v>
      </c>
      <c r="AS641" s="369"/>
      <c r="AT641" s="350">
        <f t="shared" si="267"/>
        <v>1386317.6043593511</v>
      </c>
      <c r="AU641" s="350">
        <f t="shared" si="250"/>
        <v>4090204.3474388495</v>
      </c>
      <c r="AV641" s="350">
        <f t="shared" si="251"/>
        <v>6411147.2987150699</v>
      </c>
      <c r="AW641" s="350">
        <f t="shared" si="252"/>
        <v>8342107.1606354937</v>
      </c>
      <c r="AX641" s="350">
        <f t="shared" si="253"/>
        <v>9878105.9135656729</v>
      </c>
      <c r="AY641" s="350">
        <f t="shared" si="254"/>
        <v>30107882.324714422</v>
      </c>
      <c r="AZ641" s="365"/>
      <c r="BA641" s="377">
        <f t="shared" si="255"/>
        <v>0</v>
      </c>
      <c r="BB641" s="377">
        <f t="shared" si="256"/>
        <v>0</v>
      </c>
      <c r="BC641" s="377">
        <f t="shared" si="257"/>
        <v>0</v>
      </c>
      <c r="BD641" s="377">
        <f t="shared" si="258"/>
        <v>0</v>
      </c>
      <c r="BE641" s="377">
        <f t="shared" si="259"/>
        <v>0</v>
      </c>
      <c r="BF641" s="377">
        <f t="shared" si="260"/>
        <v>0</v>
      </c>
      <c r="BG641" s="328"/>
    </row>
    <row r="642" spans="2:59">
      <c r="B642" s="332">
        <v>627</v>
      </c>
      <c r="C642" s="350">
        <v>9098400.645163022</v>
      </c>
      <c r="D642" s="350">
        <v>17086399.054316074</v>
      </c>
      <c r="E642" s="350">
        <v>25134514.093478471</v>
      </c>
      <c r="F642" s="350">
        <v>33243318.837478001</v>
      </c>
      <c r="G642" s="350">
        <v>41414115.974882104</v>
      </c>
      <c r="H642" s="348">
        <v>125976748.60531768</v>
      </c>
      <c r="I642" s="369"/>
      <c r="J642" s="350">
        <v>10589137.762063993</v>
      </c>
      <c r="K642" s="350">
        <v>21487833.40850433</v>
      </c>
      <c r="L642" s="350">
        <v>32134191.261665333</v>
      </c>
      <c r="M642" s="350">
        <v>42520727.085107349</v>
      </c>
      <c r="N642" s="350">
        <v>52642806.718953028</v>
      </c>
      <c r="O642" s="348">
        <v>159374696.23629403</v>
      </c>
      <c r="P642" s="369"/>
      <c r="Q642" s="350">
        <f t="shared" si="261"/>
        <v>1490737.1169009712</v>
      </c>
      <c r="R642" s="350">
        <f t="shared" si="262"/>
        <v>4401434.354188256</v>
      </c>
      <c r="S642" s="350">
        <f t="shared" si="263"/>
        <v>6999677.168186862</v>
      </c>
      <c r="T642" s="350">
        <f t="shared" si="264"/>
        <v>9277408.2476293482</v>
      </c>
      <c r="U642" s="350">
        <f t="shared" si="265"/>
        <v>11228690.744070925</v>
      </c>
      <c r="V642" s="350">
        <f t="shared" si="266"/>
        <v>33397947.630976349</v>
      </c>
      <c r="W642" s="365"/>
      <c r="X642" s="377">
        <f t="shared" si="244"/>
        <v>0</v>
      </c>
      <c r="Y642" s="377">
        <f t="shared" si="245"/>
        <v>0</v>
      </c>
      <c r="Z642" s="377">
        <f t="shared" si="246"/>
        <v>0</v>
      </c>
      <c r="AA642" s="377">
        <f t="shared" si="247"/>
        <v>0</v>
      </c>
      <c r="AB642" s="377">
        <f t="shared" si="248"/>
        <v>0</v>
      </c>
      <c r="AC642" s="377">
        <f t="shared" si="249"/>
        <v>0</v>
      </c>
      <c r="AD642" s="376"/>
      <c r="AE642" s="332">
        <v>627</v>
      </c>
      <c r="AF642" s="350">
        <v>4573834.0257829148</v>
      </c>
      <c r="AG642" s="350">
        <v>9183587.159462776</v>
      </c>
      <c r="AH642" s="350">
        <v>13828227.151314903</v>
      </c>
      <c r="AI642" s="350">
        <v>18507908.004356246</v>
      </c>
      <c r="AJ642" s="350">
        <v>23223304.594374977</v>
      </c>
      <c r="AK642" s="348">
        <v>69316860.935291827</v>
      </c>
      <c r="AL642" s="369"/>
      <c r="AM642" s="350">
        <v>5379119.6205086103</v>
      </c>
      <c r="AN642" s="350">
        <v>11560393.172321202</v>
      </c>
      <c r="AO642" s="350">
        <v>17571800.843020305</v>
      </c>
      <c r="AP642" s="350">
        <v>23409684.702068914</v>
      </c>
      <c r="AQ642" s="350">
        <v>29072093.996791542</v>
      </c>
      <c r="AR642" s="348">
        <v>86993092.334710568</v>
      </c>
      <c r="AS642" s="369"/>
      <c r="AT642" s="350">
        <f t="shared" si="267"/>
        <v>805285.59472569544</v>
      </c>
      <c r="AU642" s="350">
        <f t="shared" si="250"/>
        <v>2376806.0128584262</v>
      </c>
      <c r="AV642" s="350">
        <f t="shared" si="251"/>
        <v>3743573.691705402</v>
      </c>
      <c r="AW642" s="350">
        <f t="shared" si="252"/>
        <v>4901776.6977126673</v>
      </c>
      <c r="AX642" s="350">
        <f t="shared" si="253"/>
        <v>5848789.4024165645</v>
      </c>
      <c r="AY642" s="350">
        <f t="shared" si="254"/>
        <v>17676231.399418741</v>
      </c>
      <c r="AZ642" s="365"/>
      <c r="BA642" s="377">
        <f t="shared" si="255"/>
        <v>0</v>
      </c>
      <c r="BB642" s="377">
        <f t="shared" si="256"/>
        <v>0</v>
      </c>
      <c r="BC642" s="377">
        <f t="shared" si="257"/>
        <v>0</v>
      </c>
      <c r="BD642" s="377">
        <f t="shared" si="258"/>
        <v>0</v>
      </c>
      <c r="BE642" s="377">
        <f t="shared" si="259"/>
        <v>0</v>
      </c>
      <c r="BF642" s="377">
        <f t="shared" si="260"/>
        <v>0</v>
      </c>
      <c r="BG642" s="328"/>
    </row>
    <row r="643" spans="2:59">
      <c r="B643" s="332">
        <v>628</v>
      </c>
      <c r="C643" s="350">
        <v>9620045.3520867974</v>
      </c>
      <c r="D643" s="350">
        <v>18407234.953656808</v>
      </c>
      <c r="E643" s="350">
        <v>27260667.472704187</v>
      </c>
      <c r="F643" s="350">
        <v>36180871.834281191</v>
      </c>
      <c r="G643" s="350">
        <v>45169236.903561816</v>
      </c>
      <c r="H643" s="348">
        <v>136638056.51629078</v>
      </c>
      <c r="I643" s="369"/>
      <c r="J643" s="350">
        <v>10885877.936306797</v>
      </c>
      <c r="K643" s="350">
        <v>22139655.074533764</v>
      </c>
      <c r="L643" s="350">
        <v>33100171.208653823</v>
      </c>
      <c r="M643" s="350">
        <v>43759336.40583501</v>
      </c>
      <c r="N643" s="350">
        <v>54111775.030426145</v>
      </c>
      <c r="O643" s="348">
        <v>163996815.65575555</v>
      </c>
      <c r="P643" s="369"/>
      <c r="Q643" s="350">
        <f t="shared" si="261"/>
        <v>1265832.5842199996</v>
      </c>
      <c r="R643" s="350">
        <f t="shared" si="262"/>
        <v>3732420.1208769567</v>
      </c>
      <c r="S643" s="350">
        <f t="shared" si="263"/>
        <v>5839503.7359496355</v>
      </c>
      <c r="T643" s="350">
        <f t="shared" si="264"/>
        <v>7578464.5715538189</v>
      </c>
      <c r="U643" s="350">
        <f t="shared" si="265"/>
        <v>8942538.126864329</v>
      </c>
      <c r="V643" s="350">
        <f t="shared" si="266"/>
        <v>27358759.139464766</v>
      </c>
      <c r="W643" s="365"/>
      <c r="X643" s="377">
        <f t="shared" si="244"/>
        <v>0</v>
      </c>
      <c r="Y643" s="377">
        <f t="shared" si="245"/>
        <v>0</v>
      </c>
      <c r="Z643" s="377">
        <f t="shared" si="246"/>
        <v>0</v>
      </c>
      <c r="AA643" s="377">
        <f t="shared" si="247"/>
        <v>0</v>
      </c>
      <c r="AB643" s="377">
        <f t="shared" si="248"/>
        <v>0</v>
      </c>
      <c r="AC643" s="377">
        <f t="shared" si="249"/>
        <v>0</v>
      </c>
      <c r="AD643" s="376"/>
      <c r="AE643" s="332">
        <v>628</v>
      </c>
      <c r="AF643" s="350">
        <v>7888729.3184303492</v>
      </c>
      <c r="AG643" s="350">
        <v>15839410.189532094</v>
      </c>
      <c r="AH643" s="350">
        <v>23850262.238542806</v>
      </c>
      <c r="AI643" s="350">
        <v>31921551.08247178</v>
      </c>
      <c r="AJ643" s="350">
        <v>40054440.714674793</v>
      </c>
      <c r="AK643" s="348">
        <v>119554393.54365182</v>
      </c>
      <c r="AL643" s="369"/>
      <c r="AM643" s="350">
        <v>9585524.2351872735</v>
      </c>
      <c r="AN643" s="350">
        <v>20851883.817252897</v>
      </c>
      <c r="AO643" s="350">
        <v>31834487.896455459</v>
      </c>
      <c r="AP643" s="350">
        <v>42526940.37080501</v>
      </c>
      <c r="AQ643" s="350">
        <v>52926188.482963242</v>
      </c>
      <c r="AR643" s="348">
        <v>157725024.80266389</v>
      </c>
      <c r="AS643" s="369"/>
      <c r="AT643" s="350">
        <f t="shared" si="267"/>
        <v>1696794.9167569242</v>
      </c>
      <c r="AU643" s="350">
        <f t="shared" si="250"/>
        <v>5012473.627720803</v>
      </c>
      <c r="AV643" s="350">
        <f t="shared" si="251"/>
        <v>7984225.6579126529</v>
      </c>
      <c r="AW643" s="350">
        <f t="shared" si="252"/>
        <v>10605389.28833323</v>
      </c>
      <c r="AX643" s="350">
        <f t="shared" si="253"/>
        <v>12871747.768288448</v>
      </c>
      <c r="AY643" s="350">
        <f t="shared" si="254"/>
        <v>38170631.259012073</v>
      </c>
      <c r="AZ643" s="365"/>
      <c r="BA643" s="377">
        <f t="shared" si="255"/>
        <v>0</v>
      </c>
      <c r="BB643" s="377">
        <f t="shared" si="256"/>
        <v>0</v>
      </c>
      <c r="BC643" s="377">
        <f t="shared" si="257"/>
        <v>0</v>
      </c>
      <c r="BD643" s="377">
        <f t="shared" si="258"/>
        <v>0</v>
      </c>
      <c r="BE643" s="377">
        <f t="shared" si="259"/>
        <v>0</v>
      </c>
      <c r="BF643" s="377">
        <f t="shared" si="260"/>
        <v>0</v>
      </c>
      <c r="BG643" s="328"/>
    </row>
    <row r="644" spans="2:59">
      <c r="B644" s="332">
        <v>629</v>
      </c>
      <c r="C644" s="350">
        <v>9563738.0946529564</v>
      </c>
      <c r="D644" s="350">
        <v>18000633.219389081</v>
      </c>
      <c r="E644" s="350">
        <v>26501036.518978469</v>
      </c>
      <c r="F644" s="350">
        <v>35065541.271549143</v>
      </c>
      <c r="G644" s="350">
        <v>43695518.150267191</v>
      </c>
      <c r="H644" s="348">
        <v>132826467.25483683</v>
      </c>
      <c r="I644" s="369"/>
      <c r="J644" s="350">
        <v>10732865.195405159</v>
      </c>
      <c r="K644" s="350">
        <v>21447119.639987506</v>
      </c>
      <c r="L644" s="350">
        <v>31877017.372181043</v>
      </c>
      <c r="M644" s="350">
        <v>42014945.269164905</v>
      </c>
      <c r="N644" s="350">
        <v>51855790.210473634</v>
      </c>
      <c r="O644" s="348">
        <v>157927737.68721226</v>
      </c>
      <c r="P644" s="369"/>
      <c r="Q644" s="350">
        <f t="shared" si="261"/>
        <v>1169127.1007522028</v>
      </c>
      <c r="R644" s="350">
        <f t="shared" si="262"/>
        <v>3446486.420598425</v>
      </c>
      <c r="S644" s="350">
        <f t="shared" si="263"/>
        <v>5375980.853202574</v>
      </c>
      <c r="T644" s="350">
        <f t="shared" si="264"/>
        <v>6949403.9976157621</v>
      </c>
      <c r="U644" s="350">
        <f t="shared" si="265"/>
        <v>8160272.0602064431</v>
      </c>
      <c r="V644" s="350">
        <f t="shared" si="266"/>
        <v>25101270.432375431</v>
      </c>
      <c r="W644" s="365"/>
      <c r="X644" s="377">
        <f t="shared" si="244"/>
        <v>0</v>
      </c>
      <c r="Y644" s="377">
        <f t="shared" si="245"/>
        <v>0</v>
      </c>
      <c r="Z644" s="377">
        <f t="shared" si="246"/>
        <v>0</v>
      </c>
      <c r="AA644" s="377">
        <f t="shared" si="247"/>
        <v>0</v>
      </c>
      <c r="AB644" s="377">
        <f t="shared" si="248"/>
        <v>0</v>
      </c>
      <c r="AC644" s="377">
        <f t="shared" si="249"/>
        <v>0</v>
      </c>
      <c r="AD644" s="376"/>
      <c r="AE644" s="332">
        <v>629</v>
      </c>
      <c r="AF644" s="350">
        <v>5240874.0744354511</v>
      </c>
      <c r="AG644" s="350">
        <v>10522905.637378968</v>
      </c>
      <c r="AH644" s="350">
        <v>15844911.89759022</v>
      </c>
      <c r="AI644" s="350">
        <v>21207069.317619961</v>
      </c>
      <c r="AJ644" s="350">
        <v>26610151.195974812</v>
      </c>
      <c r="AK644" s="348">
        <v>79425912.122999415</v>
      </c>
      <c r="AL644" s="369"/>
      <c r="AM644" s="350">
        <v>6454648.553712192</v>
      </c>
      <c r="AN644" s="350">
        <v>14109502.126945447</v>
      </c>
      <c r="AO644" s="350">
        <v>21578433.834751531</v>
      </c>
      <c r="AP644" s="350">
        <v>28857169.961318601</v>
      </c>
      <c r="AQ644" s="350">
        <v>35943770.022383437</v>
      </c>
      <c r="AR644" s="348">
        <v>106943524.49911121</v>
      </c>
      <c r="AS644" s="369"/>
      <c r="AT644" s="350">
        <f t="shared" si="267"/>
        <v>1213774.4792767409</v>
      </c>
      <c r="AU644" s="350">
        <f t="shared" si="250"/>
        <v>3586596.4895664789</v>
      </c>
      <c r="AV644" s="350">
        <f t="shared" si="251"/>
        <v>5733521.9371613115</v>
      </c>
      <c r="AW644" s="350">
        <f t="shared" si="252"/>
        <v>7650100.6436986402</v>
      </c>
      <c r="AX644" s="350">
        <f t="shared" si="253"/>
        <v>9333618.8264086246</v>
      </c>
      <c r="AY644" s="350">
        <f t="shared" si="254"/>
        <v>27517612.376111791</v>
      </c>
      <c r="AZ644" s="365"/>
      <c r="BA644" s="377">
        <f t="shared" si="255"/>
        <v>0</v>
      </c>
      <c r="BB644" s="377">
        <f t="shared" si="256"/>
        <v>0</v>
      </c>
      <c r="BC644" s="377">
        <f t="shared" si="257"/>
        <v>0</v>
      </c>
      <c r="BD644" s="377">
        <f t="shared" si="258"/>
        <v>0</v>
      </c>
      <c r="BE644" s="377">
        <f t="shared" si="259"/>
        <v>0</v>
      </c>
      <c r="BF644" s="377">
        <f t="shared" si="260"/>
        <v>0</v>
      </c>
      <c r="BG644" s="328"/>
    </row>
    <row r="645" spans="2:59">
      <c r="B645" s="332">
        <v>630</v>
      </c>
      <c r="C645" s="350">
        <v>8063810.4059444927</v>
      </c>
      <c r="D645" s="350">
        <v>15253150.27277468</v>
      </c>
      <c r="E645" s="350">
        <v>22496632.064240199</v>
      </c>
      <c r="F645" s="350">
        <v>29794738.939950287</v>
      </c>
      <c r="G645" s="350">
        <v>37148629.150685564</v>
      </c>
      <c r="H645" s="348">
        <v>112756960.83359522</v>
      </c>
      <c r="I645" s="369"/>
      <c r="J645" s="350">
        <v>9423043.7424530089</v>
      </c>
      <c r="K645" s="350">
        <v>19266524.81527961</v>
      </c>
      <c r="L645" s="350">
        <v>28886569.315753572</v>
      </c>
      <c r="M645" s="350">
        <v>38276258.29152707</v>
      </c>
      <c r="N645" s="350">
        <v>47431273.882699445</v>
      </c>
      <c r="O645" s="348">
        <v>143283670.04771268</v>
      </c>
      <c r="P645" s="369"/>
      <c r="Q645" s="350">
        <f t="shared" si="261"/>
        <v>1359233.3365085162</v>
      </c>
      <c r="R645" s="350">
        <f t="shared" si="262"/>
        <v>4013374.5425049309</v>
      </c>
      <c r="S645" s="350">
        <f t="shared" si="263"/>
        <v>6389937.2515133731</v>
      </c>
      <c r="T645" s="350">
        <f t="shared" si="264"/>
        <v>8481519.3515767828</v>
      </c>
      <c r="U645" s="350">
        <f t="shared" si="265"/>
        <v>10282644.732013881</v>
      </c>
      <c r="V645" s="350">
        <f t="shared" si="266"/>
        <v>30526709.214117467</v>
      </c>
      <c r="W645" s="365"/>
      <c r="X645" s="377">
        <f t="shared" si="244"/>
        <v>0</v>
      </c>
      <c r="Y645" s="377">
        <f t="shared" si="245"/>
        <v>0</v>
      </c>
      <c r="Z645" s="377">
        <f t="shared" si="246"/>
        <v>0</v>
      </c>
      <c r="AA645" s="377">
        <f t="shared" si="247"/>
        <v>0</v>
      </c>
      <c r="AB645" s="377">
        <f t="shared" si="248"/>
        <v>0</v>
      </c>
      <c r="AC645" s="377">
        <f t="shared" si="249"/>
        <v>0</v>
      </c>
      <c r="AD645" s="376"/>
      <c r="AE645" s="332">
        <v>630</v>
      </c>
      <c r="AF645" s="350">
        <v>5759218.4855845422</v>
      </c>
      <c r="AG645" s="350">
        <v>11563665.107787006</v>
      </c>
      <c r="AH645" s="350">
        <v>17412040.092356157</v>
      </c>
      <c r="AI645" s="350">
        <v>23304537.354728598</v>
      </c>
      <c r="AJ645" s="350">
        <v>29242006.675874248</v>
      </c>
      <c r="AK645" s="348">
        <v>87281467.716330543</v>
      </c>
      <c r="AL645" s="369"/>
      <c r="AM645" s="350">
        <v>6690264.8579024347</v>
      </c>
      <c r="AN645" s="350">
        <v>14310477.19557007</v>
      </c>
      <c r="AO645" s="350">
        <v>21714315.96313782</v>
      </c>
      <c r="AP645" s="350">
        <v>28897198.676237345</v>
      </c>
      <c r="AQ645" s="350">
        <v>35856585.011431478</v>
      </c>
      <c r="AR645" s="348">
        <v>107468841.70427915</v>
      </c>
      <c r="AS645" s="369"/>
      <c r="AT645" s="350">
        <f t="shared" si="267"/>
        <v>931046.3723178925</v>
      </c>
      <c r="AU645" s="350">
        <f t="shared" si="250"/>
        <v>2746812.0877830647</v>
      </c>
      <c r="AV645" s="350">
        <f t="shared" si="251"/>
        <v>4302275.8707816638</v>
      </c>
      <c r="AW645" s="350">
        <f t="shared" si="252"/>
        <v>5592661.3215087466</v>
      </c>
      <c r="AX645" s="350">
        <f t="shared" si="253"/>
        <v>6614578.3355572298</v>
      </c>
      <c r="AY645" s="350">
        <f t="shared" si="254"/>
        <v>20187373.987948611</v>
      </c>
      <c r="AZ645" s="365"/>
      <c r="BA645" s="377">
        <f t="shared" si="255"/>
        <v>0</v>
      </c>
      <c r="BB645" s="377">
        <f t="shared" si="256"/>
        <v>0</v>
      </c>
      <c r="BC645" s="377">
        <f t="shared" si="257"/>
        <v>0</v>
      </c>
      <c r="BD645" s="377">
        <f t="shared" si="258"/>
        <v>0</v>
      </c>
      <c r="BE645" s="377">
        <f t="shared" si="259"/>
        <v>0</v>
      </c>
      <c r="BF645" s="377">
        <f t="shared" si="260"/>
        <v>0</v>
      </c>
      <c r="BG645" s="328"/>
    </row>
    <row r="646" spans="2:59">
      <c r="B646" s="332">
        <v>631</v>
      </c>
      <c r="C646" s="350">
        <v>8943323.9180515427</v>
      </c>
      <c r="D646" s="350">
        <v>16895419.414429791</v>
      </c>
      <c r="E646" s="350">
        <v>24907394.151615683</v>
      </c>
      <c r="F646" s="350">
        <v>32979788.812238358</v>
      </c>
      <c r="G646" s="350">
        <v>41113887.25671161</v>
      </c>
      <c r="H646" s="348">
        <v>124839813.55304697</v>
      </c>
      <c r="I646" s="369"/>
      <c r="J646" s="350">
        <v>10302146.928008737</v>
      </c>
      <c r="K646" s="350">
        <v>20905677.044012405</v>
      </c>
      <c r="L646" s="350">
        <v>31249707.350032128</v>
      </c>
      <c r="M646" s="350">
        <v>41326932.934859857</v>
      </c>
      <c r="N646" s="350">
        <v>51132747.150320545</v>
      </c>
      <c r="O646" s="348">
        <v>154917211.40723366</v>
      </c>
      <c r="P646" s="369"/>
      <c r="Q646" s="350">
        <f t="shared" si="261"/>
        <v>1358823.0099571943</v>
      </c>
      <c r="R646" s="350">
        <f t="shared" si="262"/>
        <v>4010257.6295826137</v>
      </c>
      <c r="S646" s="350">
        <f t="shared" si="263"/>
        <v>6342313.1984164454</v>
      </c>
      <c r="T646" s="350">
        <f t="shared" si="264"/>
        <v>8347144.122621499</v>
      </c>
      <c r="U646" s="350">
        <f t="shared" si="265"/>
        <v>10018859.893608935</v>
      </c>
      <c r="V646" s="350">
        <f t="shared" si="266"/>
        <v>30077397.854186684</v>
      </c>
      <c r="W646" s="365"/>
      <c r="X646" s="377">
        <f t="shared" si="244"/>
        <v>0</v>
      </c>
      <c r="Y646" s="377">
        <f t="shared" si="245"/>
        <v>0</v>
      </c>
      <c r="Z646" s="377">
        <f t="shared" si="246"/>
        <v>0</v>
      </c>
      <c r="AA646" s="377">
        <f t="shared" si="247"/>
        <v>0</v>
      </c>
      <c r="AB646" s="377">
        <f t="shared" si="248"/>
        <v>0</v>
      </c>
      <c r="AC646" s="377">
        <f t="shared" si="249"/>
        <v>0</v>
      </c>
      <c r="AD646" s="376"/>
      <c r="AE646" s="332">
        <v>631</v>
      </c>
      <c r="AF646" s="350">
        <v>7422729.8229288291</v>
      </c>
      <c r="AG646" s="350">
        <v>14903751.624074781</v>
      </c>
      <c r="AH646" s="350">
        <v>22441390.198178347</v>
      </c>
      <c r="AI646" s="350">
        <v>30035895.471839465</v>
      </c>
      <c r="AJ646" s="350">
        <v>37688362.679518186</v>
      </c>
      <c r="AK646" s="348">
        <v>112492129.7965396</v>
      </c>
      <c r="AL646" s="369"/>
      <c r="AM646" s="350">
        <v>8282409.029642757</v>
      </c>
      <c r="AN646" s="350">
        <v>17434750.877648588</v>
      </c>
      <c r="AO646" s="350">
        <v>26298029.210951757</v>
      </c>
      <c r="AP646" s="350">
        <v>34866434.173201606</v>
      </c>
      <c r="AQ646" s="350">
        <v>43136347.048045352</v>
      </c>
      <c r="AR646" s="348">
        <v>130017970.33949006</v>
      </c>
      <c r="AS646" s="369"/>
      <c r="AT646" s="350">
        <f t="shared" si="267"/>
        <v>859679.20671392791</v>
      </c>
      <c r="AU646" s="350">
        <f t="shared" si="250"/>
        <v>2530999.253573807</v>
      </c>
      <c r="AV646" s="350">
        <f t="shared" si="251"/>
        <v>3856639.0127734095</v>
      </c>
      <c r="AW646" s="350">
        <f t="shared" si="252"/>
        <v>4830538.7013621405</v>
      </c>
      <c r="AX646" s="350">
        <f t="shared" si="253"/>
        <v>5447984.3685271665</v>
      </c>
      <c r="AY646" s="350">
        <f t="shared" si="254"/>
        <v>17525840.542950451</v>
      </c>
      <c r="AZ646" s="365"/>
      <c r="BA646" s="377">
        <f t="shared" si="255"/>
        <v>0</v>
      </c>
      <c r="BB646" s="377">
        <f t="shared" si="256"/>
        <v>0</v>
      </c>
      <c r="BC646" s="377">
        <f t="shared" si="257"/>
        <v>0</v>
      </c>
      <c r="BD646" s="377">
        <f t="shared" si="258"/>
        <v>0</v>
      </c>
      <c r="BE646" s="377">
        <f t="shared" si="259"/>
        <v>0</v>
      </c>
      <c r="BF646" s="377">
        <f t="shared" si="260"/>
        <v>0</v>
      </c>
      <c r="BG646" s="328"/>
    </row>
    <row r="647" spans="2:59">
      <c r="B647" s="332">
        <v>632</v>
      </c>
      <c r="C647" s="350">
        <v>6235460.9429486077</v>
      </c>
      <c r="D647" s="350">
        <v>11755070.53113611</v>
      </c>
      <c r="E647" s="350">
        <v>17316234.755137093</v>
      </c>
      <c r="F647" s="350">
        <v>22919336.17464032</v>
      </c>
      <c r="G647" s="350">
        <v>28565269.089063767</v>
      </c>
      <c r="H647" s="348">
        <v>86791371.492925897</v>
      </c>
      <c r="I647" s="369"/>
      <c r="J647" s="350">
        <v>7192065.9448173065</v>
      </c>
      <c r="K647" s="350">
        <v>14578481.256698694</v>
      </c>
      <c r="L647" s="350">
        <v>21786650.473134823</v>
      </c>
      <c r="M647" s="350">
        <v>28811460.675131589</v>
      </c>
      <c r="N647" s="350">
        <v>35649683.055603959</v>
      </c>
      <c r="O647" s="348">
        <v>108018341.40538636</v>
      </c>
      <c r="P647" s="369"/>
      <c r="Q647" s="350">
        <f t="shared" si="261"/>
        <v>956605.00186869875</v>
      </c>
      <c r="R647" s="350">
        <f t="shared" si="262"/>
        <v>2823410.7255625837</v>
      </c>
      <c r="S647" s="350">
        <f t="shared" si="263"/>
        <v>4470415.7179977298</v>
      </c>
      <c r="T647" s="350">
        <f t="shared" si="264"/>
        <v>5892124.5004912689</v>
      </c>
      <c r="U647" s="350">
        <f t="shared" si="265"/>
        <v>7084413.9665401913</v>
      </c>
      <c r="V647" s="350">
        <f t="shared" si="266"/>
        <v>21226969.912460461</v>
      </c>
      <c r="W647" s="365"/>
      <c r="X647" s="377">
        <f t="shared" si="244"/>
        <v>0</v>
      </c>
      <c r="Y647" s="377">
        <f t="shared" si="245"/>
        <v>0</v>
      </c>
      <c r="Z647" s="377">
        <f t="shared" si="246"/>
        <v>0</v>
      </c>
      <c r="AA647" s="377">
        <f t="shared" si="247"/>
        <v>0</v>
      </c>
      <c r="AB647" s="377">
        <f t="shared" si="248"/>
        <v>0</v>
      </c>
      <c r="AC647" s="377">
        <f t="shared" si="249"/>
        <v>0</v>
      </c>
      <c r="AD647" s="376"/>
      <c r="AE647" s="332">
        <v>632</v>
      </c>
      <c r="AF647" s="350">
        <v>6964253.7108741533</v>
      </c>
      <c r="AG647" s="350">
        <v>13983198.907939652</v>
      </c>
      <c r="AH647" s="350">
        <v>21055263.857518546</v>
      </c>
      <c r="AI647" s="350">
        <v>28180683.04911707</v>
      </c>
      <c r="AJ647" s="350">
        <v>35360484.068385601</v>
      </c>
      <c r="AK647" s="348">
        <v>105543883.59383503</v>
      </c>
      <c r="AL647" s="369"/>
      <c r="AM647" s="350">
        <v>8103480.9328340925</v>
      </c>
      <c r="AN647" s="350">
        <v>17344401.674378268</v>
      </c>
      <c r="AO647" s="350">
        <v>26324076.240062322</v>
      </c>
      <c r="AP647" s="350">
        <v>35036959.543059438</v>
      </c>
      <c r="AQ647" s="350">
        <v>43479993.276326492</v>
      </c>
      <c r="AR647" s="348">
        <v>130288911.66666062</v>
      </c>
      <c r="AS647" s="369"/>
      <c r="AT647" s="350">
        <f t="shared" si="267"/>
        <v>1139227.2219599392</v>
      </c>
      <c r="AU647" s="350">
        <f t="shared" si="250"/>
        <v>3361202.7664386164</v>
      </c>
      <c r="AV647" s="350">
        <f t="shared" si="251"/>
        <v>5268812.3825437762</v>
      </c>
      <c r="AW647" s="350">
        <f t="shared" si="252"/>
        <v>6856276.4939423688</v>
      </c>
      <c r="AX647" s="350">
        <f t="shared" si="253"/>
        <v>8119509.2079408914</v>
      </c>
      <c r="AY647" s="350">
        <f t="shared" si="254"/>
        <v>24745028.072825596</v>
      </c>
      <c r="AZ647" s="365"/>
      <c r="BA647" s="377">
        <f t="shared" si="255"/>
        <v>0</v>
      </c>
      <c r="BB647" s="377">
        <f t="shared" si="256"/>
        <v>0</v>
      </c>
      <c r="BC647" s="377">
        <f t="shared" si="257"/>
        <v>0</v>
      </c>
      <c r="BD647" s="377">
        <f t="shared" si="258"/>
        <v>0</v>
      </c>
      <c r="BE647" s="377">
        <f t="shared" si="259"/>
        <v>0</v>
      </c>
      <c r="BF647" s="377">
        <f t="shared" si="260"/>
        <v>0</v>
      </c>
      <c r="BG647" s="328"/>
    </row>
    <row r="648" spans="2:59">
      <c r="B648" s="332">
        <v>633</v>
      </c>
      <c r="C648" s="350">
        <v>11559695.127230324</v>
      </c>
      <c r="D648" s="350">
        <v>21756574.530749582</v>
      </c>
      <c r="E648" s="350">
        <v>32030210.014773704</v>
      </c>
      <c r="F648" s="350">
        <v>42381318.855439402</v>
      </c>
      <c r="G648" s="350">
        <v>52811557.75916566</v>
      </c>
      <c r="H648" s="348">
        <v>160539356.28735867</v>
      </c>
      <c r="I648" s="369"/>
      <c r="J648" s="350">
        <v>12838993.235220736</v>
      </c>
      <c r="K648" s="350">
        <v>25525465.119267128</v>
      </c>
      <c r="L648" s="350">
        <v>37864939.118181966</v>
      </c>
      <c r="M648" s="350">
        <v>49848232.550416648</v>
      </c>
      <c r="N648" s="350">
        <v>61469009.948400438</v>
      </c>
      <c r="O648" s="348">
        <v>187546639.97148693</v>
      </c>
      <c r="P648" s="369"/>
      <c r="Q648" s="350">
        <f t="shared" si="261"/>
        <v>1279298.107990412</v>
      </c>
      <c r="R648" s="350">
        <f t="shared" si="262"/>
        <v>3768890.5885175467</v>
      </c>
      <c r="S648" s="350">
        <f t="shared" si="263"/>
        <v>5834729.1034082621</v>
      </c>
      <c r="T648" s="350">
        <f t="shared" si="264"/>
        <v>7466913.6949772462</v>
      </c>
      <c r="U648" s="350">
        <f t="shared" si="265"/>
        <v>8657452.1892347783</v>
      </c>
      <c r="V648" s="350">
        <f t="shared" si="266"/>
        <v>27007283.684128255</v>
      </c>
      <c r="W648" s="365"/>
      <c r="X648" s="377">
        <f t="shared" si="244"/>
        <v>0</v>
      </c>
      <c r="Y648" s="377">
        <f t="shared" si="245"/>
        <v>0</v>
      </c>
      <c r="Z648" s="377">
        <f t="shared" si="246"/>
        <v>0</v>
      </c>
      <c r="AA648" s="377">
        <f t="shared" si="247"/>
        <v>0</v>
      </c>
      <c r="AB648" s="377">
        <f t="shared" si="248"/>
        <v>0</v>
      </c>
      <c r="AC648" s="377">
        <f t="shared" si="249"/>
        <v>0</v>
      </c>
      <c r="AD648" s="376"/>
      <c r="AE648" s="332">
        <v>633</v>
      </c>
      <c r="AF648" s="350">
        <v>5409013.2535778815</v>
      </c>
      <c r="AG648" s="350">
        <v>10860504.421652894</v>
      </c>
      <c r="AH648" s="350">
        <v>16353252.766347293</v>
      </c>
      <c r="AI648" s="350">
        <v>21887440.411532447</v>
      </c>
      <c r="AJ648" s="350">
        <v>27463865.464892659</v>
      </c>
      <c r="AK648" s="348">
        <v>81974076.318003178</v>
      </c>
      <c r="AL648" s="369"/>
      <c r="AM648" s="350">
        <v>6421972.9164044783</v>
      </c>
      <c r="AN648" s="350">
        <v>13851122.787928436</v>
      </c>
      <c r="AO648" s="350">
        <v>21081205.245201692</v>
      </c>
      <c r="AP648" s="350">
        <v>28107877.273612928</v>
      </c>
      <c r="AQ648" s="350">
        <v>34928893.317662112</v>
      </c>
      <c r="AR648" s="348">
        <v>104391071.54080966</v>
      </c>
      <c r="AS648" s="369"/>
      <c r="AT648" s="350">
        <f t="shared" si="267"/>
        <v>1012959.6628265968</v>
      </c>
      <c r="AU648" s="350">
        <f t="shared" si="250"/>
        <v>2990618.3662755415</v>
      </c>
      <c r="AV648" s="350">
        <f t="shared" si="251"/>
        <v>4727952.4788543992</v>
      </c>
      <c r="AW648" s="350">
        <f t="shared" si="252"/>
        <v>6220436.8620804809</v>
      </c>
      <c r="AX648" s="350">
        <f t="shared" si="253"/>
        <v>7465027.8527694531</v>
      </c>
      <c r="AY648" s="350">
        <f t="shared" si="254"/>
        <v>22416995.222806484</v>
      </c>
      <c r="AZ648" s="365"/>
      <c r="BA648" s="377">
        <f t="shared" si="255"/>
        <v>0</v>
      </c>
      <c r="BB648" s="377">
        <f t="shared" si="256"/>
        <v>0</v>
      </c>
      <c r="BC648" s="377">
        <f t="shared" si="257"/>
        <v>0</v>
      </c>
      <c r="BD648" s="377">
        <f t="shared" si="258"/>
        <v>0</v>
      </c>
      <c r="BE648" s="377">
        <f t="shared" si="259"/>
        <v>0</v>
      </c>
      <c r="BF648" s="377">
        <f t="shared" si="260"/>
        <v>0</v>
      </c>
      <c r="BG648" s="328"/>
    </row>
    <row r="649" spans="2:59">
      <c r="B649" s="332">
        <v>634</v>
      </c>
      <c r="C649" s="350">
        <v>7185744.0412536394</v>
      </c>
      <c r="D649" s="350">
        <v>13398637.747980421</v>
      </c>
      <c r="E649" s="350">
        <v>19658257.498708196</v>
      </c>
      <c r="F649" s="350">
        <v>25965077.534851875</v>
      </c>
      <c r="G649" s="350">
        <v>32320123.466924079</v>
      </c>
      <c r="H649" s="348">
        <v>98527840.289718211</v>
      </c>
      <c r="I649" s="369"/>
      <c r="J649" s="350">
        <v>8170968.3092613705</v>
      </c>
      <c r="K649" s="350">
        <v>16305217.300396934</v>
      </c>
      <c r="L649" s="350">
        <v>24237117.374840967</v>
      </c>
      <c r="M649" s="350">
        <v>31960941.277653374</v>
      </c>
      <c r="N649" s="350">
        <v>39472937.631973937</v>
      </c>
      <c r="O649" s="348">
        <v>120147181.89412658</v>
      </c>
      <c r="P649" s="369"/>
      <c r="Q649" s="350">
        <f t="shared" si="261"/>
        <v>985224.26800773107</v>
      </c>
      <c r="R649" s="350">
        <f t="shared" si="262"/>
        <v>2906579.5524165127</v>
      </c>
      <c r="S649" s="350">
        <f t="shared" si="263"/>
        <v>4578859.8761327714</v>
      </c>
      <c r="T649" s="350">
        <f t="shared" si="264"/>
        <v>5995863.7428014986</v>
      </c>
      <c r="U649" s="350">
        <f t="shared" si="265"/>
        <v>7152814.1650498584</v>
      </c>
      <c r="V649" s="350">
        <f t="shared" si="266"/>
        <v>21619341.604408368</v>
      </c>
      <c r="W649" s="365"/>
      <c r="X649" s="377">
        <f t="shared" si="244"/>
        <v>0</v>
      </c>
      <c r="Y649" s="377">
        <f t="shared" si="245"/>
        <v>0</v>
      </c>
      <c r="Z649" s="377">
        <f t="shared" si="246"/>
        <v>0</v>
      </c>
      <c r="AA649" s="377">
        <f t="shared" si="247"/>
        <v>0</v>
      </c>
      <c r="AB649" s="377">
        <f t="shared" si="248"/>
        <v>0</v>
      </c>
      <c r="AC649" s="377">
        <f t="shared" si="249"/>
        <v>0</v>
      </c>
      <c r="AD649" s="376"/>
      <c r="AE649" s="332">
        <v>634</v>
      </c>
      <c r="AF649" s="350">
        <v>5413846.8495667782</v>
      </c>
      <c r="AG649" s="350">
        <v>10870209.572694108</v>
      </c>
      <c r="AH649" s="350">
        <v>16367866.340629911</v>
      </c>
      <c r="AI649" s="350">
        <v>21906999.439994875</v>
      </c>
      <c r="AJ649" s="350">
        <v>27488407.691677347</v>
      </c>
      <c r="AK649" s="348">
        <v>82047329.894563019</v>
      </c>
      <c r="AL649" s="369"/>
      <c r="AM649" s="350">
        <v>6310495.8568823189</v>
      </c>
      <c r="AN649" s="350">
        <v>13515872.605923858</v>
      </c>
      <c r="AO649" s="350">
        <v>20518493.398492984</v>
      </c>
      <c r="AP649" s="350">
        <v>27314044.491970688</v>
      </c>
      <c r="AQ649" s="350">
        <v>33900159.612004139</v>
      </c>
      <c r="AR649" s="348">
        <v>101559065.96527398</v>
      </c>
      <c r="AS649" s="369"/>
      <c r="AT649" s="350">
        <f t="shared" si="267"/>
        <v>896649.00731554069</v>
      </c>
      <c r="AU649" s="350">
        <f t="shared" si="250"/>
        <v>2645663.0332297496</v>
      </c>
      <c r="AV649" s="350">
        <f t="shared" si="251"/>
        <v>4150627.0578630734</v>
      </c>
      <c r="AW649" s="350">
        <f t="shared" si="252"/>
        <v>5407045.0519758128</v>
      </c>
      <c r="AX649" s="350">
        <f t="shared" si="253"/>
        <v>6411751.9203267917</v>
      </c>
      <c r="AY649" s="350">
        <f t="shared" si="254"/>
        <v>19511736.070710957</v>
      </c>
      <c r="AZ649" s="365"/>
      <c r="BA649" s="377">
        <f t="shared" si="255"/>
        <v>0</v>
      </c>
      <c r="BB649" s="377">
        <f t="shared" si="256"/>
        <v>0</v>
      </c>
      <c r="BC649" s="377">
        <f t="shared" si="257"/>
        <v>0</v>
      </c>
      <c r="BD649" s="377">
        <f t="shared" si="258"/>
        <v>0</v>
      </c>
      <c r="BE649" s="377">
        <f t="shared" si="259"/>
        <v>0</v>
      </c>
      <c r="BF649" s="377">
        <f t="shared" si="260"/>
        <v>0</v>
      </c>
      <c r="BG649" s="328"/>
    </row>
    <row r="650" spans="2:59">
      <c r="B650" s="332">
        <v>635</v>
      </c>
      <c r="C650" s="350">
        <v>7933421.0304028019</v>
      </c>
      <c r="D650" s="350">
        <v>14836267.412026873</v>
      </c>
      <c r="E650" s="350">
        <v>21791043.303962901</v>
      </c>
      <c r="F650" s="350">
        <v>28798262.474948741</v>
      </c>
      <c r="G650" s="350">
        <v>35859058.715008184</v>
      </c>
      <c r="H650" s="348">
        <v>109218052.9363495</v>
      </c>
      <c r="I650" s="369"/>
      <c r="J650" s="350">
        <v>9462820.3319894727</v>
      </c>
      <c r="K650" s="350">
        <v>19355037.817850817</v>
      </c>
      <c r="L650" s="350">
        <v>29044559.735974036</v>
      </c>
      <c r="M650" s="350">
        <v>38524548.88053403</v>
      </c>
      <c r="N650" s="350">
        <v>47790920.37908937</v>
      </c>
      <c r="O650" s="348">
        <v>144177887.14543772</v>
      </c>
      <c r="P650" s="369"/>
      <c r="Q650" s="350">
        <f t="shared" si="261"/>
        <v>1529399.3015866708</v>
      </c>
      <c r="R650" s="350">
        <f t="shared" si="262"/>
        <v>4518770.4058239441</v>
      </c>
      <c r="S650" s="350">
        <f t="shared" si="263"/>
        <v>7253516.4320111349</v>
      </c>
      <c r="T650" s="350">
        <f t="shared" si="264"/>
        <v>9726286.405585289</v>
      </c>
      <c r="U650" s="350">
        <f t="shared" si="265"/>
        <v>11931861.664081186</v>
      </c>
      <c r="V650" s="350">
        <f t="shared" si="266"/>
        <v>34959834.209088221</v>
      </c>
      <c r="W650" s="365"/>
      <c r="X650" s="377">
        <f t="shared" si="244"/>
        <v>0</v>
      </c>
      <c r="Y650" s="377">
        <f t="shared" si="245"/>
        <v>0</v>
      </c>
      <c r="Z650" s="377">
        <f t="shared" si="246"/>
        <v>0</v>
      </c>
      <c r="AA650" s="377">
        <f t="shared" si="247"/>
        <v>0</v>
      </c>
      <c r="AB650" s="377">
        <f t="shared" si="248"/>
        <v>0</v>
      </c>
      <c r="AC650" s="377">
        <f t="shared" si="249"/>
        <v>0</v>
      </c>
      <c r="AD650" s="376"/>
      <c r="AE650" s="332">
        <v>635</v>
      </c>
      <c r="AF650" s="350">
        <v>4158648.5285692695</v>
      </c>
      <c r="AG650" s="350">
        <v>8349955.6416785829</v>
      </c>
      <c r="AH650" s="350">
        <v>12572982.791104618</v>
      </c>
      <c r="AI650" s="350">
        <v>16827870.000384793</v>
      </c>
      <c r="AJ650" s="350">
        <v>21115230.884090077</v>
      </c>
      <c r="AK650" s="348">
        <v>63024687.845827341</v>
      </c>
      <c r="AL650" s="369"/>
      <c r="AM650" s="350">
        <v>4904918.5384154236</v>
      </c>
      <c r="AN650" s="350">
        <v>10552776.723740999</v>
      </c>
      <c r="AO650" s="350">
        <v>16046610.24819481</v>
      </c>
      <c r="AP650" s="350">
        <v>21383089.24313125</v>
      </c>
      <c r="AQ650" s="350">
        <v>26560454.296864405</v>
      </c>
      <c r="AR650" s="348">
        <v>79447849.050346881</v>
      </c>
      <c r="AS650" s="369"/>
      <c r="AT650" s="350">
        <f t="shared" si="267"/>
        <v>746270.00984615413</v>
      </c>
      <c r="AU650" s="350">
        <f t="shared" si="250"/>
        <v>2202821.0820624158</v>
      </c>
      <c r="AV650" s="350">
        <f t="shared" si="251"/>
        <v>3473627.4570901915</v>
      </c>
      <c r="AW650" s="350">
        <f t="shared" si="252"/>
        <v>4555219.2427464575</v>
      </c>
      <c r="AX650" s="350">
        <f t="shared" si="253"/>
        <v>5445223.4127743281</v>
      </c>
      <c r="AY650" s="350">
        <f t="shared" si="254"/>
        <v>16423161.20451954</v>
      </c>
      <c r="AZ650" s="365"/>
      <c r="BA650" s="377">
        <f t="shared" si="255"/>
        <v>0</v>
      </c>
      <c r="BB650" s="377">
        <f t="shared" si="256"/>
        <v>0</v>
      </c>
      <c r="BC650" s="377">
        <f t="shared" si="257"/>
        <v>0</v>
      </c>
      <c r="BD650" s="377">
        <f t="shared" si="258"/>
        <v>0</v>
      </c>
      <c r="BE650" s="377">
        <f t="shared" si="259"/>
        <v>0</v>
      </c>
      <c r="BF650" s="377">
        <f t="shared" si="260"/>
        <v>0</v>
      </c>
      <c r="BG650" s="328"/>
    </row>
    <row r="651" spans="2:59">
      <c r="B651" s="332">
        <v>636</v>
      </c>
      <c r="C651" s="350">
        <v>6620368.5288836472</v>
      </c>
      <c r="D651" s="350">
        <v>12512691.977087181</v>
      </c>
      <c r="E651" s="350">
        <v>18449386.441016898</v>
      </c>
      <c r="F651" s="350">
        <v>24430850.874513093</v>
      </c>
      <c r="G651" s="350">
        <v>30458035.85831625</v>
      </c>
      <c r="H651" s="348">
        <v>92471333.67981708</v>
      </c>
      <c r="I651" s="369"/>
      <c r="J651" s="350">
        <v>7485277.0914072795</v>
      </c>
      <c r="K651" s="350">
        <v>15063237.9092324</v>
      </c>
      <c r="L651" s="350">
        <v>22445078.290553764</v>
      </c>
      <c r="M651" s="350">
        <v>29625419.574249677</v>
      </c>
      <c r="N651" s="350">
        <v>36600699.055871055</v>
      </c>
      <c r="O651" s="348">
        <v>111219711.92131416</v>
      </c>
      <c r="P651" s="369"/>
      <c r="Q651" s="350">
        <f t="shared" si="261"/>
        <v>864908.56252363231</v>
      </c>
      <c r="R651" s="350">
        <f t="shared" si="262"/>
        <v>2550545.9321452193</v>
      </c>
      <c r="S651" s="350">
        <f t="shared" si="263"/>
        <v>3995691.8495368659</v>
      </c>
      <c r="T651" s="350">
        <f t="shared" si="264"/>
        <v>5194568.699736584</v>
      </c>
      <c r="U651" s="350">
        <f t="shared" si="265"/>
        <v>6142663.1975548044</v>
      </c>
      <c r="V651" s="350">
        <f t="shared" si="266"/>
        <v>18748378.241497084</v>
      </c>
      <c r="W651" s="365"/>
      <c r="X651" s="377">
        <f t="shared" si="244"/>
        <v>0</v>
      </c>
      <c r="Y651" s="377">
        <f t="shared" si="245"/>
        <v>0</v>
      </c>
      <c r="Z651" s="377">
        <f t="shared" si="246"/>
        <v>0</v>
      </c>
      <c r="AA651" s="377">
        <f t="shared" si="247"/>
        <v>0</v>
      </c>
      <c r="AB651" s="377">
        <f t="shared" si="248"/>
        <v>0</v>
      </c>
      <c r="AC651" s="377">
        <f t="shared" si="249"/>
        <v>0</v>
      </c>
      <c r="AD651" s="376"/>
      <c r="AE651" s="332">
        <v>636</v>
      </c>
      <c r="AF651" s="350">
        <v>6878130.2370407451</v>
      </c>
      <c r="AG651" s="350">
        <v>13810275.617770758</v>
      </c>
      <c r="AH651" s="350">
        <v>20794883.84536346</v>
      </c>
      <c r="AI651" s="350">
        <v>27832186.509509586</v>
      </c>
      <c r="AJ651" s="350">
        <v>34923198.488217093</v>
      </c>
      <c r="AK651" s="348">
        <v>104238674.69790164</v>
      </c>
      <c r="AL651" s="369"/>
      <c r="AM651" s="350">
        <v>7888135.0787932342</v>
      </c>
      <c r="AN651" s="350">
        <v>16788458.059979424</v>
      </c>
      <c r="AO651" s="350">
        <v>25427317.264016014</v>
      </c>
      <c r="AP651" s="350">
        <v>33799268.741616964</v>
      </c>
      <c r="AQ651" s="350">
        <v>41901175.402432397</v>
      </c>
      <c r="AR651" s="348">
        <v>125804354.54683803</v>
      </c>
      <c r="AS651" s="369"/>
      <c r="AT651" s="350">
        <f t="shared" si="267"/>
        <v>1010004.8417524891</v>
      </c>
      <c r="AU651" s="350">
        <f t="shared" si="250"/>
        <v>2978182.4422086664</v>
      </c>
      <c r="AV651" s="350">
        <f t="shared" si="251"/>
        <v>4632433.4186525531</v>
      </c>
      <c r="AW651" s="350">
        <f t="shared" si="252"/>
        <v>5967082.2321073785</v>
      </c>
      <c r="AX651" s="350">
        <f t="shared" si="253"/>
        <v>6977976.914215304</v>
      </c>
      <c r="AY651" s="350">
        <f t="shared" si="254"/>
        <v>21565679.848936394</v>
      </c>
      <c r="AZ651" s="365"/>
      <c r="BA651" s="377">
        <f t="shared" si="255"/>
        <v>0</v>
      </c>
      <c r="BB651" s="377">
        <f t="shared" si="256"/>
        <v>0</v>
      </c>
      <c r="BC651" s="377">
        <f t="shared" si="257"/>
        <v>0</v>
      </c>
      <c r="BD651" s="377">
        <f t="shared" si="258"/>
        <v>0</v>
      </c>
      <c r="BE651" s="377">
        <f t="shared" si="259"/>
        <v>0</v>
      </c>
      <c r="BF651" s="377">
        <f t="shared" si="260"/>
        <v>0</v>
      </c>
      <c r="BG651" s="328"/>
    </row>
    <row r="652" spans="2:59">
      <c r="B652" s="332">
        <v>637</v>
      </c>
      <c r="C652" s="350">
        <v>10724196.71039705</v>
      </c>
      <c r="D652" s="350">
        <v>20416090.09888801</v>
      </c>
      <c r="E652" s="350">
        <v>30181013.912878662</v>
      </c>
      <c r="F652" s="350">
        <v>40019581.224128425</v>
      </c>
      <c r="G652" s="350">
        <v>49933336.809484579</v>
      </c>
      <c r="H652" s="348">
        <v>151274218.75577673</v>
      </c>
      <c r="I652" s="369"/>
      <c r="J652" s="350">
        <v>12066506.387606164</v>
      </c>
      <c r="K652" s="350">
        <v>24373068.15321622</v>
      </c>
      <c r="L652" s="350">
        <v>36349605.46398665</v>
      </c>
      <c r="M652" s="350">
        <v>47987419.25888107</v>
      </c>
      <c r="N652" s="350">
        <v>59280725.028288186</v>
      </c>
      <c r="O652" s="348">
        <v>180057324.2919783</v>
      </c>
      <c r="P652" s="369"/>
      <c r="Q652" s="350">
        <f t="shared" si="261"/>
        <v>1342309.6772091147</v>
      </c>
      <c r="R652" s="350">
        <f t="shared" si="262"/>
        <v>3956978.0543282107</v>
      </c>
      <c r="S652" s="350">
        <f t="shared" si="263"/>
        <v>6168591.5511079878</v>
      </c>
      <c r="T652" s="350">
        <f t="shared" si="264"/>
        <v>7967838.0347526446</v>
      </c>
      <c r="U652" s="350">
        <f t="shared" si="265"/>
        <v>9347388.2188036069</v>
      </c>
      <c r="V652" s="350">
        <f t="shared" si="266"/>
        <v>28783105.536201566</v>
      </c>
      <c r="W652" s="365"/>
      <c r="X652" s="377">
        <f t="shared" si="244"/>
        <v>0</v>
      </c>
      <c r="Y652" s="377">
        <f t="shared" si="245"/>
        <v>0</v>
      </c>
      <c r="Z652" s="377">
        <f t="shared" si="246"/>
        <v>0</v>
      </c>
      <c r="AA652" s="377">
        <f t="shared" si="247"/>
        <v>0</v>
      </c>
      <c r="AB652" s="377">
        <f t="shared" si="248"/>
        <v>0</v>
      </c>
      <c r="AC652" s="377">
        <f t="shared" si="249"/>
        <v>0</v>
      </c>
      <c r="AD652" s="376"/>
      <c r="AE652" s="332">
        <v>637</v>
      </c>
      <c r="AF652" s="350">
        <v>5960155.8879586617</v>
      </c>
      <c r="AG652" s="350">
        <v>11967117.908631239</v>
      </c>
      <c r="AH652" s="350">
        <v>18019540.939033441</v>
      </c>
      <c r="AI652" s="350">
        <v>24117625.660253182</v>
      </c>
      <c r="AJ652" s="350">
        <v>30262251.501863077</v>
      </c>
      <c r="AK652" s="348">
        <v>90326691.897739604</v>
      </c>
      <c r="AL652" s="369"/>
      <c r="AM652" s="350">
        <v>6990245.8041433375</v>
      </c>
      <c r="AN652" s="350">
        <v>15007161.719398633</v>
      </c>
      <c r="AO652" s="350">
        <v>22802148.337194167</v>
      </c>
      <c r="AP652" s="350">
        <v>30370444.466130719</v>
      </c>
      <c r="AQ652" s="350">
        <v>37709488.560936682</v>
      </c>
      <c r="AR652" s="348">
        <v>112879488.88780355</v>
      </c>
      <c r="AS652" s="369"/>
      <c r="AT652" s="350">
        <f t="shared" si="267"/>
        <v>1030089.9161846759</v>
      </c>
      <c r="AU652" s="350">
        <f t="shared" si="250"/>
        <v>3040043.8107673936</v>
      </c>
      <c r="AV652" s="350">
        <f t="shared" si="251"/>
        <v>4782607.3981607258</v>
      </c>
      <c r="AW652" s="350">
        <f t="shared" si="252"/>
        <v>6252818.8058775365</v>
      </c>
      <c r="AX652" s="350">
        <f t="shared" si="253"/>
        <v>7447237.0590736046</v>
      </c>
      <c r="AY652" s="350">
        <f t="shared" si="254"/>
        <v>22552796.99006395</v>
      </c>
      <c r="AZ652" s="365"/>
      <c r="BA652" s="377">
        <f t="shared" si="255"/>
        <v>0</v>
      </c>
      <c r="BB652" s="377">
        <f t="shared" si="256"/>
        <v>0</v>
      </c>
      <c r="BC652" s="377">
        <f t="shared" si="257"/>
        <v>0</v>
      </c>
      <c r="BD652" s="377">
        <f t="shared" si="258"/>
        <v>0</v>
      </c>
      <c r="BE652" s="377">
        <f t="shared" si="259"/>
        <v>0</v>
      </c>
      <c r="BF652" s="377">
        <f t="shared" si="260"/>
        <v>0</v>
      </c>
      <c r="BG652" s="328"/>
    </row>
    <row r="653" spans="2:59">
      <c r="B653" s="332">
        <v>638</v>
      </c>
      <c r="C653" s="350">
        <v>7477483.4792243559</v>
      </c>
      <c r="D653" s="350">
        <v>13973061.16467116</v>
      </c>
      <c r="E653" s="350">
        <v>20517501.026468232</v>
      </c>
      <c r="F653" s="350">
        <v>27111289.689780198</v>
      </c>
      <c r="G653" s="350">
        <v>33755495.429650307</v>
      </c>
      <c r="H653" s="348">
        <v>102834830.78979425</v>
      </c>
      <c r="I653" s="369"/>
      <c r="J653" s="350">
        <v>8545857.5631610453</v>
      </c>
      <c r="K653" s="350">
        <v>17125530.026921816</v>
      </c>
      <c r="L653" s="350">
        <v>25493205.254696488</v>
      </c>
      <c r="M653" s="350">
        <v>33642927.984487601</v>
      </c>
      <c r="N653" s="350">
        <v>41570865.869351387</v>
      </c>
      <c r="O653" s="348">
        <v>126378386.69861834</v>
      </c>
      <c r="P653" s="369"/>
      <c r="Q653" s="350">
        <f t="shared" si="261"/>
        <v>1068374.0839366894</v>
      </c>
      <c r="R653" s="350">
        <f t="shared" si="262"/>
        <v>3152468.8622506559</v>
      </c>
      <c r="S653" s="350">
        <f t="shared" si="263"/>
        <v>4975704.2282282561</v>
      </c>
      <c r="T653" s="350">
        <f t="shared" si="264"/>
        <v>6531638.2947074026</v>
      </c>
      <c r="U653" s="350">
        <f t="shared" si="265"/>
        <v>7815370.4397010803</v>
      </c>
      <c r="V653" s="350">
        <f t="shared" si="266"/>
        <v>23543555.908824086</v>
      </c>
      <c r="W653" s="365"/>
      <c r="X653" s="377">
        <f t="shared" si="244"/>
        <v>0</v>
      </c>
      <c r="Y653" s="377">
        <f t="shared" si="245"/>
        <v>0</v>
      </c>
      <c r="Z653" s="377">
        <f t="shared" si="246"/>
        <v>0</v>
      </c>
      <c r="AA653" s="377">
        <f t="shared" si="247"/>
        <v>0</v>
      </c>
      <c r="AB653" s="377">
        <f t="shared" si="248"/>
        <v>0</v>
      </c>
      <c r="AC653" s="377">
        <f t="shared" si="249"/>
        <v>0</v>
      </c>
      <c r="AD653" s="376"/>
      <c r="AE653" s="332">
        <v>638</v>
      </c>
      <c r="AF653" s="350">
        <v>9468057.3232032154</v>
      </c>
      <c r="AG653" s="350">
        <v>19010468.934439085</v>
      </c>
      <c r="AH653" s="350">
        <v>28625098.026925802</v>
      </c>
      <c r="AI653" s="350">
        <v>38312263.394345917</v>
      </c>
      <c r="AJ653" s="350">
        <v>48073362.062173545</v>
      </c>
      <c r="AK653" s="348">
        <v>143489249.74108756</v>
      </c>
      <c r="AL653" s="369"/>
      <c r="AM653" s="350">
        <v>11171986.077950109</v>
      </c>
      <c r="AN653" s="350">
        <v>24040151.110739961</v>
      </c>
      <c r="AO653" s="350">
        <v>36557792.190790944</v>
      </c>
      <c r="AP653" s="350">
        <v>48717326.774776369</v>
      </c>
      <c r="AQ653" s="350">
        <v>60514754.130801752</v>
      </c>
      <c r="AR653" s="348">
        <v>181002010.28505915</v>
      </c>
      <c r="AS653" s="369"/>
      <c r="AT653" s="350">
        <f t="shared" si="267"/>
        <v>1703928.7547468934</v>
      </c>
      <c r="AU653" s="350">
        <f t="shared" si="250"/>
        <v>5029682.1763008758</v>
      </c>
      <c r="AV653" s="350">
        <f t="shared" si="251"/>
        <v>7932694.1638651416</v>
      </c>
      <c r="AW653" s="350">
        <f t="shared" si="252"/>
        <v>10405063.380430453</v>
      </c>
      <c r="AX653" s="350">
        <f t="shared" si="253"/>
        <v>12441392.068628207</v>
      </c>
      <c r="AY653" s="350">
        <f t="shared" si="254"/>
        <v>37512760.543971598</v>
      </c>
      <c r="AZ653" s="365"/>
      <c r="BA653" s="377">
        <f t="shared" si="255"/>
        <v>0</v>
      </c>
      <c r="BB653" s="377">
        <f t="shared" si="256"/>
        <v>0</v>
      </c>
      <c r="BC653" s="377">
        <f t="shared" si="257"/>
        <v>0</v>
      </c>
      <c r="BD653" s="377">
        <f t="shared" si="258"/>
        <v>0</v>
      </c>
      <c r="BE653" s="377">
        <f t="shared" si="259"/>
        <v>0</v>
      </c>
      <c r="BF653" s="377">
        <f t="shared" si="260"/>
        <v>0</v>
      </c>
      <c r="BG653" s="328"/>
    </row>
    <row r="654" spans="2:59">
      <c r="B654" s="332">
        <v>639</v>
      </c>
      <c r="C654" s="350">
        <v>7747518.7982009538</v>
      </c>
      <c r="D654" s="350">
        <v>14562954.567765508</v>
      </c>
      <c r="E654" s="350">
        <v>21429686.817550723</v>
      </c>
      <c r="F654" s="350">
        <v>28348200.499232866</v>
      </c>
      <c r="G654" s="350">
        <v>35319605.338106714</v>
      </c>
      <c r="H654" s="348">
        <v>107407966.02085677</v>
      </c>
      <c r="I654" s="369"/>
      <c r="J654" s="350">
        <v>8864006.9907478839</v>
      </c>
      <c r="K654" s="350">
        <v>17857357.479228646</v>
      </c>
      <c r="L654" s="350">
        <v>26627991.505407322</v>
      </c>
      <c r="M654" s="350">
        <v>35169670.010003842</v>
      </c>
      <c r="N654" s="350">
        <v>43478390.767875135</v>
      </c>
      <c r="O654" s="348">
        <v>131997416.75326282</v>
      </c>
      <c r="P654" s="369"/>
      <c r="Q654" s="350">
        <f t="shared" si="261"/>
        <v>1116488.1925469302</v>
      </c>
      <c r="R654" s="350">
        <f t="shared" si="262"/>
        <v>3294402.9114631377</v>
      </c>
      <c r="S654" s="350">
        <f t="shared" si="263"/>
        <v>5198304.6878565997</v>
      </c>
      <c r="T654" s="350">
        <f t="shared" si="264"/>
        <v>6821469.5107709765</v>
      </c>
      <c r="U654" s="350">
        <f t="shared" si="265"/>
        <v>8158785.4297684208</v>
      </c>
      <c r="V654" s="350">
        <f t="shared" si="266"/>
        <v>24589450.73240605</v>
      </c>
      <c r="W654" s="365"/>
      <c r="X654" s="377">
        <f t="shared" si="244"/>
        <v>0</v>
      </c>
      <c r="Y654" s="377">
        <f t="shared" si="245"/>
        <v>0</v>
      </c>
      <c r="Z654" s="377">
        <f t="shared" si="246"/>
        <v>0</v>
      </c>
      <c r="AA654" s="377">
        <f t="shared" si="247"/>
        <v>0</v>
      </c>
      <c r="AB654" s="377">
        <f t="shared" si="248"/>
        <v>0</v>
      </c>
      <c r="AC654" s="377">
        <f t="shared" si="249"/>
        <v>0</v>
      </c>
      <c r="AD654" s="376"/>
      <c r="AE654" s="332">
        <v>639</v>
      </c>
      <c r="AF654" s="350">
        <v>6061476.9269131254</v>
      </c>
      <c r="AG654" s="350">
        <v>12170555.678143734</v>
      </c>
      <c r="AH654" s="350">
        <v>18325868.263980415</v>
      </c>
      <c r="AI654" s="350">
        <v>24527618.777035333</v>
      </c>
      <c r="AJ654" s="350">
        <v>30776701.596946105</v>
      </c>
      <c r="AK654" s="348">
        <v>91862221.243018717</v>
      </c>
      <c r="AL654" s="369"/>
      <c r="AM654" s="350">
        <v>6840699.6447179001</v>
      </c>
      <c r="AN654" s="350">
        <v>14466347.744292514</v>
      </c>
      <c r="AO654" s="350">
        <v>21858255.78916502</v>
      </c>
      <c r="AP654" s="350">
        <v>29011657.556349844</v>
      </c>
      <c r="AQ654" s="350">
        <v>35923676.150546655</v>
      </c>
      <c r="AR654" s="348">
        <v>108100636.88507193</v>
      </c>
      <c r="AS654" s="369"/>
      <c r="AT654" s="350">
        <f t="shared" si="267"/>
        <v>779222.71780477464</v>
      </c>
      <c r="AU654" s="350">
        <f t="shared" si="250"/>
        <v>2295792.0661487803</v>
      </c>
      <c r="AV654" s="350">
        <f t="shared" si="251"/>
        <v>3532387.5251846053</v>
      </c>
      <c r="AW654" s="350">
        <f t="shared" si="252"/>
        <v>4484038.7793145105</v>
      </c>
      <c r="AX654" s="350">
        <f t="shared" si="253"/>
        <v>5146974.5536005497</v>
      </c>
      <c r="AY654" s="350">
        <f t="shared" si="254"/>
        <v>16238415.642053217</v>
      </c>
      <c r="AZ654" s="365"/>
      <c r="BA654" s="377">
        <f t="shared" si="255"/>
        <v>0</v>
      </c>
      <c r="BB654" s="377">
        <f t="shared" si="256"/>
        <v>0</v>
      </c>
      <c r="BC654" s="377">
        <f t="shared" si="257"/>
        <v>0</v>
      </c>
      <c r="BD654" s="377">
        <f t="shared" si="258"/>
        <v>0</v>
      </c>
      <c r="BE654" s="377">
        <f t="shared" si="259"/>
        <v>0</v>
      </c>
      <c r="BF654" s="377">
        <f t="shared" si="260"/>
        <v>0</v>
      </c>
      <c r="BG654" s="328"/>
    </row>
    <row r="655" spans="2:59">
      <c r="B655" s="332">
        <v>640</v>
      </c>
      <c r="C655" s="350">
        <v>7110488.0773531348</v>
      </c>
      <c r="D655" s="350">
        <v>13327651.025462259</v>
      </c>
      <c r="E655" s="350">
        <v>19591595.170079425</v>
      </c>
      <c r="F655" s="350">
        <v>25902774.137622625</v>
      </c>
      <c r="G655" s="350">
        <v>32262205.132026829</v>
      </c>
      <c r="H655" s="348">
        <v>98194713.542544276</v>
      </c>
      <c r="I655" s="369"/>
      <c r="J655" s="350">
        <v>8290456.7498595817</v>
      </c>
      <c r="K655" s="350">
        <v>16811771.340757325</v>
      </c>
      <c r="L655" s="350">
        <v>25134741.746813498</v>
      </c>
      <c r="M655" s="350">
        <v>33253624.933968332</v>
      </c>
      <c r="N655" s="350">
        <v>41164920.93176429</v>
      </c>
      <c r="O655" s="348">
        <v>124655515.70316303</v>
      </c>
      <c r="P655" s="369"/>
      <c r="Q655" s="350">
        <f t="shared" si="261"/>
        <v>1179968.672506447</v>
      </c>
      <c r="R655" s="350">
        <f t="shared" si="262"/>
        <v>3484120.3152950667</v>
      </c>
      <c r="S655" s="350">
        <f t="shared" si="263"/>
        <v>5543146.5767340735</v>
      </c>
      <c r="T655" s="350">
        <f t="shared" si="264"/>
        <v>7350850.796345707</v>
      </c>
      <c r="U655" s="350">
        <f t="shared" si="265"/>
        <v>8902715.7997374609</v>
      </c>
      <c r="V655" s="350">
        <f t="shared" si="266"/>
        <v>26460802.160618752</v>
      </c>
      <c r="W655" s="365"/>
      <c r="X655" s="377">
        <f t="shared" si="244"/>
        <v>0</v>
      </c>
      <c r="Y655" s="377">
        <f t="shared" si="245"/>
        <v>0</v>
      </c>
      <c r="Z655" s="377">
        <f t="shared" si="246"/>
        <v>0</v>
      </c>
      <c r="AA655" s="377">
        <f t="shared" si="247"/>
        <v>0</v>
      </c>
      <c r="AB655" s="377">
        <f t="shared" si="248"/>
        <v>0</v>
      </c>
      <c r="AC655" s="377">
        <f t="shared" si="249"/>
        <v>0</v>
      </c>
      <c r="AD655" s="376"/>
      <c r="AE655" s="332">
        <v>640</v>
      </c>
      <c r="AF655" s="350">
        <v>7097263.0863218606</v>
      </c>
      <c r="AG655" s="350">
        <v>14250262.204413474</v>
      </c>
      <c r="AH655" s="350">
        <v>21457395.602259889</v>
      </c>
      <c r="AI655" s="350">
        <v>28718902.247851908</v>
      </c>
      <c r="AJ655" s="350">
        <v>36035829.352564536</v>
      </c>
      <c r="AK655" s="348">
        <v>107559652.49341166</v>
      </c>
      <c r="AL655" s="369"/>
      <c r="AM655" s="350">
        <v>8161507.568457203</v>
      </c>
      <c r="AN655" s="350">
        <v>17388755.660140149</v>
      </c>
      <c r="AO655" s="350">
        <v>26346870.654997379</v>
      </c>
      <c r="AP655" s="350">
        <v>35030228.923166528</v>
      </c>
      <c r="AQ655" s="350">
        <v>43435615.771754153</v>
      </c>
      <c r="AR655" s="348">
        <v>130362978.57851541</v>
      </c>
      <c r="AS655" s="369"/>
      <c r="AT655" s="350">
        <f t="shared" si="267"/>
        <v>1064244.4821353424</v>
      </c>
      <c r="AU655" s="350">
        <f t="shared" si="250"/>
        <v>3138493.4557266757</v>
      </c>
      <c r="AV655" s="350">
        <f t="shared" si="251"/>
        <v>4889475.0527374893</v>
      </c>
      <c r="AW655" s="350">
        <f t="shared" si="252"/>
        <v>6311326.6753146201</v>
      </c>
      <c r="AX655" s="350">
        <f t="shared" si="253"/>
        <v>7399786.419189617</v>
      </c>
      <c r="AY655" s="350">
        <f t="shared" si="254"/>
        <v>22803326.08510375</v>
      </c>
      <c r="AZ655" s="365"/>
      <c r="BA655" s="377">
        <f t="shared" si="255"/>
        <v>0</v>
      </c>
      <c r="BB655" s="377">
        <f t="shared" si="256"/>
        <v>0</v>
      </c>
      <c r="BC655" s="377">
        <f t="shared" si="257"/>
        <v>0</v>
      </c>
      <c r="BD655" s="377">
        <f t="shared" si="258"/>
        <v>0</v>
      </c>
      <c r="BE655" s="377">
        <f t="shared" si="259"/>
        <v>0</v>
      </c>
      <c r="BF655" s="377">
        <f t="shared" si="260"/>
        <v>0</v>
      </c>
      <c r="BG655" s="328"/>
    </row>
    <row r="656" spans="2:59">
      <c r="B656" s="332">
        <v>641</v>
      </c>
      <c r="C656" s="350">
        <v>5824496.7826214377</v>
      </c>
      <c r="D656" s="350">
        <v>11003072.240453422</v>
      </c>
      <c r="E656" s="350">
        <v>16220642.228140198</v>
      </c>
      <c r="F656" s="350">
        <v>21477558.957433045</v>
      </c>
      <c r="G656" s="350">
        <v>26774658.552639209</v>
      </c>
      <c r="H656" s="348">
        <v>81300428.761287302</v>
      </c>
      <c r="I656" s="369"/>
      <c r="J656" s="350">
        <v>6947929.199386159</v>
      </c>
      <c r="K656" s="350">
        <v>14322088.398266669</v>
      </c>
      <c r="L656" s="350">
        <v>21537817.038157009</v>
      </c>
      <c r="M656" s="350">
        <v>28590170.245495014</v>
      </c>
      <c r="N656" s="350">
        <v>35476264.27387365</v>
      </c>
      <c r="O656" s="348">
        <v>106874269.15517852</v>
      </c>
      <c r="P656" s="369"/>
      <c r="Q656" s="350">
        <f t="shared" si="261"/>
        <v>1123432.4167647213</v>
      </c>
      <c r="R656" s="350">
        <f t="shared" si="262"/>
        <v>3319016.1578132473</v>
      </c>
      <c r="S656" s="350">
        <f t="shared" si="263"/>
        <v>5317174.8100168109</v>
      </c>
      <c r="T656" s="350">
        <f t="shared" si="264"/>
        <v>7112611.288061969</v>
      </c>
      <c r="U656" s="350">
        <f t="shared" si="265"/>
        <v>8701605.7212344408</v>
      </c>
      <c r="V656" s="350">
        <f t="shared" si="266"/>
        <v>25573840.393891215</v>
      </c>
      <c r="W656" s="365"/>
      <c r="X656" s="377">
        <f t="shared" ref="X656:X719" si="268">IF(Q656&lt;Q$8,1,0)</f>
        <v>0</v>
      </c>
      <c r="Y656" s="377">
        <f t="shared" ref="Y656:Y719" si="269">IF(R656&lt;R$8,1,0)</f>
        <v>0</v>
      </c>
      <c r="Z656" s="377">
        <f t="shared" ref="Z656:Z719" si="270">IF(S656&lt;S$8,1,0)</f>
        <v>0</v>
      </c>
      <c r="AA656" s="377">
        <f t="shared" ref="AA656:AA719" si="271">IF(T656&lt;T$8,1,0)</f>
        <v>0</v>
      </c>
      <c r="AB656" s="377">
        <f t="shared" ref="AB656:AB719" si="272">IF(U656&lt;U$8,1,0)</f>
        <v>0</v>
      </c>
      <c r="AC656" s="377">
        <f t="shared" ref="AC656:AC719" si="273">IF(V656&lt;V$8,1,0)</f>
        <v>0</v>
      </c>
      <c r="AD656" s="376"/>
      <c r="AE656" s="332">
        <v>641</v>
      </c>
      <c r="AF656" s="350">
        <v>4880451.5361099318</v>
      </c>
      <c r="AG656" s="350">
        <v>9799230.1003374513</v>
      </c>
      <c r="AH656" s="350">
        <v>14755234.243717406</v>
      </c>
      <c r="AI656" s="350">
        <v>19748628.29321409</v>
      </c>
      <c r="AJ656" s="350">
        <v>24780132.36647027</v>
      </c>
      <c r="AK656" s="348">
        <v>73963676.539849147</v>
      </c>
      <c r="AL656" s="369"/>
      <c r="AM656" s="350">
        <v>6073447.8036490111</v>
      </c>
      <c r="AN656" s="350">
        <v>13325105.571858825</v>
      </c>
      <c r="AO656" s="350">
        <v>20405505.321749572</v>
      </c>
      <c r="AP656" s="350">
        <v>27310649.514743939</v>
      </c>
      <c r="AQ656" s="350">
        <v>34038794.611666799</v>
      </c>
      <c r="AR656" s="348">
        <v>101153502.82366815</v>
      </c>
      <c r="AS656" s="369"/>
      <c r="AT656" s="350">
        <f t="shared" si="267"/>
        <v>1192996.2675390793</v>
      </c>
      <c r="AU656" s="350">
        <f t="shared" ref="AU656:AU719" si="274">AN656-AG656</f>
        <v>3525875.4715213738</v>
      </c>
      <c r="AV656" s="350">
        <f t="shared" ref="AV656:AV719" si="275">AO656-AH656</f>
        <v>5650271.0780321658</v>
      </c>
      <c r="AW656" s="350">
        <f t="shared" ref="AW656:AW719" si="276">AP656-AI656</f>
        <v>7562021.2215298489</v>
      </c>
      <c r="AX656" s="350">
        <f t="shared" ref="AX656:AX719" si="277">AQ656-AJ656</f>
        <v>9258662.2451965287</v>
      </c>
      <c r="AY656" s="350">
        <f t="shared" ref="AY656:AY719" si="278">AR656-AK656</f>
        <v>27189826.283819005</v>
      </c>
      <c r="AZ656" s="365"/>
      <c r="BA656" s="377">
        <f t="shared" ref="BA656:BA719" si="279">IF(AT656&lt;AT$8,1,0)</f>
        <v>0</v>
      </c>
      <c r="BB656" s="377">
        <f t="shared" ref="BB656:BB719" si="280">IF(AU656&lt;AU$8,1,0)</f>
        <v>0</v>
      </c>
      <c r="BC656" s="377">
        <f t="shared" ref="BC656:BC719" si="281">IF(AV656&lt;AV$8,1,0)</f>
        <v>0</v>
      </c>
      <c r="BD656" s="377">
        <f t="shared" ref="BD656:BD719" si="282">IF(AW656&lt;AW$8,1,0)</f>
        <v>0</v>
      </c>
      <c r="BE656" s="377">
        <f t="shared" ref="BE656:BE719" si="283">IF(AX656&lt;AX$8,1,0)</f>
        <v>0</v>
      </c>
      <c r="BF656" s="377">
        <f t="shared" ref="BF656:BF719" si="284">IF(AY656&lt;AY$8,1,0)</f>
        <v>0</v>
      </c>
      <c r="BG656" s="328"/>
    </row>
    <row r="657" spans="2:59">
      <c r="B657" s="332">
        <v>642</v>
      </c>
      <c r="C657" s="350">
        <v>8347235.5189443901</v>
      </c>
      <c r="D657" s="350">
        <v>15700246.035133755</v>
      </c>
      <c r="E657" s="350">
        <v>23108602.365283892</v>
      </c>
      <c r="F657" s="350">
        <v>30572824.741272278</v>
      </c>
      <c r="G657" s="350">
        <v>38094109.126533531</v>
      </c>
      <c r="H657" s="348">
        <v>115823017.78716785</v>
      </c>
      <c r="I657" s="369"/>
      <c r="J657" s="350">
        <v>9227455.7962624822</v>
      </c>
      <c r="K657" s="350">
        <v>18292582.653177228</v>
      </c>
      <c r="L657" s="350">
        <v>27108180.928674288</v>
      </c>
      <c r="M657" s="350">
        <v>35667551.789867103</v>
      </c>
      <c r="N657" s="350">
        <v>43965989.78255409</v>
      </c>
      <c r="O657" s="348">
        <v>134261760.95053518</v>
      </c>
      <c r="P657" s="369"/>
      <c r="Q657" s="350">
        <f t="shared" ref="Q657:Q720" si="285">J657-C657</f>
        <v>880220.27731809206</v>
      </c>
      <c r="R657" s="350">
        <f t="shared" ref="R657:R720" si="286">K657-D657</f>
        <v>2592336.618043473</v>
      </c>
      <c r="S657" s="350">
        <f t="shared" ref="S657:S720" si="287">L657-E657</f>
        <v>3999578.5633903965</v>
      </c>
      <c r="T657" s="350">
        <f t="shared" ref="T657:T720" si="288">M657-F657</f>
        <v>5094727.048594825</v>
      </c>
      <c r="U657" s="350">
        <f t="shared" ref="U657:U720" si="289">N657-G657</f>
        <v>5871880.6560205594</v>
      </c>
      <c r="V657" s="350">
        <f t="shared" ref="V657:V720" si="290">O657-H657</f>
        <v>18438743.163367331</v>
      </c>
      <c r="W657" s="365"/>
      <c r="X657" s="377">
        <f t="shared" si="268"/>
        <v>0</v>
      </c>
      <c r="Y657" s="377">
        <f t="shared" si="269"/>
        <v>0</v>
      </c>
      <c r="Z657" s="377">
        <f t="shared" si="270"/>
        <v>0</v>
      </c>
      <c r="AA657" s="377">
        <f t="shared" si="271"/>
        <v>0</v>
      </c>
      <c r="AB657" s="377">
        <f t="shared" si="272"/>
        <v>0</v>
      </c>
      <c r="AC657" s="377">
        <f t="shared" si="273"/>
        <v>0</v>
      </c>
      <c r="AD657" s="376"/>
      <c r="AE657" s="332">
        <v>642</v>
      </c>
      <c r="AF657" s="350">
        <v>5711873.1674038069</v>
      </c>
      <c r="AG657" s="350">
        <v>11468602.660471626</v>
      </c>
      <c r="AH657" s="350">
        <v>17268899.390121683</v>
      </c>
      <c r="AI657" s="350">
        <v>23112955.677652758</v>
      </c>
      <c r="AJ657" s="350">
        <v>29001614.318164982</v>
      </c>
      <c r="AK657" s="348">
        <v>86563945.213814855</v>
      </c>
      <c r="AL657" s="369"/>
      <c r="AM657" s="350">
        <v>6850090.782678497</v>
      </c>
      <c r="AN657" s="350">
        <v>14829942.181316387</v>
      </c>
      <c r="AO657" s="350">
        <v>22601632.853100508</v>
      </c>
      <c r="AP657" s="350">
        <v>30160557.22476906</v>
      </c>
      <c r="AQ657" s="350">
        <v>37504413.423890688</v>
      </c>
      <c r="AR657" s="348">
        <v>111946636.46575513</v>
      </c>
      <c r="AS657" s="369"/>
      <c r="AT657" s="350">
        <f t="shared" ref="AT657:AT720" si="291">AM657-AF657</f>
        <v>1138217.6152746901</v>
      </c>
      <c r="AU657" s="350">
        <f t="shared" si="274"/>
        <v>3361339.5208447613</v>
      </c>
      <c r="AV657" s="350">
        <f t="shared" si="275"/>
        <v>5332733.462978825</v>
      </c>
      <c r="AW657" s="350">
        <f t="shared" si="276"/>
        <v>7047601.547116302</v>
      </c>
      <c r="AX657" s="350">
        <f t="shared" si="277"/>
        <v>8502799.1057257056</v>
      </c>
      <c r="AY657" s="350">
        <f t="shared" si="278"/>
        <v>25382691.25194028</v>
      </c>
      <c r="AZ657" s="365"/>
      <c r="BA657" s="377">
        <f t="shared" si="279"/>
        <v>0</v>
      </c>
      <c r="BB657" s="377">
        <f t="shared" si="280"/>
        <v>0</v>
      </c>
      <c r="BC657" s="377">
        <f t="shared" si="281"/>
        <v>0</v>
      </c>
      <c r="BD657" s="377">
        <f t="shared" si="282"/>
        <v>0</v>
      </c>
      <c r="BE657" s="377">
        <f t="shared" si="283"/>
        <v>0</v>
      </c>
      <c r="BF657" s="377">
        <f t="shared" si="284"/>
        <v>0</v>
      </c>
      <c r="BG657" s="328"/>
    </row>
    <row r="658" spans="2:59">
      <c r="B658" s="332">
        <v>643</v>
      </c>
      <c r="C658" s="350">
        <v>8473403.9564777277</v>
      </c>
      <c r="D658" s="350">
        <v>16002056.913278444</v>
      </c>
      <c r="E658" s="350">
        <v>23587398.778901998</v>
      </c>
      <c r="F658" s="350">
        <v>31229943.091404103</v>
      </c>
      <c r="G658" s="350">
        <v>38930906.063003927</v>
      </c>
      <c r="H658" s="348">
        <v>118223708.80306619</v>
      </c>
      <c r="I658" s="369"/>
      <c r="J658" s="350">
        <v>9969793.5343210753</v>
      </c>
      <c r="K658" s="350">
        <v>20421366.464316331</v>
      </c>
      <c r="L658" s="350">
        <v>30633403.156028446</v>
      </c>
      <c r="M658" s="350">
        <v>40598958.536674485</v>
      </c>
      <c r="N658" s="350">
        <v>50313913.76815898</v>
      </c>
      <c r="O658" s="348">
        <v>151937435.45949933</v>
      </c>
      <c r="P658" s="369"/>
      <c r="Q658" s="350">
        <f t="shared" si="285"/>
        <v>1496389.5778433476</v>
      </c>
      <c r="R658" s="350">
        <f t="shared" si="286"/>
        <v>4419309.5510378871</v>
      </c>
      <c r="S658" s="350">
        <f t="shared" si="287"/>
        <v>7046004.3771264479</v>
      </c>
      <c r="T658" s="350">
        <f t="shared" si="288"/>
        <v>9369015.4452703819</v>
      </c>
      <c r="U658" s="350">
        <f t="shared" si="289"/>
        <v>11383007.705155052</v>
      </c>
      <c r="V658" s="350">
        <f t="shared" si="290"/>
        <v>33713726.656433135</v>
      </c>
      <c r="W658" s="365"/>
      <c r="X658" s="377">
        <f t="shared" si="268"/>
        <v>0</v>
      </c>
      <c r="Y658" s="377">
        <f t="shared" si="269"/>
        <v>0</v>
      </c>
      <c r="Z658" s="377">
        <f t="shared" si="270"/>
        <v>0</v>
      </c>
      <c r="AA658" s="377">
        <f t="shared" si="271"/>
        <v>0</v>
      </c>
      <c r="AB658" s="377">
        <f t="shared" si="272"/>
        <v>0</v>
      </c>
      <c r="AC658" s="377">
        <f t="shared" si="273"/>
        <v>0</v>
      </c>
      <c r="AD658" s="376"/>
      <c r="AE658" s="332">
        <v>643</v>
      </c>
      <c r="AF658" s="350">
        <v>6439656.2351745684</v>
      </c>
      <c r="AG658" s="350">
        <v>12929884.202035638</v>
      </c>
      <c r="AH658" s="350">
        <v>19469230.561144494</v>
      </c>
      <c r="AI658" s="350">
        <v>26057912.138578068</v>
      </c>
      <c r="AJ658" s="350">
        <v>32696879.114874776</v>
      </c>
      <c r="AK658" s="348">
        <v>97593562.251807556</v>
      </c>
      <c r="AL658" s="369"/>
      <c r="AM658" s="350">
        <v>7553089.7320584515</v>
      </c>
      <c r="AN658" s="350">
        <v>16215901.848040808</v>
      </c>
      <c r="AO658" s="350">
        <v>24638944.370253768</v>
      </c>
      <c r="AP658" s="350">
        <v>32817072.931357138</v>
      </c>
      <c r="AQ658" s="350">
        <v>40747520.385133736</v>
      </c>
      <c r="AR658" s="348">
        <v>121972529.26684391</v>
      </c>
      <c r="AS658" s="369"/>
      <c r="AT658" s="350">
        <f t="shared" si="291"/>
        <v>1113433.4968838831</v>
      </c>
      <c r="AU658" s="350">
        <f t="shared" si="274"/>
        <v>3286017.6460051704</v>
      </c>
      <c r="AV658" s="350">
        <f t="shared" si="275"/>
        <v>5169713.8091092743</v>
      </c>
      <c r="AW658" s="350">
        <f t="shared" si="276"/>
        <v>6759160.7927790694</v>
      </c>
      <c r="AX658" s="350">
        <f t="shared" si="277"/>
        <v>8050641.2702589594</v>
      </c>
      <c r="AY658" s="350">
        <f t="shared" si="278"/>
        <v>24378967.015036359</v>
      </c>
      <c r="AZ658" s="365"/>
      <c r="BA658" s="377">
        <f t="shared" si="279"/>
        <v>0</v>
      </c>
      <c r="BB658" s="377">
        <f t="shared" si="280"/>
        <v>0</v>
      </c>
      <c r="BC658" s="377">
        <f t="shared" si="281"/>
        <v>0</v>
      </c>
      <c r="BD658" s="377">
        <f t="shared" si="282"/>
        <v>0</v>
      </c>
      <c r="BE658" s="377">
        <f t="shared" si="283"/>
        <v>0</v>
      </c>
      <c r="BF658" s="377">
        <f t="shared" si="284"/>
        <v>0</v>
      </c>
      <c r="BG658" s="328"/>
    </row>
    <row r="659" spans="2:59">
      <c r="B659" s="332">
        <v>644</v>
      </c>
      <c r="C659" s="350">
        <v>5656685.5209397962</v>
      </c>
      <c r="D659" s="350">
        <v>10653846.627607398</v>
      </c>
      <c r="E659" s="350">
        <v>15688625.807864781</v>
      </c>
      <c r="F659" s="350">
        <v>20761372.395788558</v>
      </c>
      <c r="G659" s="350">
        <v>25872897.34124355</v>
      </c>
      <c r="H659" s="348">
        <v>78633427.693444088</v>
      </c>
      <c r="I659" s="369"/>
      <c r="J659" s="350">
        <v>6433928.6298455037</v>
      </c>
      <c r="K659" s="350">
        <v>12946616.162091989</v>
      </c>
      <c r="L659" s="350">
        <v>19296184.595350973</v>
      </c>
      <c r="M659" s="350">
        <v>25478002.212974958</v>
      </c>
      <c r="N659" s="350">
        <v>31489024.989760481</v>
      </c>
      <c r="O659" s="348">
        <v>95643756.590023905</v>
      </c>
      <c r="P659" s="369"/>
      <c r="Q659" s="350">
        <f t="shared" si="285"/>
        <v>777243.10890570749</v>
      </c>
      <c r="R659" s="350">
        <f t="shared" si="286"/>
        <v>2292769.5344845913</v>
      </c>
      <c r="S659" s="350">
        <f t="shared" si="287"/>
        <v>3607558.7874861918</v>
      </c>
      <c r="T659" s="350">
        <f t="shared" si="288"/>
        <v>4716629.8171864003</v>
      </c>
      <c r="U659" s="350">
        <f t="shared" si="289"/>
        <v>5616127.6485169306</v>
      </c>
      <c r="V659" s="350">
        <f t="shared" si="290"/>
        <v>17010328.896579817</v>
      </c>
      <c r="W659" s="365"/>
      <c r="X659" s="377">
        <f t="shared" si="268"/>
        <v>0</v>
      </c>
      <c r="Y659" s="377">
        <f t="shared" si="269"/>
        <v>0</v>
      </c>
      <c r="Z659" s="377">
        <f t="shared" si="270"/>
        <v>0</v>
      </c>
      <c r="AA659" s="377">
        <f t="shared" si="271"/>
        <v>0</v>
      </c>
      <c r="AB659" s="377">
        <f t="shared" si="272"/>
        <v>0</v>
      </c>
      <c r="AC659" s="377">
        <f t="shared" si="273"/>
        <v>0</v>
      </c>
      <c r="AD659" s="376"/>
      <c r="AE659" s="332">
        <v>644</v>
      </c>
      <c r="AF659" s="350">
        <v>6749027.8934159763</v>
      </c>
      <c r="AG659" s="350">
        <v>13551057.067537941</v>
      </c>
      <c r="AH659" s="350">
        <v>20404564.362114429</v>
      </c>
      <c r="AI659" s="350">
        <v>27309777.019903101</v>
      </c>
      <c r="AJ659" s="350">
        <v>34267690.86967545</v>
      </c>
      <c r="AK659" s="348">
        <v>102282117.2126469</v>
      </c>
      <c r="AL659" s="369"/>
      <c r="AM659" s="350">
        <v>7778250.3989582565</v>
      </c>
      <c r="AN659" s="350">
        <v>16586556.213045698</v>
      </c>
      <c r="AO659" s="350">
        <v>25139449.285163138</v>
      </c>
      <c r="AP659" s="350">
        <v>33431577.051397301</v>
      </c>
      <c r="AQ659" s="350">
        <v>41459899.967272833</v>
      </c>
      <c r="AR659" s="348">
        <v>124395732.91583721</v>
      </c>
      <c r="AS659" s="369"/>
      <c r="AT659" s="350">
        <f t="shared" si="291"/>
        <v>1029222.5055422802</v>
      </c>
      <c r="AU659" s="350">
        <f t="shared" si="274"/>
        <v>3035499.1455077566</v>
      </c>
      <c r="AV659" s="350">
        <f t="shared" si="275"/>
        <v>4734884.9230487086</v>
      </c>
      <c r="AW659" s="350">
        <f t="shared" si="276"/>
        <v>6121800.0314942002</v>
      </c>
      <c r="AX659" s="350">
        <f t="shared" si="277"/>
        <v>7192209.097597383</v>
      </c>
      <c r="AY659" s="350">
        <f t="shared" si="278"/>
        <v>22113615.703190312</v>
      </c>
      <c r="AZ659" s="365"/>
      <c r="BA659" s="377">
        <f t="shared" si="279"/>
        <v>0</v>
      </c>
      <c r="BB659" s="377">
        <f t="shared" si="280"/>
        <v>0</v>
      </c>
      <c r="BC659" s="377">
        <f t="shared" si="281"/>
        <v>0</v>
      </c>
      <c r="BD659" s="377">
        <f t="shared" si="282"/>
        <v>0</v>
      </c>
      <c r="BE659" s="377">
        <f t="shared" si="283"/>
        <v>0</v>
      </c>
      <c r="BF659" s="377">
        <f t="shared" si="284"/>
        <v>0</v>
      </c>
      <c r="BG659" s="328"/>
    </row>
    <row r="660" spans="2:59">
      <c r="B660" s="332">
        <v>645</v>
      </c>
      <c r="C660" s="350">
        <v>7543737.3640083382</v>
      </c>
      <c r="D660" s="350">
        <v>14061518.302614991</v>
      </c>
      <c r="E660" s="350">
        <v>20628316.74495396</v>
      </c>
      <c r="F660" s="350">
        <v>27244631.606017843</v>
      </c>
      <c r="G660" s="350">
        <v>33911539.435982741</v>
      </c>
      <c r="H660" s="348">
        <v>103389743.45357788</v>
      </c>
      <c r="I660" s="369"/>
      <c r="J660" s="350">
        <v>8718883.0716887936</v>
      </c>
      <c r="K660" s="350">
        <v>17530616.861501731</v>
      </c>
      <c r="L660" s="350">
        <v>26136090.38472338</v>
      </c>
      <c r="M660" s="350">
        <v>34529202.808316991</v>
      </c>
      <c r="N660" s="350">
        <v>42706106.301015183</v>
      </c>
      <c r="O660" s="348">
        <v>129620899.42724608</v>
      </c>
      <c r="P660" s="369"/>
      <c r="Q660" s="350">
        <f t="shared" si="285"/>
        <v>1175145.7076804554</v>
      </c>
      <c r="R660" s="350">
        <f t="shared" si="286"/>
        <v>3469098.5588867404</v>
      </c>
      <c r="S660" s="350">
        <f t="shared" si="287"/>
        <v>5507773.63976942</v>
      </c>
      <c r="T660" s="350">
        <f t="shared" si="288"/>
        <v>7284571.2022991478</v>
      </c>
      <c r="U660" s="350">
        <f t="shared" si="289"/>
        <v>8794566.8650324419</v>
      </c>
      <c r="V660" s="350">
        <f t="shared" si="290"/>
        <v>26231155.973668203</v>
      </c>
      <c r="W660" s="365"/>
      <c r="X660" s="377">
        <f t="shared" si="268"/>
        <v>0</v>
      </c>
      <c r="Y660" s="377">
        <f t="shared" si="269"/>
        <v>0</v>
      </c>
      <c r="Z660" s="377">
        <f t="shared" si="270"/>
        <v>0</v>
      </c>
      <c r="AA660" s="377">
        <f t="shared" si="271"/>
        <v>0</v>
      </c>
      <c r="AB660" s="377">
        <f t="shared" si="272"/>
        <v>0</v>
      </c>
      <c r="AC660" s="377">
        <f t="shared" si="273"/>
        <v>0</v>
      </c>
      <c r="AD660" s="376"/>
      <c r="AE660" s="332">
        <v>645</v>
      </c>
      <c r="AF660" s="350">
        <v>5921876.0006154906</v>
      </c>
      <c r="AG660" s="350">
        <v>11890257.515383748</v>
      </c>
      <c r="AH660" s="350">
        <v>17903808.060550272</v>
      </c>
      <c r="AI660" s="350">
        <v>23962727.028302222</v>
      </c>
      <c r="AJ660" s="350">
        <v>30067888.199959785</v>
      </c>
      <c r="AK660" s="348">
        <v>89746556.804811522</v>
      </c>
      <c r="AL660" s="369"/>
      <c r="AM660" s="350">
        <v>6802730.9276886694</v>
      </c>
      <c r="AN660" s="350">
        <v>14487809.871745549</v>
      </c>
      <c r="AO660" s="350">
        <v>21948113.401479825</v>
      </c>
      <c r="AP660" s="350">
        <v>29178951.242844012</v>
      </c>
      <c r="AQ660" s="350">
        <v>36177633.862714455</v>
      </c>
      <c r="AR660" s="348">
        <v>108595239.30647251</v>
      </c>
      <c r="AS660" s="369"/>
      <c r="AT660" s="350">
        <f t="shared" si="291"/>
        <v>880854.92707317881</v>
      </c>
      <c r="AU660" s="350">
        <f t="shared" si="274"/>
        <v>2597552.3563618008</v>
      </c>
      <c r="AV660" s="350">
        <f t="shared" si="275"/>
        <v>4044305.3409295529</v>
      </c>
      <c r="AW660" s="350">
        <f t="shared" si="276"/>
        <v>5216224.2145417891</v>
      </c>
      <c r="AX660" s="350">
        <f t="shared" si="277"/>
        <v>6109745.6627546698</v>
      </c>
      <c r="AY660" s="350">
        <f t="shared" si="278"/>
        <v>18848682.501660988</v>
      </c>
      <c r="AZ660" s="365"/>
      <c r="BA660" s="377">
        <f t="shared" si="279"/>
        <v>0</v>
      </c>
      <c r="BB660" s="377">
        <f t="shared" si="280"/>
        <v>0</v>
      </c>
      <c r="BC660" s="377">
        <f t="shared" si="281"/>
        <v>0</v>
      </c>
      <c r="BD660" s="377">
        <f t="shared" si="282"/>
        <v>0</v>
      </c>
      <c r="BE660" s="377">
        <f t="shared" si="283"/>
        <v>0</v>
      </c>
      <c r="BF660" s="377">
        <f t="shared" si="284"/>
        <v>0</v>
      </c>
      <c r="BG660" s="328"/>
    </row>
    <row r="661" spans="2:59">
      <c r="B661" s="332">
        <v>646</v>
      </c>
      <c r="C661" s="350">
        <v>9369925.9251690488</v>
      </c>
      <c r="D661" s="350">
        <v>17657621.657214019</v>
      </c>
      <c r="E661" s="350">
        <v>26007709.569049232</v>
      </c>
      <c r="F661" s="350">
        <v>34420766.001084648</v>
      </c>
      <c r="G661" s="350">
        <v>42898134.582601756</v>
      </c>
      <c r="H661" s="348">
        <v>130354157.7351187</v>
      </c>
      <c r="I661" s="369"/>
      <c r="J661" s="350">
        <v>10595384.217261292</v>
      </c>
      <c r="K661" s="350">
        <v>21271546.994597785</v>
      </c>
      <c r="L661" s="350">
        <v>31670591.453600533</v>
      </c>
      <c r="M661" s="350">
        <v>41785023.268650278</v>
      </c>
      <c r="N661" s="350">
        <v>51609907.617188513</v>
      </c>
      <c r="O661" s="348">
        <v>156932453.55129841</v>
      </c>
      <c r="P661" s="369"/>
      <c r="Q661" s="350">
        <f t="shared" si="285"/>
        <v>1225458.2920922432</v>
      </c>
      <c r="R661" s="350">
        <f t="shared" si="286"/>
        <v>3613925.3373837657</v>
      </c>
      <c r="S661" s="350">
        <f t="shared" si="287"/>
        <v>5662881.8845513016</v>
      </c>
      <c r="T661" s="350">
        <f t="shared" si="288"/>
        <v>7364257.2675656304</v>
      </c>
      <c r="U661" s="350">
        <f t="shared" si="289"/>
        <v>8711773.0345867574</v>
      </c>
      <c r="V661" s="350">
        <f t="shared" si="290"/>
        <v>26578295.816179708</v>
      </c>
      <c r="W661" s="365"/>
      <c r="X661" s="377">
        <f t="shared" si="268"/>
        <v>0</v>
      </c>
      <c r="Y661" s="377">
        <f t="shared" si="269"/>
        <v>0</v>
      </c>
      <c r="Z661" s="377">
        <f t="shared" si="270"/>
        <v>0</v>
      </c>
      <c r="AA661" s="377">
        <f t="shared" si="271"/>
        <v>0</v>
      </c>
      <c r="AB661" s="377">
        <f t="shared" si="272"/>
        <v>0</v>
      </c>
      <c r="AC661" s="377">
        <f t="shared" si="273"/>
        <v>0</v>
      </c>
      <c r="AD661" s="376"/>
      <c r="AE661" s="332">
        <v>646</v>
      </c>
      <c r="AF661" s="350">
        <v>6403343.6013695784</v>
      </c>
      <c r="AG661" s="350">
        <v>12856973.765046028</v>
      </c>
      <c r="AH661" s="350">
        <v>19359445.346839093</v>
      </c>
      <c r="AI661" s="350">
        <v>25910973.950163245</v>
      </c>
      <c r="AJ661" s="350">
        <v>32512504.397575557</v>
      </c>
      <c r="AK661" s="348">
        <v>97043241.060993493</v>
      </c>
      <c r="AL661" s="369"/>
      <c r="AM661" s="350">
        <v>7197714.6499889363</v>
      </c>
      <c r="AN661" s="350">
        <v>15196836.665323664</v>
      </c>
      <c r="AO661" s="350">
        <v>22948173.149339624</v>
      </c>
      <c r="AP661" s="350">
        <v>30446697.21020332</v>
      </c>
      <c r="AQ661" s="350">
        <v>37689340.528620414</v>
      </c>
      <c r="AR661" s="348">
        <v>113478762.20347595</v>
      </c>
      <c r="AS661" s="369"/>
      <c r="AT661" s="350">
        <f t="shared" si="291"/>
        <v>794371.04861935787</v>
      </c>
      <c r="AU661" s="350">
        <f t="shared" si="274"/>
        <v>2339862.9002776351</v>
      </c>
      <c r="AV661" s="350">
        <f t="shared" si="275"/>
        <v>3588727.8025005311</v>
      </c>
      <c r="AW661" s="350">
        <f t="shared" si="276"/>
        <v>4535723.2600400746</v>
      </c>
      <c r="AX661" s="350">
        <f t="shared" si="277"/>
        <v>5176836.1310448572</v>
      </c>
      <c r="AY661" s="350">
        <f t="shared" si="278"/>
        <v>16435521.14248246</v>
      </c>
      <c r="AZ661" s="365"/>
      <c r="BA661" s="377">
        <f t="shared" si="279"/>
        <v>0</v>
      </c>
      <c r="BB661" s="377">
        <f t="shared" si="280"/>
        <v>0</v>
      </c>
      <c r="BC661" s="377">
        <f t="shared" si="281"/>
        <v>0</v>
      </c>
      <c r="BD661" s="377">
        <f t="shared" si="282"/>
        <v>0</v>
      </c>
      <c r="BE661" s="377">
        <f t="shared" si="283"/>
        <v>0</v>
      </c>
      <c r="BF661" s="377">
        <f t="shared" si="284"/>
        <v>0</v>
      </c>
      <c r="BG661" s="328"/>
    </row>
    <row r="662" spans="2:59">
      <c r="B662" s="332">
        <v>647</v>
      </c>
      <c r="C662" s="350">
        <v>8589299.5354557578</v>
      </c>
      <c r="D662" s="350">
        <v>16193630.541669682</v>
      </c>
      <c r="E662" s="350">
        <v>23855211.465943947</v>
      </c>
      <c r="F662" s="350">
        <v>31574569.030525528</v>
      </c>
      <c r="G662" s="350">
        <v>39352935.163405851</v>
      </c>
      <c r="H662" s="348">
        <v>119565645.73700076</v>
      </c>
      <c r="I662" s="369"/>
      <c r="J662" s="350">
        <v>9610158.3606945183</v>
      </c>
      <c r="K662" s="350">
        <v>19202457.959794857</v>
      </c>
      <c r="L662" s="350">
        <v>28538012.793653928</v>
      </c>
      <c r="M662" s="350">
        <v>37609948.772078633</v>
      </c>
      <c r="N662" s="350">
        <v>46413606.315923214</v>
      </c>
      <c r="O662" s="348">
        <v>141374184.20214516</v>
      </c>
      <c r="P662" s="369"/>
      <c r="Q662" s="350">
        <f t="shared" si="285"/>
        <v>1020858.8252387606</v>
      </c>
      <c r="R662" s="350">
        <f t="shared" si="286"/>
        <v>3008827.4181251749</v>
      </c>
      <c r="S662" s="350">
        <f t="shared" si="287"/>
        <v>4682801.3277099803</v>
      </c>
      <c r="T662" s="350">
        <f t="shared" si="288"/>
        <v>6035379.7415531054</v>
      </c>
      <c r="U662" s="350">
        <f t="shared" si="289"/>
        <v>7060671.1525173634</v>
      </c>
      <c r="V662" s="350">
        <f t="shared" si="290"/>
        <v>21808538.465144396</v>
      </c>
      <c r="W662" s="365"/>
      <c r="X662" s="377">
        <f t="shared" si="268"/>
        <v>0</v>
      </c>
      <c r="Y662" s="377">
        <f t="shared" si="269"/>
        <v>0</v>
      </c>
      <c r="Z662" s="377">
        <f t="shared" si="270"/>
        <v>0</v>
      </c>
      <c r="AA662" s="377">
        <f t="shared" si="271"/>
        <v>0</v>
      </c>
      <c r="AB662" s="377">
        <f t="shared" si="272"/>
        <v>0</v>
      </c>
      <c r="AC662" s="377">
        <f t="shared" si="273"/>
        <v>0</v>
      </c>
      <c r="AD662" s="376"/>
      <c r="AE662" s="332">
        <v>647</v>
      </c>
      <c r="AF662" s="350">
        <v>4650621.3679342996</v>
      </c>
      <c r="AG662" s="350">
        <v>9337764.8680144176</v>
      </c>
      <c r="AH662" s="350">
        <v>14060380.920697328</v>
      </c>
      <c r="AI662" s="350">
        <v>18818626.114463795</v>
      </c>
      <c r="AJ662" s="350">
        <v>23613186.655184746</v>
      </c>
      <c r="AK662" s="348">
        <v>70480579.92629458</v>
      </c>
      <c r="AL662" s="369"/>
      <c r="AM662" s="350">
        <v>5387405.969304895</v>
      </c>
      <c r="AN662" s="350">
        <v>11511225.08187627</v>
      </c>
      <c r="AO662" s="350">
        <v>17459869.999180205</v>
      </c>
      <c r="AP662" s="350">
        <v>23229644.578314126</v>
      </c>
      <c r="AQ662" s="350">
        <v>28818482.249106631</v>
      </c>
      <c r="AR662" s="348">
        <v>86406627.877782136</v>
      </c>
      <c r="AS662" s="369"/>
      <c r="AT662" s="350">
        <f t="shared" si="291"/>
        <v>736784.6013705954</v>
      </c>
      <c r="AU662" s="350">
        <f t="shared" si="274"/>
        <v>2173460.2138618529</v>
      </c>
      <c r="AV662" s="350">
        <f t="shared" si="275"/>
        <v>3399489.0784828775</v>
      </c>
      <c r="AW662" s="350">
        <f t="shared" si="276"/>
        <v>4411018.4638503306</v>
      </c>
      <c r="AX662" s="350">
        <f t="shared" si="277"/>
        <v>5205295.5939218849</v>
      </c>
      <c r="AY662" s="350">
        <f t="shared" si="278"/>
        <v>15926047.951487556</v>
      </c>
      <c r="AZ662" s="365"/>
      <c r="BA662" s="377">
        <f t="shared" si="279"/>
        <v>0</v>
      </c>
      <c r="BB662" s="377">
        <f t="shared" si="280"/>
        <v>0</v>
      </c>
      <c r="BC662" s="377">
        <f t="shared" si="281"/>
        <v>0</v>
      </c>
      <c r="BD662" s="377">
        <f t="shared" si="282"/>
        <v>0</v>
      </c>
      <c r="BE662" s="377">
        <f t="shared" si="283"/>
        <v>0</v>
      </c>
      <c r="BF662" s="377">
        <f t="shared" si="284"/>
        <v>0</v>
      </c>
      <c r="BG662" s="328"/>
    </row>
    <row r="663" spans="2:59">
      <c r="B663" s="332">
        <v>648</v>
      </c>
      <c r="C663" s="350">
        <v>5699272.4479160029</v>
      </c>
      <c r="D663" s="350">
        <v>10759337.427072596</v>
      </c>
      <c r="E663" s="350">
        <v>15857502.237082401</v>
      </c>
      <c r="F663" s="350">
        <v>20994113.136174083</v>
      </c>
      <c r="G663" s="350">
        <v>26169988.030794509</v>
      </c>
      <c r="H663" s="348">
        <v>79480213.279039592</v>
      </c>
      <c r="I663" s="369"/>
      <c r="J663" s="350">
        <v>6505736.5469795</v>
      </c>
      <c r="K663" s="350">
        <v>13138614.794639897</v>
      </c>
      <c r="L663" s="350">
        <v>19605996.130321089</v>
      </c>
      <c r="M663" s="350">
        <v>25903215.570033066</v>
      </c>
      <c r="N663" s="350">
        <v>32027246.655407462</v>
      </c>
      <c r="O663" s="348">
        <v>97180809.69738102</v>
      </c>
      <c r="P663" s="369"/>
      <c r="Q663" s="350">
        <f t="shared" si="285"/>
        <v>806464.09906349704</v>
      </c>
      <c r="R663" s="350">
        <f t="shared" si="286"/>
        <v>2379277.3675673008</v>
      </c>
      <c r="S663" s="350">
        <f t="shared" si="287"/>
        <v>3748493.8932386879</v>
      </c>
      <c r="T663" s="350">
        <f t="shared" si="288"/>
        <v>4909102.4338589832</v>
      </c>
      <c r="U663" s="350">
        <f t="shared" si="289"/>
        <v>5857258.6246129535</v>
      </c>
      <c r="V663" s="350">
        <f t="shared" si="290"/>
        <v>17700596.418341428</v>
      </c>
      <c r="W663" s="365"/>
      <c r="X663" s="377">
        <f t="shared" si="268"/>
        <v>0</v>
      </c>
      <c r="Y663" s="377">
        <f t="shared" si="269"/>
        <v>0</v>
      </c>
      <c r="Z663" s="377">
        <f t="shared" si="270"/>
        <v>0</v>
      </c>
      <c r="AA663" s="377">
        <f t="shared" si="271"/>
        <v>0</v>
      </c>
      <c r="AB663" s="377">
        <f t="shared" si="272"/>
        <v>0</v>
      </c>
      <c r="AC663" s="377">
        <f t="shared" si="273"/>
        <v>0</v>
      </c>
      <c r="AD663" s="376"/>
      <c r="AE663" s="332">
        <v>648</v>
      </c>
      <c r="AF663" s="350">
        <v>5898218.1082513928</v>
      </c>
      <c r="AG663" s="350">
        <v>11842755.941144247</v>
      </c>
      <c r="AH663" s="350">
        <v>17832282.354176152</v>
      </c>
      <c r="AI663" s="350">
        <v>23866995.942962557</v>
      </c>
      <c r="AJ663" s="350">
        <v>29947766.998067603</v>
      </c>
      <c r="AK663" s="348">
        <v>89388019.344601959</v>
      </c>
      <c r="AL663" s="369"/>
      <c r="AM663" s="350">
        <v>7059750.4821913056</v>
      </c>
      <c r="AN663" s="350">
        <v>15272774.327345602</v>
      </c>
      <c r="AO663" s="350">
        <v>23270432.50954099</v>
      </c>
      <c r="AP663" s="350">
        <v>31047973.11107168</v>
      </c>
      <c r="AQ663" s="350">
        <v>38603005.167888716</v>
      </c>
      <c r="AR663" s="348">
        <v>115253935.59803829</v>
      </c>
      <c r="AS663" s="369"/>
      <c r="AT663" s="350">
        <f t="shared" si="291"/>
        <v>1161532.3739399128</v>
      </c>
      <c r="AU663" s="350">
        <f t="shared" si="274"/>
        <v>3430018.3862013556</v>
      </c>
      <c r="AV663" s="350">
        <f t="shared" si="275"/>
        <v>5438150.1553648375</v>
      </c>
      <c r="AW663" s="350">
        <f t="shared" si="276"/>
        <v>7180977.1681091227</v>
      </c>
      <c r="AX663" s="350">
        <f t="shared" si="277"/>
        <v>8655238.1698211133</v>
      </c>
      <c r="AY663" s="350">
        <f t="shared" si="278"/>
        <v>25865916.253436327</v>
      </c>
      <c r="AZ663" s="365"/>
      <c r="BA663" s="377">
        <f t="shared" si="279"/>
        <v>0</v>
      </c>
      <c r="BB663" s="377">
        <f t="shared" si="280"/>
        <v>0</v>
      </c>
      <c r="BC663" s="377">
        <f t="shared" si="281"/>
        <v>0</v>
      </c>
      <c r="BD663" s="377">
        <f t="shared" si="282"/>
        <v>0</v>
      </c>
      <c r="BE663" s="377">
        <f t="shared" si="283"/>
        <v>0</v>
      </c>
      <c r="BF663" s="377">
        <f t="shared" si="284"/>
        <v>0</v>
      </c>
      <c r="BG663" s="328"/>
    </row>
    <row r="664" spans="2:59">
      <c r="B664" s="332">
        <v>649</v>
      </c>
      <c r="C664" s="350">
        <v>8357198.1270542238</v>
      </c>
      <c r="D664" s="350">
        <v>15787784.59519447</v>
      </c>
      <c r="E664" s="350">
        <v>23274323.231796149</v>
      </c>
      <c r="F664" s="350">
        <v>30817319.362462867</v>
      </c>
      <c r="G664" s="350">
        <v>38417972.694563314</v>
      </c>
      <c r="H664" s="348">
        <v>116654598.01107103</v>
      </c>
      <c r="I664" s="369"/>
      <c r="J664" s="350">
        <v>9838080.3251515999</v>
      </c>
      <c r="K664" s="350">
        <v>20161348.968830444</v>
      </c>
      <c r="L664" s="350">
        <v>30251991.409542892</v>
      </c>
      <c r="M664" s="350">
        <v>40103007.426663741</v>
      </c>
      <c r="N664" s="350">
        <v>49710186.612157658</v>
      </c>
      <c r="O664" s="348">
        <v>150064614.74234635</v>
      </c>
      <c r="P664" s="369"/>
      <c r="Q664" s="350">
        <f t="shared" si="285"/>
        <v>1480882.1980973762</v>
      </c>
      <c r="R664" s="350">
        <f t="shared" si="286"/>
        <v>4373564.3736359738</v>
      </c>
      <c r="S664" s="350">
        <f t="shared" si="287"/>
        <v>6977668.177746743</v>
      </c>
      <c r="T664" s="350">
        <f t="shared" si="288"/>
        <v>9285688.0642008744</v>
      </c>
      <c r="U664" s="350">
        <f t="shared" si="289"/>
        <v>11292213.917594343</v>
      </c>
      <c r="V664" s="350">
        <f t="shared" si="290"/>
        <v>33410016.73127532</v>
      </c>
      <c r="W664" s="365"/>
      <c r="X664" s="377">
        <f t="shared" si="268"/>
        <v>0</v>
      </c>
      <c r="Y664" s="377">
        <f t="shared" si="269"/>
        <v>0</v>
      </c>
      <c r="Z664" s="377">
        <f t="shared" si="270"/>
        <v>0</v>
      </c>
      <c r="AA664" s="377">
        <f t="shared" si="271"/>
        <v>0</v>
      </c>
      <c r="AB664" s="377">
        <f t="shared" si="272"/>
        <v>0</v>
      </c>
      <c r="AC664" s="377">
        <f t="shared" si="273"/>
        <v>0</v>
      </c>
      <c r="AD664" s="376"/>
      <c r="AE664" s="332">
        <v>649</v>
      </c>
      <c r="AF664" s="350">
        <v>6880371.1772928573</v>
      </c>
      <c r="AG664" s="350">
        <v>13814775.096765496</v>
      </c>
      <c r="AH664" s="350">
        <v>20801658.955842778</v>
      </c>
      <c r="AI664" s="350">
        <v>27841254.419668891</v>
      </c>
      <c r="AJ664" s="350">
        <v>34934576.696905747</v>
      </c>
      <c r="AK664" s="348">
        <v>104272636.34647577</v>
      </c>
      <c r="AL664" s="369"/>
      <c r="AM664" s="350">
        <v>8052340.8519949093</v>
      </c>
      <c r="AN664" s="350">
        <v>17273292.069390591</v>
      </c>
      <c r="AO664" s="350">
        <v>26237535.365202866</v>
      </c>
      <c r="AP664" s="350">
        <v>34939579.299880572</v>
      </c>
      <c r="AQ664" s="350">
        <v>43376449.460127972</v>
      </c>
      <c r="AR664" s="348">
        <v>129879197.04659691</v>
      </c>
      <c r="AS664" s="369"/>
      <c r="AT664" s="350">
        <f t="shared" si="291"/>
        <v>1171969.674702052</v>
      </c>
      <c r="AU664" s="350">
        <f t="shared" si="274"/>
        <v>3458516.9726250954</v>
      </c>
      <c r="AV664" s="350">
        <f t="shared" si="275"/>
        <v>5435876.4093600884</v>
      </c>
      <c r="AW664" s="350">
        <f t="shared" si="276"/>
        <v>7098324.8802116811</v>
      </c>
      <c r="AX664" s="350">
        <f t="shared" si="277"/>
        <v>8441872.763222225</v>
      </c>
      <c r="AY664" s="350">
        <f t="shared" si="278"/>
        <v>25606560.700121149</v>
      </c>
      <c r="AZ664" s="365"/>
      <c r="BA664" s="377">
        <f t="shared" si="279"/>
        <v>0</v>
      </c>
      <c r="BB664" s="377">
        <f t="shared" si="280"/>
        <v>0</v>
      </c>
      <c r="BC664" s="377">
        <f t="shared" si="281"/>
        <v>0</v>
      </c>
      <c r="BD664" s="377">
        <f t="shared" si="282"/>
        <v>0</v>
      </c>
      <c r="BE664" s="377">
        <f t="shared" si="283"/>
        <v>0</v>
      </c>
      <c r="BF664" s="377">
        <f t="shared" si="284"/>
        <v>0</v>
      </c>
      <c r="BG664" s="328"/>
    </row>
    <row r="665" spans="2:59">
      <c r="B665" s="332">
        <v>650</v>
      </c>
      <c r="C665" s="350">
        <v>8457840.4402829409</v>
      </c>
      <c r="D665" s="350">
        <v>15863169.367652424</v>
      </c>
      <c r="E665" s="350">
        <v>23324223.191263855</v>
      </c>
      <c r="F665" s="350">
        <v>30841539.217583951</v>
      </c>
      <c r="G665" s="350">
        <v>38416327.738183804</v>
      </c>
      <c r="H665" s="348">
        <v>116903099.95496696</v>
      </c>
      <c r="I665" s="369"/>
      <c r="J665" s="350">
        <v>9526983.4988771994</v>
      </c>
      <c r="K665" s="350">
        <v>19015686.836326919</v>
      </c>
      <c r="L665" s="350">
        <v>28252767.172286041</v>
      </c>
      <c r="M665" s="350">
        <v>37231688.434871897</v>
      </c>
      <c r="N665" s="350">
        <v>45948160.47703816</v>
      </c>
      <c r="O665" s="348">
        <v>139975286.41940022</v>
      </c>
      <c r="P665" s="369"/>
      <c r="Q665" s="350">
        <f t="shared" si="285"/>
        <v>1069143.0585942585</v>
      </c>
      <c r="R665" s="350">
        <f t="shared" si="286"/>
        <v>3152517.4686744958</v>
      </c>
      <c r="S665" s="350">
        <f t="shared" si="287"/>
        <v>4928543.9810221866</v>
      </c>
      <c r="T665" s="350">
        <f t="shared" si="288"/>
        <v>6390149.2172879465</v>
      </c>
      <c r="U665" s="350">
        <f t="shared" si="289"/>
        <v>7531832.7388543561</v>
      </c>
      <c r="V665" s="350">
        <f t="shared" si="290"/>
        <v>23072186.464433253</v>
      </c>
      <c r="W665" s="365"/>
      <c r="X665" s="377">
        <f t="shared" si="268"/>
        <v>0</v>
      </c>
      <c r="Y665" s="377">
        <f t="shared" si="269"/>
        <v>0</v>
      </c>
      <c r="Z665" s="377">
        <f t="shared" si="270"/>
        <v>0</v>
      </c>
      <c r="AA665" s="377">
        <f t="shared" si="271"/>
        <v>0</v>
      </c>
      <c r="AB665" s="377">
        <f t="shared" si="272"/>
        <v>0</v>
      </c>
      <c r="AC665" s="377">
        <f t="shared" si="273"/>
        <v>0</v>
      </c>
      <c r="AD665" s="376"/>
      <c r="AE665" s="332">
        <v>650</v>
      </c>
      <c r="AF665" s="350">
        <v>6464781.601949078</v>
      </c>
      <c r="AG665" s="350">
        <v>12980332.249425743</v>
      </c>
      <c r="AH665" s="350">
        <v>19545192.932550952</v>
      </c>
      <c r="AI665" s="350">
        <v>26159581.32338386</v>
      </c>
      <c r="AJ665" s="350">
        <v>32824451.309746876</v>
      </c>
      <c r="AK665" s="348">
        <v>97974339.417056501</v>
      </c>
      <c r="AL665" s="369"/>
      <c r="AM665" s="350">
        <v>7533119.901465686</v>
      </c>
      <c r="AN665" s="350">
        <v>16132547.969046785</v>
      </c>
      <c r="AO665" s="350">
        <v>24489790.215967484</v>
      </c>
      <c r="AP665" s="350">
        <v>32599696.186608568</v>
      </c>
      <c r="AQ665" s="350">
        <v>40459437.867719762</v>
      </c>
      <c r="AR665" s="348">
        <v>121214592.14080828</v>
      </c>
      <c r="AS665" s="369"/>
      <c r="AT665" s="350">
        <f t="shared" si="291"/>
        <v>1068338.299516608</v>
      </c>
      <c r="AU665" s="350">
        <f t="shared" si="274"/>
        <v>3152215.7196210418</v>
      </c>
      <c r="AV665" s="350">
        <f t="shared" si="275"/>
        <v>4944597.283416532</v>
      </c>
      <c r="AW665" s="350">
        <f t="shared" si="276"/>
        <v>6440114.8632247075</v>
      </c>
      <c r="AX665" s="350">
        <f t="shared" si="277"/>
        <v>7634986.5579728857</v>
      </c>
      <c r="AY665" s="350">
        <f t="shared" si="278"/>
        <v>23240252.723751783</v>
      </c>
      <c r="AZ665" s="365"/>
      <c r="BA665" s="377">
        <f t="shared" si="279"/>
        <v>0</v>
      </c>
      <c r="BB665" s="377">
        <f t="shared" si="280"/>
        <v>0</v>
      </c>
      <c r="BC665" s="377">
        <f t="shared" si="281"/>
        <v>0</v>
      </c>
      <c r="BD665" s="377">
        <f t="shared" si="282"/>
        <v>0</v>
      </c>
      <c r="BE665" s="377">
        <f t="shared" si="283"/>
        <v>0</v>
      </c>
      <c r="BF665" s="377">
        <f t="shared" si="284"/>
        <v>0</v>
      </c>
      <c r="BG665" s="328"/>
    </row>
    <row r="666" spans="2:59">
      <c r="B666" s="332">
        <v>651</v>
      </c>
      <c r="C666" s="350">
        <v>6956202.3007541709</v>
      </c>
      <c r="D666" s="350">
        <v>13129976.345341202</v>
      </c>
      <c r="E666" s="350">
        <v>19350235.181171283</v>
      </c>
      <c r="F666" s="350">
        <v>25617401.938485973</v>
      </c>
      <c r="G666" s="350">
        <v>31932474.830875069</v>
      </c>
      <c r="H666" s="348">
        <v>96986290.596627697</v>
      </c>
      <c r="I666" s="369"/>
      <c r="J666" s="350">
        <v>8286739.9915755028</v>
      </c>
      <c r="K666" s="350">
        <v>17060761.947253138</v>
      </c>
      <c r="L666" s="350">
        <v>25643890.642452061</v>
      </c>
      <c r="M666" s="350">
        <v>34030312.807299957</v>
      </c>
      <c r="N666" s="350">
        <v>42216662.002254292</v>
      </c>
      <c r="O666" s="348">
        <v>127238367.39083494</v>
      </c>
      <c r="P666" s="369"/>
      <c r="Q666" s="350">
        <f t="shared" si="285"/>
        <v>1330537.6908213319</v>
      </c>
      <c r="R666" s="350">
        <f t="shared" si="286"/>
        <v>3930785.601911936</v>
      </c>
      <c r="S666" s="350">
        <f t="shared" si="287"/>
        <v>6293655.4612807781</v>
      </c>
      <c r="T666" s="350">
        <f t="shared" si="288"/>
        <v>8412910.8688139841</v>
      </c>
      <c r="U666" s="350">
        <f t="shared" si="289"/>
        <v>10284187.171379223</v>
      </c>
      <c r="V666" s="350">
        <f t="shared" si="290"/>
        <v>30252076.794207245</v>
      </c>
      <c r="W666" s="365"/>
      <c r="X666" s="377">
        <f t="shared" si="268"/>
        <v>0</v>
      </c>
      <c r="Y666" s="377">
        <f t="shared" si="269"/>
        <v>0</v>
      </c>
      <c r="Z666" s="377">
        <f t="shared" si="270"/>
        <v>0</v>
      </c>
      <c r="AA666" s="377">
        <f t="shared" si="271"/>
        <v>0</v>
      </c>
      <c r="AB666" s="377">
        <f t="shared" si="272"/>
        <v>0</v>
      </c>
      <c r="AC666" s="377">
        <f t="shared" si="273"/>
        <v>0</v>
      </c>
      <c r="AD666" s="376"/>
      <c r="AE666" s="332">
        <v>651</v>
      </c>
      <c r="AF666" s="350">
        <v>6916559.0284187775</v>
      </c>
      <c r="AG666" s="350">
        <v>13887434.988457054</v>
      </c>
      <c r="AH666" s="350">
        <v>20911066.910452925</v>
      </c>
      <c r="AI666" s="350">
        <v>27987687.67801154</v>
      </c>
      <c r="AJ666" s="350">
        <v>35118317.839364298</v>
      </c>
      <c r="AK666" s="348">
        <v>104821066.44470459</v>
      </c>
      <c r="AL666" s="369"/>
      <c r="AM666" s="350">
        <v>8155174.8850940326</v>
      </c>
      <c r="AN666" s="350">
        <v>17543514.496211208</v>
      </c>
      <c r="AO666" s="350">
        <v>26675607.468764216</v>
      </c>
      <c r="AP666" s="350">
        <v>35545916.373959631</v>
      </c>
      <c r="AQ666" s="350">
        <v>44151512.408546172</v>
      </c>
      <c r="AR666" s="348">
        <v>132071725.63257527</v>
      </c>
      <c r="AS666" s="369"/>
      <c r="AT666" s="350">
        <f t="shared" si="291"/>
        <v>1238615.8566752551</v>
      </c>
      <c r="AU666" s="350">
        <f t="shared" si="274"/>
        <v>3656079.5077541545</v>
      </c>
      <c r="AV666" s="350">
        <f t="shared" si="275"/>
        <v>5764540.558311291</v>
      </c>
      <c r="AW666" s="350">
        <f t="shared" si="276"/>
        <v>7558228.6959480904</v>
      </c>
      <c r="AX666" s="350">
        <f t="shared" si="277"/>
        <v>9033194.5691818744</v>
      </c>
      <c r="AY666" s="350">
        <f t="shared" si="278"/>
        <v>27250659.187870681</v>
      </c>
      <c r="AZ666" s="365"/>
      <c r="BA666" s="377">
        <f t="shared" si="279"/>
        <v>0</v>
      </c>
      <c r="BB666" s="377">
        <f t="shared" si="280"/>
        <v>0</v>
      </c>
      <c r="BC666" s="377">
        <f t="shared" si="281"/>
        <v>0</v>
      </c>
      <c r="BD666" s="377">
        <f t="shared" si="282"/>
        <v>0</v>
      </c>
      <c r="BE666" s="377">
        <f t="shared" si="283"/>
        <v>0</v>
      </c>
      <c r="BF666" s="377">
        <f t="shared" si="284"/>
        <v>0</v>
      </c>
      <c r="BG666" s="328"/>
    </row>
    <row r="667" spans="2:59">
      <c r="B667" s="332">
        <v>652</v>
      </c>
      <c r="C667" s="350">
        <v>7503494.6258988129</v>
      </c>
      <c r="D667" s="350">
        <v>14138689.274598176</v>
      </c>
      <c r="E667" s="350">
        <v>20823835.061237417</v>
      </c>
      <c r="F667" s="350">
        <v>27559393.893660955</v>
      </c>
      <c r="G667" s="350">
        <v>34346441.70317442</v>
      </c>
      <c r="H667" s="348">
        <v>104371854.55856979</v>
      </c>
      <c r="I667" s="369"/>
      <c r="J667" s="350">
        <v>8838958.1273201089</v>
      </c>
      <c r="K667" s="350">
        <v>18082928.209757186</v>
      </c>
      <c r="L667" s="350">
        <v>27117523.982254472</v>
      </c>
      <c r="M667" s="350">
        <v>35936569.167582452</v>
      </c>
      <c r="N667" s="350">
        <v>44536392.534824103</v>
      </c>
      <c r="O667" s="348">
        <v>134512372.02173832</v>
      </c>
      <c r="P667" s="369"/>
      <c r="Q667" s="350">
        <f t="shared" si="285"/>
        <v>1335463.501421296</v>
      </c>
      <c r="R667" s="350">
        <f t="shared" si="286"/>
        <v>3944238.9351590108</v>
      </c>
      <c r="S667" s="350">
        <f t="shared" si="287"/>
        <v>6293688.9210170545</v>
      </c>
      <c r="T667" s="350">
        <f t="shared" si="288"/>
        <v>8377175.2739214972</v>
      </c>
      <c r="U667" s="350">
        <f t="shared" si="289"/>
        <v>10189950.831649683</v>
      </c>
      <c r="V667" s="350">
        <f t="shared" si="290"/>
        <v>30140517.463168532</v>
      </c>
      <c r="W667" s="365"/>
      <c r="X667" s="377">
        <f t="shared" si="268"/>
        <v>0</v>
      </c>
      <c r="Y667" s="377">
        <f t="shared" si="269"/>
        <v>0</v>
      </c>
      <c r="Z667" s="377">
        <f t="shared" si="270"/>
        <v>0</v>
      </c>
      <c r="AA667" s="377">
        <f t="shared" si="271"/>
        <v>0</v>
      </c>
      <c r="AB667" s="377">
        <f t="shared" si="272"/>
        <v>0</v>
      </c>
      <c r="AC667" s="377">
        <f t="shared" si="273"/>
        <v>0</v>
      </c>
      <c r="AD667" s="376"/>
      <c r="AE667" s="332">
        <v>652</v>
      </c>
      <c r="AF667" s="350">
        <v>5937011.9774374506</v>
      </c>
      <c r="AG667" s="350">
        <v>11920648.334465619</v>
      </c>
      <c r="AH667" s="350">
        <v>17949569.171353862</v>
      </c>
      <c r="AI667" s="350">
        <v>24023974.389924385</v>
      </c>
      <c r="AJ667" s="350">
        <v>30144740.004832517</v>
      </c>
      <c r="AK667" s="348">
        <v>89975943.878013834</v>
      </c>
      <c r="AL667" s="369"/>
      <c r="AM667" s="350">
        <v>6975468.4402984623</v>
      </c>
      <c r="AN667" s="350">
        <v>14985562.725574186</v>
      </c>
      <c r="AO667" s="350">
        <v>22774959.868523974</v>
      </c>
      <c r="AP667" s="350">
        <v>30338913.668251067</v>
      </c>
      <c r="AQ667" s="350">
        <v>37674885.050592028</v>
      </c>
      <c r="AR667" s="348">
        <v>112749789.75323972</v>
      </c>
      <c r="AS667" s="369"/>
      <c r="AT667" s="350">
        <f t="shared" si="291"/>
        <v>1038456.4628610117</v>
      </c>
      <c r="AU667" s="350">
        <f t="shared" si="274"/>
        <v>3064914.3911085669</v>
      </c>
      <c r="AV667" s="350">
        <f t="shared" si="275"/>
        <v>4825390.6971701123</v>
      </c>
      <c r="AW667" s="350">
        <f t="shared" si="276"/>
        <v>6314939.2783266827</v>
      </c>
      <c r="AX667" s="350">
        <f t="shared" si="277"/>
        <v>7530145.0457595102</v>
      </c>
      <c r="AY667" s="350">
        <f t="shared" si="278"/>
        <v>22773845.875225887</v>
      </c>
      <c r="AZ667" s="365"/>
      <c r="BA667" s="377">
        <f t="shared" si="279"/>
        <v>0</v>
      </c>
      <c r="BB667" s="377">
        <f t="shared" si="280"/>
        <v>0</v>
      </c>
      <c r="BC667" s="377">
        <f t="shared" si="281"/>
        <v>0</v>
      </c>
      <c r="BD667" s="377">
        <f t="shared" si="282"/>
        <v>0</v>
      </c>
      <c r="BE667" s="377">
        <f t="shared" si="283"/>
        <v>0</v>
      </c>
      <c r="BF667" s="377">
        <f t="shared" si="284"/>
        <v>0</v>
      </c>
      <c r="BG667" s="328"/>
    </row>
    <row r="668" spans="2:59">
      <c r="B668" s="332">
        <v>653</v>
      </c>
      <c r="C668" s="350">
        <v>8779190.6528010033</v>
      </c>
      <c r="D668" s="350">
        <v>16491971.159863904</v>
      </c>
      <c r="E668" s="350">
        <v>24262798.6908639</v>
      </c>
      <c r="F668" s="350">
        <v>32092225.078541819</v>
      </c>
      <c r="G668" s="350">
        <v>39981507.477210276</v>
      </c>
      <c r="H668" s="348">
        <v>121607693.0592809</v>
      </c>
      <c r="I668" s="369"/>
      <c r="J668" s="350">
        <v>10007634.814320199</v>
      </c>
      <c r="K668" s="350">
        <v>20116150.926969793</v>
      </c>
      <c r="L668" s="350">
        <v>29972104.69183208</v>
      </c>
      <c r="M668" s="350">
        <v>39568388.511137038</v>
      </c>
      <c r="N668" s="350">
        <v>48900377.535694182</v>
      </c>
      <c r="O668" s="348">
        <v>148564656.47995329</v>
      </c>
      <c r="P668" s="369"/>
      <c r="Q668" s="350">
        <f t="shared" si="285"/>
        <v>1228444.1615191959</v>
      </c>
      <c r="R668" s="350">
        <f t="shared" si="286"/>
        <v>3624179.7671058886</v>
      </c>
      <c r="S668" s="350">
        <f t="shared" si="287"/>
        <v>5709306.0009681806</v>
      </c>
      <c r="T668" s="350">
        <f t="shared" si="288"/>
        <v>7476163.4325952195</v>
      </c>
      <c r="U668" s="350">
        <f t="shared" si="289"/>
        <v>8918870.0584839061</v>
      </c>
      <c r="V668" s="350">
        <f t="shared" si="290"/>
        <v>26956963.420672387</v>
      </c>
      <c r="W668" s="365"/>
      <c r="X668" s="377">
        <f t="shared" si="268"/>
        <v>0</v>
      </c>
      <c r="Y668" s="377">
        <f t="shared" si="269"/>
        <v>0</v>
      </c>
      <c r="Z668" s="377">
        <f t="shared" si="270"/>
        <v>0</v>
      </c>
      <c r="AA668" s="377">
        <f t="shared" si="271"/>
        <v>0</v>
      </c>
      <c r="AB668" s="377">
        <f t="shared" si="272"/>
        <v>0</v>
      </c>
      <c r="AC668" s="377">
        <f t="shared" si="273"/>
        <v>0</v>
      </c>
      <c r="AD668" s="376"/>
      <c r="AE668" s="332">
        <v>653</v>
      </c>
      <c r="AF668" s="350">
        <v>5526984.1125410832</v>
      </c>
      <c r="AG668" s="350">
        <v>11097372.585092606</v>
      </c>
      <c r="AH668" s="350">
        <v>16709918.055420533</v>
      </c>
      <c r="AI668" s="350">
        <v>22364806.619527299</v>
      </c>
      <c r="AJ668" s="350">
        <v>28062853.7918671</v>
      </c>
      <c r="AK668" s="348">
        <v>83761935.164448619</v>
      </c>
      <c r="AL668" s="369"/>
      <c r="AM668" s="350">
        <v>6675256.4189846618</v>
      </c>
      <c r="AN668" s="350">
        <v>14488993.589972457</v>
      </c>
      <c r="AO668" s="350">
        <v>22102712.649043731</v>
      </c>
      <c r="AP668" s="350">
        <v>29511943.837414719</v>
      </c>
      <c r="AQ668" s="350">
        <v>36714507.289161399</v>
      </c>
      <c r="AR668" s="348">
        <v>109493413.78457697</v>
      </c>
      <c r="AS668" s="369"/>
      <c r="AT668" s="350">
        <f t="shared" si="291"/>
        <v>1148272.3064435786</v>
      </c>
      <c r="AU668" s="350">
        <f t="shared" si="274"/>
        <v>3391621.0048798509</v>
      </c>
      <c r="AV668" s="350">
        <f t="shared" si="275"/>
        <v>5392794.5936231986</v>
      </c>
      <c r="AW668" s="350">
        <f t="shared" si="276"/>
        <v>7147137.2178874202</v>
      </c>
      <c r="AX668" s="350">
        <f t="shared" si="277"/>
        <v>8651653.4972942993</v>
      </c>
      <c r="AY668" s="350">
        <f t="shared" si="278"/>
        <v>25731478.620128348</v>
      </c>
      <c r="AZ668" s="365"/>
      <c r="BA668" s="377">
        <f t="shared" si="279"/>
        <v>0</v>
      </c>
      <c r="BB668" s="377">
        <f t="shared" si="280"/>
        <v>0</v>
      </c>
      <c r="BC668" s="377">
        <f t="shared" si="281"/>
        <v>0</v>
      </c>
      <c r="BD668" s="377">
        <f t="shared" si="282"/>
        <v>0</v>
      </c>
      <c r="BE668" s="377">
        <f t="shared" si="283"/>
        <v>0</v>
      </c>
      <c r="BF668" s="377">
        <f t="shared" si="284"/>
        <v>0</v>
      </c>
      <c r="BG668" s="328"/>
    </row>
    <row r="669" spans="2:59">
      <c r="B669" s="332">
        <v>654</v>
      </c>
      <c r="C669" s="350">
        <v>9675948.1004625913</v>
      </c>
      <c r="D669" s="350">
        <v>18100547.874042824</v>
      </c>
      <c r="E669" s="350">
        <v>26588527.020497493</v>
      </c>
      <c r="F669" s="350">
        <v>35140510.894090794</v>
      </c>
      <c r="G669" s="350">
        <v>43757882.502915487</v>
      </c>
      <c r="H669" s="348">
        <v>133263416.39200918</v>
      </c>
      <c r="I669" s="369"/>
      <c r="J669" s="350">
        <v>11478170.749834735</v>
      </c>
      <c r="K669" s="350">
        <v>23424646.976084281</v>
      </c>
      <c r="L669" s="350">
        <v>35101049.046822026</v>
      </c>
      <c r="M669" s="350">
        <v>46499838.597090028</v>
      </c>
      <c r="N669" s="350">
        <v>57616785.488771081</v>
      </c>
      <c r="O669" s="348">
        <v>174120490.85860217</v>
      </c>
      <c r="P669" s="369"/>
      <c r="Q669" s="350">
        <f t="shared" si="285"/>
        <v>1802222.6493721437</v>
      </c>
      <c r="R669" s="350">
        <f t="shared" si="286"/>
        <v>5324099.1020414568</v>
      </c>
      <c r="S669" s="350">
        <f t="shared" si="287"/>
        <v>8512522.0263245329</v>
      </c>
      <c r="T669" s="350">
        <f t="shared" si="288"/>
        <v>11359327.702999234</v>
      </c>
      <c r="U669" s="350">
        <f t="shared" si="289"/>
        <v>13858902.985855594</v>
      </c>
      <c r="V669" s="350">
        <f t="shared" si="290"/>
        <v>40857074.466592982</v>
      </c>
      <c r="W669" s="365"/>
      <c r="X669" s="377">
        <f t="shared" si="268"/>
        <v>0</v>
      </c>
      <c r="Y669" s="377">
        <f t="shared" si="269"/>
        <v>0</v>
      </c>
      <c r="Z669" s="377">
        <f t="shared" si="270"/>
        <v>0</v>
      </c>
      <c r="AA669" s="377">
        <f t="shared" si="271"/>
        <v>0</v>
      </c>
      <c r="AB669" s="377">
        <f t="shared" si="272"/>
        <v>0</v>
      </c>
      <c r="AC669" s="377">
        <f t="shared" si="273"/>
        <v>0</v>
      </c>
      <c r="AD669" s="376"/>
      <c r="AE669" s="332">
        <v>654</v>
      </c>
      <c r="AF669" s="350">
        <v>5630763.7958940202</v>
      </c>
      <c r="AG669" s="350">
        <v>11305746.951560792</v>
      </c>
      <c r="AH669" s="350">
        <v>17023678.68315785</v>
      </c>
      <c r="AI669" s="350">
        <v>22784748.580995522</v>
      </c>
      <c r="AJ669" s="350">
        <v>28589787.472369529</v>
      </c>
      <c r="AK669" s="348">
        <v>85334725.483977705</v>
      </c>
      <c r="AL669" s="369"/>
      <c r="AM669" s="350">
        <v>6569158.8823875282</v>
      </c>
      <c r="AN669" s="350">
        <v>14074674.304327279</v>
      </c>
      <c r="AO669" s="350">
        <v>21369484.244406782</v>
      </c>
      <c r="AP669" s="350">
        <v>28449100.474898912</v>
      </c>
      <c r="AQ669" s="350">
        <v>35311067.806067482</v>
      </c>
      <c r="AR669" s="348">
        <v>105773485.71208797</v>
      </c>
      <c r="AS669" s="369"/>
      <c r="AT669" s="350">
        <f t="shared" si="291"/>
        <v>938395.08649350796</v>
      </c>
      <c r="AU669" s="350">
        <f t="shared" si="274"/>
        <v>2768927.3527664877</v>
      </c>
      <c r="AV669" s="350">
        <f t="shared" si="275"/>
        <v>4345805.561248932</v>
      </c>
      <c r="AW669" s="350">
        <f t="shared" si="276"/>
        <v>5664351.8939033896</v>
      </c>
      <c r="AX669" s="350">
        <f t="shared" si="277"/>
        <v>6721280.3336979523</v>
      </c>
      <c r="AY669" s="350">
        <f t="shared" si="278"/>
        <v>20438760.228110269</v>
      </c>
      <c r="AZ669" s="365"/>
      <c r="BA669" s="377">
        <f t="shared" si="279"/>
        <v>0</v>
      </c>
      <c r="BB669" s="377">
        <f t="shared" si="280"/>
        <v>0</v>
      </c>
      <c r="BC669" s="377">
        <f t="shared" si="281"/>
        <v>0</v>
      </c>
      <c r="BD669" s="377">
        <f t="shared" si="282"/>
        <v>0</v>
      </c>
      <c r="BE669" s="377">
        <f t="shared" si="283"/>
        <v>0</v>
      </c>
      <c r="BF669" s="377">
        <f t="shared" si="284"/>
        <v>0</v>
      </c>
      <c r="BG669" s="328"/>
    </row>
    <row r="670" spans="2:59">
      <c r="B670" s="332">
        <v>655</v>
      </c>
      <c r="C670" s="350">
        <v>8183516.2768695038</v>
      </c>
      <c r="D670" s="350">
        <v>15442300.743512843</v>
      </c>
      <c r="E670" s="350">
        <v>22755738.09675502</v>
      </c>
      <c r="F670" s="350">
        <v>30124327.082174495</v>
      </c>
      <c r="G670" s="350">
        <v>37549241.889353447</v>
      </c>
      <c r="H670" s="348">
        <v>114055124.08866531</v>
      </c>
      <c r="I670" s="369"/>
      <c r="J670" s="350">
        <v>9251383.6091206521</v>
      </c>
      <c r="K670" s="350">
        <v>18591400.32528048</v>
      </c>
      <c r="L670" s="350">
        <v>27688857.700778149</v>
      </c>
      <c r="M670" s="350">
        <v>36537181.218353063</v>
      </c>
      <c r="N670" s="350">
        <v>45132034.078118019</v>
      </c>
      <c r="O670" s="348">
        <v>137200856.93165037</v>
      </c>
      <c r="P670" s="369"/>
      <c r="Q670" s="350">
        <f t="shared" si="285"/>
        <v>1067867.3322511483</v>
      </c>
      <c r="R670" s="350">
        <f t="shared" si="286"/>
        <v>3149099.5817676373</v>
      </c>
      <c r="S670" s="350">
        <f t="shared" si="287"/>
        <v>4933119.6040231287</v>
      </c>
      <c r="T670" s="350">
        <f t="shared" si="288"/>
        <v>6412854.136178568</v>
      </c>
      <c r="U670" s="350">
        <f t="shared" si="289"/>
        <v>7582792.1887645721</v>
      </c>
      <c r="V670" s="350">
        <f t="shared" si="290"/>
        <v>23145732.842985064</v>
      </c>
      <c r="W670" s="365"/>
      <c r="X670" s="377">
        <f t="shared" si="268"/>
        <v>0</v>
      </c>
      <c r="Y670" s="377">
        <f t="shared" si="269"/>
        <v>0</v>
      </c>
      <c r="Z670" s="377">
        <f t="shared" si="270"/>
        <v>0</v>
      </c>
      <c r="AA670" s="377">
        <f t="shared" si="271"/>
        <v>0</v>
      </c>
      <c r="AB670" s="377">
        <f t="shared" si="272"/>
        <v>0</v>
      </c>
      <c r="AC670" s="377">
        <f t="shared" si="273"/>
        <v>0</v>
      </c>
      <c r="AD670" s="376"/>
      <c r="AE670" s="332">
        <v>655</v>
      </c>
      <c r="AF670" s="350">
        <v>7494598.1052336423</v>
      </c>
      <c r="AG670" s="350">
        <v>15048052.582707435</v>
      </c>
      <c r="AH670" s="350">
        <v>22658672.007505842</v>
      </c>
      <c r="AI670" s="350">
        <v>30326708.726065695</v>
      </c>
      <c r="AJ670" s="350">
        <v>38053268.577115446</v>
      </c>
      <c r="AK670" s="348">
        <v>113581299.99862806</v>
      </c>
      <c r="AL670" s="369"/>
      <c r="AM670" s="350">
        <v>8857454.5035834536</v>
      </c>
      <c r="AN670" s="350">
        <v>19071147.955536652</v>
      </c>
      <c r="AO670" s="350">
        <v>29007800.146656521</v>
      </c>
      <c r="AP670" s="350">
        <v>38661405.005499914</v>
      </c>
      <c r="AQ670" s="350">
        <v>48028809.949314766</v>
      </c>
      <c r="AR670" s="348">
        <v>143626617.56059131</v>
      </c>
      <c r="AS670" s="369"/>
      <c r="AT670" s="350">
        <f t="shared" si="291"/>
        <v>1362856.3983498113</v>
      </c>
      <c r="AU670" s="350">
        <f t="shared" si="274"/>
        <v>4023095.3728292175</v>
      </c>
      <c r="AV670" s="350">
        <f t="shared" si="275"/>
        <v>6349128.1391506791</v>
      </c>
      <c r="AW670" s="350">
        <f t="shared" si="276"/>
        <v>8334696.279434219</v>
      </c>
      <c r="AX670" s="350">
        <f t="shared" si="277"/>
        <v>9975541.3721993193</v>
      </c>
      <c r="AY670" s="350">
        <f t="shared" si="278"/>
        <v>30045317.561963245</v>
      </c>
      <c r="AZ670" s="365"/>
      <c r="BA670" s="377">
        <f t="shared" si="279"/>
        <v>0</v>
      </c>
      <c r="BB670" s="377">
        <f t="shared" si="280"/>
        <v>0</v>
      </c>
      <c r="BC670" s="377">
        <f t="shared" si="281"/>
        <v>0</v>
      </c>
      <c r="BD670" s="377">
        <f t="shared" si="282"/>
        <v>0</v>
      </c>
      <c r="BE670" s="377">
        <f t="shared" si="283"/>
        <v>0</v>
      </c>
      <c r="BF670" s="377">
        <f t="shared" si="284"/>
        <v>0</v>
      </c>
      <c r="BG670" s="328"/>
    </row>
    <row r="671" spans="2:59">
      <c r="B671" s="332">
        <v>656</v>
      </c>
      <c r="C671" s="350">
        <v>8316682.5179868415</v>
      </c>
      <c r="D671" s="350">
        <v>15670460.651702233</v>
      </c>
      <c r="E671" s="350">
        <v>23079599.407266416</v>
      </c>
      <c r="F671" s="350">
        <v>30544610.865052067</v>
      </c>
      <c r="G671" s="350">
        <v>38066687.543012477</v>
      </c>
      <c r="H671" s="348">
        <v>115678040.98502004</v>
      </c>
      <c r="I671" s="369"/>
      <c r="J671" s="350">
        <v>9614137.7062535062</v>
      </c>
      <c r="K671" s="350">
        <v>19500223.010895375</v>
      </c>
      <c r="L671" s="350">
        <v>29151748.015344366</v>
      </c>
      <c r="M671" s="350">
        <v>38561815.843195006</v>
      </c>
      <c r="N671" s="350">
        <v>47726064.905974388</v>
      </c>
      <c r="O671" s="348">
        <v>144553989.48166263</v>
      </c>
      <c r="P671" s="369"/>
      <c r="Q671" s="350">
        <f t="shared" si="285"/>
        <v>1297455.1882666647</v>
      </c>
      <c r="R671" s="350">
        <f t="shared" si="286"/>
        <v>3829762.3591931425</v>
      </c>
      <c r="S671" s="350">
        <f t="shared" si="287"/>
        <v>6072148.6080779508</v>
      </c>
      <c r="T671" s="350">
        <f t="shared" si="288"/>
        <v>8017204.9781429395</v>
      </c>
      <c r="U671" s="350">
        <f t="shared" si="289"/>
        <v>9659377.3629619107</v>
      </c>
      <c r="V671" s="350">
        <f t="shared" si="290"/>
        <v>28875948.49664259</v>
      </c>
      <c r="W671" s="365"/>
      <c r="X671" s="377">
        <f t="shared" si="268"/>
        <v>0</v>
      </c>
      <c r="Y671" s="377">
        <f t="shared" si="269"/>
        <v>0</v>
      </c>
      <c r="Z671" s="377">
        <f t="shared" si="270"/>
        <v>0</v>
      </c>
      <c r="AA671" s="377">
        <f t="shared" si="271"/>
        <v>0</v>
      </c>
      <c r="AB671" s="377">
        <f t="shared" si="272"/>
        <v>0</v>
      </c>
      <c r="AC671" s="377">
        <f t="shared" si="273"/>
        <v>0</v>
      </c>
      <c r="AD671" s="376"/>
      <c r="AE671" s="332">
        <v>656</v>
      </c>
      <c r="AF671" s="350">
        <v>6751888.4664998427</v>
      </c>
      <c r="AG671" s="350">
        <v>13556800.678279739</v>
      </c>
      <c r="AH671" s="350">
        <v>20413212.829497296</v>
      </c>
      <c r="AI671" s="350">
        <v>27321352.259226933</v>
      </c>
      <c r="AJ671" s="350">
        <v>34282215.218321815</v>
      </c>
      <c r="AK671" s="348">
        <v>102325469.45182563</v>
      </c>
      <c r="AL671" s="369"/>
      <c r="AM671" s="350">
        <v>7864368.4410789916</v>
      </c>
      <c r="AN671" s="350">
        <v>16839209.876557216</v>
      </c>
      <c r="AO671" s="350">
        <v>25561010.83552793</v>
      </c>
      <c r="AP671" s="350">
        <v>34024393.060478568</v>
      </c>
      <c r="AQ671" s="350">
        <v>42226399.597117364</v>
      </c>
      <c r="AR671" s="348">
        <v>126515381.81076007</v>
      </c>
      <c r="AS671" s="369"/>
      <c r="AT671" s="350">
        <f t="shared" si="291"/>
        <v>1112479.9745791489</v>
      </c>
      <c r="AU671" s="350">
        <f t="shared" si="274"/>
        <v>3282409.1982774772</v>
      </c>
      <c r="AV671" s="350">
        <f t="shared" si="275"/>
        <v>5147798.006030634</v>
      </c>
      <c r="AW671" s="350">
        <f t="shared" si="276"/>
        <v>6703040.801251635</v>
      </c>
      <c r="AX671" s="350">
        <f t="shared" si="277"/>
        <v>7944184.3787955493</v>
      </c>
      <c r="AY671" s="350">
        <f t="shared" si="278"/>
        <v>24189912.358934432</v>
      </c>
      <c r="AZ671" s="365"/>
      <c r="BA671" s="377">
        <f t="shared" si="279"/>
        <v>0</v>
      </c>
      <c r="BB671" s="377">
        <f t="shared" si="280"/>
        <v>0</v>
      </c>
      <c r="BC671" s="377">
        <f t="shared" si="281"/>
        <v>0</v>
      </c>
      <c r="BD671" s="377">
        <f t="shared" si="282"/>
        <v>0</v>
      </c>
      <c r="BE671" s="377">
        <f t="shared" si="283"/>
        <v>0</v>
      </c>
      <c r="BF671" s="377">
        <f t="shared" si="284"/>
        <v>0</v>
      </c>
      <c r="BG671" s="328"/>
    </row>
    <row r="672" spans="2:59">
      <c r="B672" s="332">
        <v>657</v>
      </c>
      <c r="C672" s="350">
        <v>7420312.9195668222</v>
      </c>
      <c r="D672" s="350">
        <v>14123251.455896746</v>
      </c>
      <c r="E672" s="350">
        <v>20876697.037551224</v>
      </c>
      <c r="F672" s="350">
        <v>27681074.562408276</v>
      </c>
      <c r="G672" s="350">
        <v>34537452.791919596</v>
      </c>
      <c r="H672" s="348">
        <v>104638788.76734266</v>
      </c>
      <c r="I672" s="369"/>
      <c r="J672" s="350">
        <v>8458491.3034326751</v>
      </c>
      <c r="K672" s="350">
        <v>17185649.119524635</v>
      </c>
      <c r="L672" s="350">
        <v>25688136.381446101</v>
      </c>
      <c r="M672" s="350">
        <v>33959901.862160251</v>
      </c>
      <c r="N672" s="350">
        <v>41997051.508700639</v>
      </c>
      <c r="O672" s="348">
        <v>127289230.1752643</v>
      </c>
      <c r="P672" s="369"/>
      <c r="Q672" s="350">
        <f t="shared" si="285"/>
        <v>1038178.3838658528</v>
      </c>
      <c r="R672" s="350">
        <f t="shared" si="286"/>
        <v>3062397.663627889</v>
      </c>
      <c r="S672" s="350">
        <f t="shared" si="287"/>
        <v>4811439.3438948765</v>
      </c>
      <c r="T672" s="350">
        <f t="shared" si="288"/>
        <v>6278827.2997519746</v>
      </c>
      <c r="U672" s="350">
        <f t="shared" si="289"/>
        <v>7459598.7167810425</v>
      </c>
      <c r="V672" s="350">
        <f t="shared" si="290"/>
        <v>22650441.407921642</v>
      </c>
      <c r="W672" s="365"/>
      <c r="X672" s="377">
        <f t="shared" si="268"/>
        <v>0</v>
      </c>
      <c r="Y672" s="377">
        <f t="shared" si="269"/>
        <v>0</v>
      </c>
      <c r="Z672" s="377">
        <f t="shared" si="270"/>
        <v>0</v>
      </c>
      <c r="AA672" s="377">
        <f t="shared" si="271"/>
        <v>0</v>
      </c>
      <c r="AB672" s="377">
        <f t="shared" si="272"/>
        <v>0</v>
      </c>
      <c r="AC672" s="377">
        <f t="shared" si="273"/>
        <v>0</v>
      </c>
      <c r="AD672" s="376"/>
      <c r="AE672" s="332">
        <v>657</v>
      </c>
      <c r="AF672" s="350">
        <v>5609501.8390666461</v>
      </c>
      <c r="AG672" s="350">
        <v>11263056.064089967</v>
      </c>
      <c r="AH672" s="350">
        <v>16959396.689750787</v>
      </c>
      <c r="AI672" s="350">
        <v>22698712.590459928</v>
      </c>
      <c r="AJ672" s="350">
        <v>28481831.456280809</v>
      </c>
      <c r="AK672" s="348">
        <v>85012498.639648139</v>
      </c>
      <c r="AL672" s="369"/>
      <c r="AM672" s="350">
        <v>6527088.5370428544</v>
      </c>
      <c r="AN672" s="350">
        <v>13970325.00189076</v>
      </c>
      <c r="AO672" s="350">
        <v>21203134.524497177</v>
      </c>
      <c r="AP672" s="350">
        <v>28221050.708012301</v>
      </c>
      <c r="AQ672" s="350">
        <v>35021610.148206651</v>
      </c>
      <c r="AR672" s="348">
        <v>104943208.91964974</v>
      </c>
      <c r="AS672" s="369"/>
      <c r="AT672" s="350">
        <f t="shared" si="291"/>
        <v>917586.69797620829</v>
      </c>
      <c r="AU672" s="350">
        <f t="shared" si="274"/>
        <v>2707268.937800793</v>
      </c>
      <c r="AV672" s="350">
        <f t="shared" si="275"/>
        <v>4243737.8347463906</v>
      </c>
      <c r="AW672" s="350">
        <f t="shared" si="276"/>
        <v>5522338.1175523736</v>
      </c>
      <c r="AX672" s="350">
        <f t="shared" si="277"/>
        <v>6539778.6919258423</v>
      </c>
      <c r="AY672" s="350">
        <f t="shared" si="278"/>
        <v>19930710.280001596</v>
      </c>
      <c r="AZ672" s="365"/>
      <c r="BA672" s="377">
        <f t="shared" si="279"/>
        <v>0</v>
      </c>
      <c r="BB672" s="377">
        <f t="shared" si="280"/>
        <v>0</v>
      </c>
      <c r="BC672" s="377">
        <f t="shared" si="281"/>
        <v>0</v>
      </c>
      <c r="BD672" s="377">
        <f t="shared" si="282"/>
        <v>0</v>
      </c>
      <c r="BE672" s="377">
        <f t="shared" si="283"/>
        <v>0</v>
      </c>
      <c r="BF672" s="377">
        <f t="shared" si="284"/>
        <v>0</v>
      </c>
      <c r="BG672" s="328"/>
    </row>
    <row r="673" spans="2:59">
      <c r="B673" s="332">
        <v>658</v>
      </c>
      <c r="C673" s="350">
        <v>6133264.4572393894</v>
      </c>
      <c r="D673" s="350">
        <v>11558861.775360385</v>
      </c>
      <c r="E673" s="350">
        <v>17025304.801712014</v>
      </c>
      <c r="F673" s="350">
        <v>22532970.6267923</v>
      </c>
      <c r="G673" s="350">
        <v>28082738.773369737</v>
      </c>
      <c r="H673" s="348">
        <v>85333140.434473813</v>
      </c>
      <c r="I673" s="369"/>
      <c r="J673" s="350">
        <v>7057544.4623083938</v>
      </c>
      <c r="K673" s="350">
        <v>14286632.737475198</v>
      </c>
      <c r="L673" s="350">
        <v>21336641.410945129</v>
      </c>
      <c r="M673" s="350">
        <v>28202680.820446081</v>
      </c>
      <c r="N673" s="350">
        <v>34881697.138281174</v>
      </c>
      <c r="O673" s="348">
        <v>105765196.56945598</v>
      </c>
      <c r="P673" s="369"/>
      <c r="Q673" s="350">
        <f t="shared" si="285"/>
        <v>924280.00506900437</v>
      </c>
      <c r="R673" s="350">
        <f t="shared" si="286"/>
        <v>2727770.9621148128</v>
      </c>
      <c r="S673" s="350">
        <f t="shared" si="287"/>
        <v>4311336.6092331149</v>
      </c>
      <c r="T673" s="350">
        <f t="shared" si="288"/>
        <v>5669710.193653781</v>
      </c>
      <c r="U673" s="350">
        <f t="shared" si="289"/>
        <v>6798958.364911437</v>
      </c>
      <c r="V673" s="350">
        <f t="shared" si="290"/>
        <v>20432056.134982169</v>
      </c>
      <c r="W673" s="365"/>
      <c r="X673" s="377">
        <f t="shared" si="268"/>
        <v>0</v>
      </c>
      <c r="Y673" s="377">
        <f t="shared" si="269"/>
        <v>0</v>
      </c>
      <c r="Z673" s="377">
        <f t="shared" si="270"/>
        <v>0</v>
      </c>
      <c r="AA673" s="377">
        <f t="shared" si="271"/>
        <v>0</v>
      </c>
      <c r="AB673" s="377">
        <f t="shared" si="272"/>
        <v>0</v>
      </c>
      <c r="AC673" s="377">
        <f t="shared" si="273"/>
        <v>0</v>
      </c>
      <c r="AD673" s="376"/>
      <c r="AE673" s="332">
        <v>658</v>
      </c>
      <c r="AF673" s="350">
        <v>5520294.3114320086</v>
      </c>
      <c r="AG673" s="350">
        <v>11083940.446711909</v>
      </c>
      <c r="AH673" s="350">
        <v>16689692.553399269</v>
      </c>
      <c r="AI673" s="350">
        <v>22337736.502247956</v>
      </c>
      <c r="AJ673" s="350">
        <v>28028886.820622396</v>
      </c>
      <c r="AK673" s="348">
        <v>83660550.63441354</v>
      </c>
      <c r="AL673" s="369"/>
      <c r="AM673" s="350">
        <v>6629834.2719786717</v>
      </c>
      <c r="AN673" s="350">
        <v>14360709.412106127</v>
      </c>
      <c r="AO673" s="350">
        <v>21890690.120708894</v>
      </c>
      <c r="AP673" s="350">
        <v>29215322.610991582</v>
      </c>
      <c r="AQ673" s="350">
        <v>36332391.836328335</v>
      </c>
      <c r="AR673" s="348">
        <v>108428948.25211361</v>
      </c>
      <c r="AS673" s="369"/>
      <c r="AT673" s="350">
        <f t="shared" si="291"/>
        <v>1109539.960546663</v>
      </c>
      <c r="AU673" s="350">
        <f t="shared" si="274"/>
        <v>3276768.9653942175</v>
      </c>
      <c r="AV673" s="350">
        <f t="shared" si="275"/>
        <v>5200997.5673096254</v>
      </c>
      <c r="AW673" s="350">
        <f t="shared" si="276"/>
        <v>6877586.1087436266</v>
      </c>
      <c r="AX673" s="350">
        <f t="shared" si="277"/>
        <v>8303505.0157059394</v>
      </c>
      <c r="AY673" s="350">
        <f t="shared" si="278"/>
        <v>24768397.61770007</v>
      </c>
      <c r="AZ673" s="365"/>
      <c r="BA673" s="377">
        <f t="shared" si="279"/>
        <v>0</v>
      </c>
      <c r="BB673" s="377">
        <f t="shared" si="280"/>
        <v>0</v>
      </c>
      <c r="BC673" s="377">
        <f t="shared" si="281"/>
        <v>0</v>
      </c>
      <c r="BD673" s="377">
        <f t="shared" si="282"/>
        <v>0</v>
      </c>
      <c r="BE673" s="377">
        <f t="shared" si="283"/>
        <v>0</v>
      </c>
      <c r="BF673" s="377">
        <f t="shared" si="284"/>
        <v>0</v>
      </c>
      <c r="BG673" s="328"/>
    </row>
    <row r="674" spans="2:59">
      <c r="B674" s="332">
        <v>659</v>
      </c>
      <c r="C674" s="350">
        <v>6395322.0120290853</v>
      </c>
      <c r="D674" s="350">
        <v>12079008.061633278</v>
      </c>
      <c r="E674" s="350">
        <v>17805491.330428794</v>
      </c>
      <c r="F674" s="350">
        <v>23575159.092672676</v>
      </c>
      <c r="G674" s="350">
        <v>29388929.335177224</v>
      </c>
      <c r="H674" s="348">
        <v>89243909.831941053</v>
      </c>
      <c r="I674" s="369"/>
      <c r="J674" s="350">
        <v>7137005.0565792322</v>
      </c>
      <c r="K674" s="350">
        <v>14264611.62375503</v>
      </c>
      <c r="L674" s="350">
        <v>21204618.25037545</v>
      </c>
      <c r="M674" s="350">
        <v>27951686.782557882</v>
      </c>
      <c r="N674" s="350">
        <v>34502102.536037728</v>
      </c>
      <c r="O674" s="348">
        <v>105060024.24930532</v>
      </c>
      <c r="P674" s="369"/>
      <c r="Q674" s="350">
        <f t="shared" si="285"/>
        <v>741683.04455014691</v>
      </c>
      <c r="R674" s="350">
        <f t="shared" si="286"/>
        <v>2185603.5621217526</v>
      </c>
      <c r="S674" s="350">
        <f t="shared" si="287"/>
        <v>3399126.9199466556</v>
      </c>
      <c r="T674" s="350">
        <f t="shared" si="288"/>
        <v>4376527.6898852065</v>
      </c>
      <c r="U674" s="350">
        <f t="shared" si="289"/>
        <v>5113173.2008605041</v>
      </c>
      <c r="V674" s="350">
        <f t="shared" si="290"/>
        <v>15816114.417364269</v>
      </c>
      <c r="W674" s="365"/>
      <c r="X674" s="377">
        <f t="shared" si="268"/>
        <v>0</v>
      </c>
      <c r="Y674" s="377">
        <f t="shared" si="269"/>
        <v>0</v>
      </c>
      <c r="Z674" s="377">
        <f t="shared" si="270"/>
        <v>0</v>
      </c>
      <c r="AA674" s="377">
        <f t="shared" si="271"/>
        <v>0</v>
      </c>
      <c r="AB674" s="377">
        <f t="shared" si="272"/>
        <v>0</v>
      </c>
      <c r="AC674" s="377">
        <f t="shared" si="273"/>
        <v>0</v>
      </c>
      <c r="AD674" s="376"/>
      <c r="AE674" s="332">
        <v>659</v>
      </c>
      <c r="AF674" s="350">
        <v>6548355.2834350253</v>
      </c>
      <c r="AG674" s="350">
        <v>13148135.930940401</v>
      </c>
      <c r="AH674" s="350">
        <v>19797864.071237821</v>
      </c>
      <c r="AI674" s="350">
        <v>26497760.190349307</v>
      </c>
      <c r="AJ674" s="350">
        <v>33248790.507514164</v>
      </c>
      <c r="AK674" s="348">
        <v>99240905.983476713</v>
      </c>
      <c r="AL674" s="369"/>
      <c r="AM674" s="350">
        <v>7857900.9734042063</v>
      </c>
      <c r="AN674" s="350">
        <v>17015493.004716106</v>
      </c>
      <c r="AO674" s="350">
        <v>25934578.944263093</v>
      </c>
      <c r="AP674" s="350">
        <v>34609877.437597744</v>
      </c>
      <c r="AQ674" s="350">
        <v>43038754.211488687</v>
      </c>
      <c r="AR674" s="348">
        <v>128456604.57146984</v>
      </c>
      <c r="AS674" s="369"/>
      <c r="AT674" s="350">
        <f t="shared" si="291"/>
        <v>1309545.6899691811</v>
      </c>
      <c r="AU674" s="350">
        <f t="shared" si="274"/>
        <v>3867357.073775705</v>
      </c>
      <c r="AV674" s="350">
        <f t="shared" si="275"/>
        <v>6136714.873025272</v>
      </c>
      <c r="AW674" s="350">
        <f t="shared" si="276"/>
        <v>8112117.2472484373</v>
      </c>
      <c r="AX674" s="350">
        <f t="shared" si="277"/>
        <v>9789963.7039745227</v>
      </c>
      <c r="AY674" s="350">
        <f t="shared" si="278"/>
        <v>29215698.58799313</v>
      </c>
      <c r="AZ674" s="365"/>
      <c r="BA674" s="377">
        <f t="shared" si="279"/>
        <v>0</v>
      </c>
      <c r="BB674" s="377">
        <f t="shared" si="280"/>
        <v>0</v>
      </c>
      <c r="BC674" s="377">
        <f t="shared" si="281"/>
        <v>0</v>
      </c>
      <c r="BD674" s="377">
        <f t="shared" si="282"/>
        <v>0</v>
      </c>
      <c r="BE674" s="377">
        <f t="shared" si="283"/>
        <v>0</v>
      </c>
      <c r="BF674" s="377">
        <f t="shared" si="284"/>
        <v>0</v>
      </c>
      <c r="BG674" s="328"/>
    </row>
    <row r="675" spans="2:59">
      <c r="B675" s="332">
        <v>660</v>
      </c>
      <c r="C675" s="350">
        <v>8478273.981956169</v>
      </c>
      <c r="D675" s="350">
        <v>16028880.383000817</v>
      </c>
      <c r="E675" s="350">
        <v>23636346.697612666</v>
      </c>
      <c r="F675" s="350">
        <v>31301182.780968457</v>
      </c>
      <c r="G675" s="350">
        <v>39024606.137785181</v>
      </c>
      <c r="H675" s="348">
        <v>118469289.98132329</v>
      </c>
      <c r="I675" s="369"/>
      <c r="J675" s="350">
        <v>9484675.2681614663</v>
      </c>
      <c r="K675" s="350">
        <v>18994947.079041526</v>
      </c>
      <c r="L675" s="350">
        <v>28247530.982147742</v>
      </c>
      <c r="M675" s="350">
        <v>37235677.268825069</v>
      </c>
      <c r="N675" s="350">
        <v>45954836.842636526</v>
      </c>
      <c r="O675" s="348">
        <v>139917667.44081235</v>
      </c>
      <c r="P675" s="369"/>
      <c r="Q675" s="350">
        <f t="shared" si="285"/>
        <v>1006401.2862052973</v>
      </c>
      <c r="R675" s="350">
        <f t="shared" si="286"/>
        <v>2966066.6960407086</v>
      </c>
      <c r="S675" s="350">
        <f t="shared" si="287"/>
        <v>4611184.2845350765</v>
      </c>
      <c r="T675" s="350">
        <f t="shared" si="288"/>
        <v>5934494.4878566116</v>
      </c>
      <c r="U675" s="350">
        <f t="shared" si="289"/>
        <v>6930230.7048513442</v>
      </c>
      <c r="V675" s="350">
        <f t="shared" si="290"/>
        <v>21448377.459489062</v>
      </c>
      <c r="W675" s="365"/>
      <c r="X675" s="377">
        <f t="shared" si="268"/>
        <v>0</v>
      </c>
      <c r="Y675" s="377">
        <f t="shared" si="269"/>
        <v>0</v>
      </c>
      <c r="Z675" s="377">
        <f t="shared" si="270"/>
        <v>0</v>
      </c>
      <c r="AA675" s="377">
        <f t="shared" si="271"/>
        <v>0</v>
      </c>
      <c r="AB675" s="377">
        <f t="shared" si="272"/>
        <v>0</v>
      </c>
      <c r="AC675" s="377">
        <f t="shared" si="273"/>
        <v>0</v>
      </c>
      <c r="AD675" s="376"/>
      <c r="AE675" s="332">
        <v>660</v>
      </c>
      <c r="AF675" s="350">
        <v>4461648.8018914023</v>
      </c>
      <c r="AG675" s="350">
        <v>8958335.7017570715</v>
      </c>
      <c r="AH675" s="350">
        <v>13489053.768492509</v>
      </c>
      <c r="AI675" s="350">
        <v>18053953.2277885</v>
      </c>
      <c r="AJ675" s="350">
        <v>22653692.402342096</v>
      </c>
      <c r="AK675" s="348">
        <v>67616683.902271584</v>
      </c>
      <c r="AL675" s="369"/>
      <c r="AM675" s="350">
        <v>5320405.2009739708</v>
      </c>
      <c r="AN675" s="350">
        <v>11494000.881435812</v>
      </c>
      <c r="AO675" s="350">
        <v>17504090.123180628</v>
      </c>
      <c r="AP675" s="350">
        <v>23347084.005920958</v>
      </c>
      <c r="AQ675" s="350">
        <v>29021153.781548731</v>
      </c>
      <c r="AR675" s="348">
        <v>86686733.993060112</v>
      </c>
      <c r="AS675" s="369"/>
      <c r="AT675" s="350">
        <f t="shared" si="291"/>
        <v>858756.39908256847</v>
      </c>
      <c r="AU675" s="350">
        <f t="shared" si="274"/>
        <v>2535665.17967874</v>
      </c>
      <c r="AV675" s="350">
        <f t="shared" si="275"/>
        <v>4015036.3546881191</v>
      </c>
      <c r="AW675" s="350">
        <f t="shared" si="276"/>
        <v>5293130.7781324573</v>
      </c>
      <c r="AX675" s="350">
        <f t="shared" si="277"/>
        <v>6367461.3792066351</v>
      </c>
      <c r="AY675" s="350">
        <f t="shared" si="278"/>
        <v>19070050.090788528</v>
      </c>
      <c r="AZ675" s="365"/>
      <c r="BA675" s="377">
        <f t="shared" si="279"/>
        <v>0</v>
      </c>
      <c r="BB675" s="377">
        <f t="shared" si="280"/>
        <v>0</v>
      </c>
      <c r="BC675" s="377">
        <f t="shared" si="281"/>
        <v>0</v>
      </c>
      <c r="BD675" s="377">
        <f t="shared" si="282"/>
        <v>0</v>
      </c>
      <c r="BE675" s="377">
        <f t="shared" si="283"/>
        <v>0</v>
      </c>
      <c r="BF675" s="377">
        <f t="shared" si="284"/>
        <v>0</v>
      </c>
      <c r="BG675" s="328"/>
    </row>
    <row r="676" spans="2:59">
      <c r="B676" s="332">
        <v>661</v>
      </c>
      <c r="C676" s="350">
        <v>8879996.2234801762</v>
      </c>
      <c r="D676" s="350">
        <v>16751891.364549719</v>
      </c>
      <c r="E676" s="350">
        <v>24683054.116928566</v>
      </c>
      <c r="F676" s="350">
        <v>32674026.726656668</v>
      </c>
      <c r="G676" s="350">
        <v>40726083.158690542</v>
      </c>
      <c r="H676" s="348">
        <v>123715051.59030567</v>
      </c>
      <c r="I676" s="369"/>
      <c r="J676" s="350">
        <v>9810337.5874183308</v>
      </c>
      <c r="K676" s="350">
        <v>19491595.495937057</v>
      </c>
      <c r="L676" s="350">
        <v>28903291.252219807</v>
      </c>
      <c r="M676" s="350">
        <v>38038327.480858386</v>
      </c>
      <c r="N676" s="350">
        <v>46891736.885315947</v>
      </c>
      <c r="O676" s="348">
        <v>143135288.70174953</v>
      </c>
      <c r="P676" s="369"/>
      <c r="Q676" s="350">
        <f t="shared" si="285"/>
        <v>930341.36393815465</v>
      </c>
      <c r="R676" s="350">
        <f t="shared" si="286"/>
        <v>2739704.131387338</v>
      </c>
      <c r="S676" s="350">
        <f t="shared" si="287"/>
        <v>4220237.1352912411</v>
      </c>
      <c r="T676" s="350">
        <f t="shared" si="288"/>
        <v>5364300.7542017177</v>
      </c>
      <c r="U676" s="350">
        <f t="shared" si="289"/>
        <v>6165653.7266254053</v>
      </c>
      <c r="V676" s="350">
        <f t="shared" si="290"/>
        <v>19420237.111443862</v>
      </c>
      <c r="W676" s="365"/>
      <c r="X676" s="377">
        <f t="shared" si="268"/>
        <v>0</v>
      </c>
      <c r="Y676" s="377">
        <f t="shared" si="269"/>
        <v>0</v>
      </c>
      <c r="Z676" s="377">
        <f t="shared" si="270"/>
        <v>0</v>
      </c>
      <c r="AA676" s="377">
        <f t="shared" si="271"/>
        <v>0</v>
      </c>
      <c r="AB676" s="377">
        <f t="shared" si="272"/>
        <v>0</v>
      </c>
      <c r="AC676" s="377">
        <f t="shared" si="273"/>
        <v>0</v>
      </c>
      <c r="AD676" s="376"/>
      <c r="AE676" s="332">
        <v>661</v>
      </c>
      <c r="AF676" s="350">
        <v>5946085.5728397015</v>
      </c>
      <c r="AG676" s="350">
        <v>11938866.781780617</v>
      </c>
      <c r="AH676" s="350">
        <v>17977001.679309808</v>
      </c>
      <c r="AI676" s="350">
        <v>24060690.472761448</v>
      </c>
      <c r="AJ676" s="350">
        <v>30190810.515612919</v>
      </c>
      <c r="AK676" s="348">
        <v>90113455.02230449</v>
      </c>
      <c r="AL676" s="369"/>
      <c r="AM676" s="350">
        <v>7191265.1007195162</v>
      </c>
      <c r="AN676" s="350">
        <v>15616838.39451246</v>
      </c>
      <c r="AO676" s="350">
        <v>23827521.139651172</v>
      </c>
      <c r="AP676" s="350">
        <v>31818501.861507274</v>
      </c>
      <c r="AQ676" s="350">
        <v>39587445.360083222</v>
      </c>
      <c r="AR676" s="348">
        <v>118041571.85647365</v>
      </c>
      <c r="AS676" s="369"/>
      <c r="AT676" s="350">
        <f t="shared" si="291"/>
        <v>1245179.5278798146</v>
      </c>
      <c r="AU676" s="350">
        <f t="shared" si="274"/>
        <v>3677971.6127318423</v>
      </c>
      <c r="AV676" s="350">
        <f t="shared" si="275"/>
        <v>5850519.4603413641</v>
      </c>
      <c r="AW676" s="350">
        <f t="shared" si="276"/>
        <v>7757811.3887458257</v>
      </c>
      <c r="AX676" s="350">
        <f t="shared" si="277"/>
        <v>9396634.8444703035</v>
      </c>
      <c r="AY676" s="350">
        <f t="shared" si="278"/>
        <v>27928116.834169164</v>
      </c>
      <c r="AZ676" s="365"/>
      <c r="BA676" s="377">
        <f t="shared" si="279"/>
        <v>0</v>
      </c>
      <c r="BB676" s="377">
        <f t="shared" si="280"/>
        <v>0</v>
      </c>
      <c r="BC676" s="377">
        <f t="shared" si="281"/>
        <v>0</v>
      </c>
      <c r="BD676" s="377">
        <f t="shared" si="282"/>
        <v>0</v>
      </c>
      <c r="BE676" s="377">
        <f t="shared" si="283"/>
        <v>0</v>
      </c>
      <c r="BF676" s="377">
        <f t="shared" si="284"/>
        <v>0</v>
      </c>
      <c r="BG676" s="328"/>
    </row>
    <row r="677" spans="2:59">
      <c r="B677" s="332">
        <v>662</v>
      </c>
      <c r="C677" s="350">
        <v>10100436.229229564</v>
      </c>
      <c r="D677" s="350">
        <v>18949578.286162775</v>
      </c>
      <c r="E677" s="350">
        <v>27865311.739642225</v>
      </c>
      <c r="F677" s="350">
        <v>36848276.976755023</v>
      </c>
      <c r="G677" s="350">
        <v>45899919.52900812</v>
      </c>
      <c r="H677" s="348">
        <v>139663522.76079771</v>
      </c>
      <c r="I677" s="369"/>
      <c r="J677" s="350">
        <v>11566250.377809282</v>
      </c>
      <c r="K677" s="350">
        <v>23274947.103174455</v>
      </c>
      <c r="L677" s="350">
        <v>34688820.48039031</v>
      </c>
      <c r="M677" s="350">
        <v>45799995.491169497</v>
      </c>
      <c r="N677" s="350">
        <v>56603525.379979521</v>
      </c>
      <c r="O677" s="348">
        <v>171933538.83252305</v>
      </c>
      <c r="P677" s="369"/>
      <c r="Q677" s="350">
        <f t="shared" si="285"/>
        <v>1465814.1485797185</v>
      </c>
      <c r="R677" s="350">
        <f t="shared" si="286"/>
        <v>4325368.8170116805</v>
      </c>
      <c r="S677" s="350">
        <f t="shared" si="287"/>
        <v>6823508.7407480851</v>
      </c>
      <c r="T677" s="350">
        <f t="shared" si="288"/>
        <v>8951718.5144144744</v>
      </c>
      <c r="U677" s="350">
        <f t="shared" si="289"/>
        <v>10703605.850971401</v>
      </c>
      <c r="V677" s="350">
        <f t="shared" si="290"/>
        <v>32270016.071725339</v>
      </c>
      <c r="W677" s="365"/>
      <c r="X677" s="377">
        <f t="shared" si="268"/>
        <v>0</v>
      </c>
      <c r="Y677" s="377">
        <f t="shared" si="269"/>
        <v>0</v>
      </c>
      <c r="Z677" s="377">
        <f t="shared" si="270"/>
        <v>0</v>
      </c>
      <c r="AA677" s="377">
        <f t="shared" si="271"/>
        <v>0</v>
      </c>
      <c r="AB677" s="377">
        <f t="shared" si="272"/>
        <v>0</v>
      </c>
      <c r="AC677" s="377">
        <f t="shared" si="273"/>
        <v>0</v>
      </c>
      <c r="AD677" s="376"/>
      <c r="AE677" s="332">
        <v>662</v>
      </c>
      <c r="AF677" s="350">
        <v>5936718.8144325437</v>
      </c>
      <c r="AG677" s="350">
        <v>11920059.706196139</v>
      </c>
      <c r="AH677" s="350">
        <v>17948682.841722891</v>
      </c>
      <c r="AI677" s="350">
        <v>24022788.112964075</v>
      </c>
      <c r="AJ677" s="350">
        <v>30143251.491318397</v>
      </c>
      <c r="AK677" s="348">
        <v>89971500.966634035</v>
      </c>
      <c r="AL677" s="369"/>
      <c r="AM677" s="350">
        <v>6796077.64429776</v>
      </c>
      <c r="AN677" s="350">
        <v>14453823.84363813</v>
      </c>
      <c r="AO677" s="350">
        <v>21885521.303622957</v>
      </c>
      <c r="AP677" s="350">
        <v>29086474.698668309</v>
      </c>
      <c r="AQ677" s="350">
        <v>36053963.748003982</v>
      </c>
      <c r="AR677" s="348">
        <v>108275861.23823115</v>
      </c>
      <c r="AS677" s="369"/>
      <c r="AT677" s="350">
        <f t="shared" si="291"/>
        <v>859358.82986521628</v>
      </c>
      <c r="AU677" s="350">
        <f t="shared" si="274"/>
        <v>2533764.1374419909</v>
      </c>
      <c r="AV677" s="350">
        <f t="shared" si="275"/>
        <v>3936838.4619000666</v>
      </c>
      <c r="AW677" s="350">
        <f t="shared" si="276"/>
        <v>5063686.5857042335</v>
      </c>
      <c r="AX677" s="350">
        <f t="shared" si="277"/>
        <v>5910712.2566855848</v>
      </c>
      <c r="AY677" s="350">
        <f t="shared" si="278"/>
        <v>18304360.271597117</v>
      </c>
      <c r="AZ677" s="365"/>
      <c r="BA677" s="377">
        <f t="shared" si="279"/>
        <v>0</v>
      </c>
      <c r="BB677" s="377">
        <f t="shared" si="280"/>
        <v>0</v>
      </c>
      <c r="BC677" s="377">
        <f t="shared" si="281"/>
        <v>0</v>
      </c>
      <c r="BD677" s="377">
        <f t="shared" si="282"/>
        <v>0</v>
      </c>
      <c r="BE677" s="377">
        <f t="shared" si="283"/>
        <v>0</v>
      </c>
      <c r="BF677" s="377">
        <f t="shared" si="284"/>
        <v>0</v>
      </c>
      <c r="BG677" s="328"/>
    </row>
    <row r="678" spans="2:59">
      <c r="B678" s="332">
        <v>663</v>
      </c>
      <c r="C678" s="350">
        <v>9782239.0604534782</v>
      </c>
      <c r="D678" s="350">
        <v>18508809.996308871</v>
      </c>
      <c r="E678" s="350">
        <v>27301101.193108171</v>
      </c>
      <c r="F678" s="350">
        <v>36159697.610106781</v>
      </c>
      <c r="G678" s="350">
        <v>45086004.49931509</v>
      </c>
      <c r="H678" s="348">
        <v>136837852.35929239</v>
      </c>
      <c r="I678" s="369"/>
      <c r="J678" s="350">
        <v>11051172.948299609</v>
      </c>
      <c r="K678" s="350">
        <v>22250587.849119842</v>
      </c>
      <c r="L678" s="350">
        <v>33167881.630761236</v>
      </c>
      <c r="M678" s="350">
        <v>43794735.291477174</v>
      </c>
      <c r="N678" s="350">
        <v>54125493.516005173</v>
      </c>
      <c r="O678" s="348">
        <v>164389871.23566306</v>
      </c>
      <c r="P678" s="369"/>
      <c r="Q678" s="350">
        <f t="shared" si="285"/>
        <v>1268933.8878461309</v>
      </c>
      <c r="R678" s="350">
        <f t="shared" si="286"/>
        <v>3741777.8528109714</v>
      </c>
      <c r="S678" s="350">
        <f t="shared" si="287"/>
        <v>5866780.4376530647</v>
      </c>
      <c r="T678" s="350">
        <f t="shared" si="288"/>
        <v>7635037.6813703924</v>
      </c>
      <c r="U678" s="350">
        <f t="shared" si="289"/>
        <v>9039489.0166900828</v>
      </c>
      <c r="V678" s="350">
        <f t="shared" si="290"/>
        <v>27552018.876370668</v>
      </c>
      <c r="W678" s="365"/>
      <c r="X678" s="377">
        <f t="shared" si="268"/>
        <v>0</v>
      </c>
      <c r="Y678" s="377">
        <f t="shared" si="269"/>
        <v>0</v>
      </c>
      <c r="Z678" s="377">
        <f t="shared" si="270"/>
        <v>0</v>
      </c>
      <c r="AA678" s="377">
        <f t="shared" si="271"/>
        <v>0</v>
      </c>
      <c r="AB678" s="377">
        <f t="shared" si="272"/>
        <v>0</v>
      </c>
      <c r="AC678" s="377">
        <f t="shared" si="273"/>
        <v>0</v>
      </c>
      <c r="AD678" s="376"/>
      <c r="AE678" s="332">
        <v>663</v>
      </c>
      <c r="AF678" s="350">
        <v>6598286.2592122573</v>
      </c>
      <c r="AG678" s="350">
        <v>13248389.999064082</v>
      </c>
      <c r="AH678" s="350">
        <v>19948822.079561308</v>
      </c>
      <c r="AI678" s="350">
        <v>26699804.667924024</v>
      </c>
      <c r="AJ678" s="350">
        <v>33502311.350778818</v>
      </c>
      <c r="AK678" s="348">
        <v>99997614.356540501</v>
      </c>
      <c r="AL678" s="369"/>
      <c r="AM678" s="350">
        <v>7613718.3465482946</v>
      </c>
      <c r="AN678" s="350">
        <v>16243367.667881045</v>
      </c>
      <c r="AO678" s="350">
        <v>24623584.440770522</v>
      </c>
      <c r="AP678" s="350">
        <v>32749133.051062394</v>
      </c>
      <c r="AQ678" s="350">
        <v>40617051.158449762</v>
      </c>
      <c r="AR678" s="348">
        <v>121846854.66471201</v>
      </c>
      <c r="AS678" s="369"/>
      <c r="AT678" s="350">
        <f t="shared" si="291"/>
        <v>1015432.0873360373</v>
      </c>
      <c r="AU678" s="350">
        <f t="shared" si="274"/>
        <v>2994977.6688169632</v>
      </c>
      <c r="AV678" s="350">
        <f t="shared" si="275"/>
        <v>4674762.3612092137</v>
      </c>
      <c r="AW678" s="350">
        <f t="shared" si="276"/>
        <v>6049328.3831383698</v>
      </c>
      <c r="AX678" s="350">
        <f t="shared" si="277"/>
        <v>7114739.8076709434</v>
      </c>
      <c r="AY678" s="350">
        <f t="shared" si="278"/>
        <v>21849240.308171511</v>
      </c>
      <c r="AZ678" s="365"/>
      <c r="BA678" s="377">
        <f t="shared" si="279"/>
        <v>0</v>
      </c>
      <c r="BB678" s="377">
        <f t="shared" si="280"/>
        <v>0</v>
      </c>
      <c r="BC678" s="377">
        <f t="shared" si="281"/>
        <v>0</v>
      </c>
      <c r="BD678" s="377">
        <f t="shared" si="282"/>
        <v>0</v>
      </c>
      <c r="BE678" s="377">
        <f t="shared" si="283"/>
        <v>0</v>
      </c>
      <c r="BF678" s="377">
        <f t="shared" si="284"/>
        <v>0</v>
      </c>
      <c r="BG678" s="328"/>
    </row>
    <row r="679" spans="2:59">
      <c r="B679" s="332">
        <v>664</v>
      </c>
      <c r="C679" s="350">
        <v>6678131.6776049696</v>
      </c>
      <c r="D679" s="350">
        <v>12748468.156413306</v>
      </c>
      <c r="E679" s="350">
        <v>18864557.019282326</v>
      </c>
      <c r="F679" s="350">
        <v>25026772.128640085</v>
      </c>
      <c r="G679" s="350">
        <v>31236076.621855784</v>
      </c>
      <c r="H679" s="348">
        <v>94554005.603796467</v>
      </c>
      <c r="I679" s="369"/>
      <c r="J679" s="350">
        <v>7619223.1966287382</v>
      </c>
      <c r="K679" s="350">
        <v>15524511.775112957</v>
      </c>
      <c r="L679" s="350">
        <v>23227790.909933466</v>
      </c>
      <c r="M679" s="350">
        <v>30723527.522697531</v>
      </c>
      <c r="N679" s="350">
        <v>38008147.507431597</v>
      </c>
      <c r="O679" s="348">
        <v>115103200.91180429</v>
      </c>
      <c r="P679" s="369"/>
      <c r="Q679" s="350">
        <f t="shared" si="285"/>
        <v>941091.5190237686</v>
      </c>
      <c r="R679" s="350">
        <f t="shared" si="286"/>
        <v>2776043.6186996512</v>
      </c>
      <c r="S679" s="350">
        <f t="shared" si="287"/>
        <v>4363233.8906511404</v>
      </c>
      <c r="T679" s="350">
        <f t="shared" si="288"/>
        <v>5696755.3940574452</v>
      </c>
      <c r="U679" s="350">
        <f t="shared" si="289"/>
        <v>6772070.8855758123</v>
      </c>
      <c r="V679" s="350">
        <f t="shared" si="290"/>
        <v>20549195.308007821</v>
      </c>
      <c r="W679" s="365"/>
      <c r="X679" s="377">
        <f t="shared" si="268"/>
        <v>0</v>
      </c>
      <c r="Y679" s="377">
        <f t="shared" si="269"/>
        <v>0</v>
      </c>
      <c r="Z679" s="377">
        <f t="shared" si="270"/>
        <v>0</v>
      </c>
      <c r="AA679" s="377">
        <f t="shared" si="271"/>
        <v>0</v>
      </c>
      <c r="AB679" s="377">
        <f t="shared" si="272"/>
        <v>0</v>
      </c>
      <c r="AC679" s="377">
        <f t="shared" si="273"/>
        <v>0</v>
      </c>
      <c r="AD679" s="376"/>
      <c r="AE679" s="332">
        <v>664</v>
      </c>
      <c r="AF679" s="350">
        <v>5533021.7167136883</v>
      </c>
      <c r="AG679" s="350">
        <v>11109495.207785273</v>
      </c>
      <c r="AH679" s="350">
        <v>16728171.748378754</v>
      </c>
      <c r="AI679" s="350">
        <v>22389237.637785368</v>
      </c>
      <c r="AJ679" s="350">
        <v>28093509.281316493</v>
      </c>
      <c r="AK679" s="348">
        <v>83853435.591979578</v>
      </c>
      <c r="AL679" s="369"/>
      <c r="AM679" s="350">
        <v>6857486.4539884385</v>
      </c>
      <c r="AN679" s="350">
        <v>15023636.128735255</v>
      </c>
      <c r="AO679" s="350">
        <v>22994788.644903801</v>
      </c>
      <c r="AP679" s="350">
        <v>30766419.882028807</v>
      </c>
      <c r="AQ679" s="350">
        <v>38336524.764186688</v>
      </c>
      <c r="AR679" s="348">
        <v>113978855.87384298</v>
      </c>
      <c r="AS679" s="369"/>
      <c r="AT679" s="350">
        <f t="shared" si="291"/>
        <v>1324464.7372747501</v>
      </c>
      <c r="AU679" s="350">
        <f t="shared" si="274"/>
        <v>3914140.9209499825</v>
      </c>
      <c r="AV679" s="350">
        <f t="shared" si="275"/>
        <v>6266616.8965250477</v>
      </c>
      <c r="AW679" s="350">
        <f t="shared" si="276"/>
        <v>8377182.2442434393</v>
      </c>
      <c r="AX679" s="350">
        <f t="shared" si="277"/>
        <v>10243015.482870195</v>
      </c>
      <c r="AY679" s="350">
        <f t="shared" si="278"/>
        <v>30125420.281863406</v>
      </c>
      <c r="AZ679" s="365"/>
      <c r="BA679" s="377">
        <f t="shared" si="279"/>
        <v>0</v>
      </c>
      <c r="BB679" s="377">
        <f t="shared" si="280"/>
        <v>0</v>
      </c>
      <c r="BC679" s="377">
        <f t="shared" si="281"/>
        <v>0</v>
      </c>
      <c r="BD679" s="377">
        <f t="shared" si="282"/>
        <v>0</v>
      </c>
      <c r="BE679" s="377">
        <f t="shared" si="283"/>
        <v>0</v>
      </c>
      <c r="BF679" s="377">
        <f t="shared" si="284"/>
        <v>0</v>
      </c>
      <c r="BG679" s="328"/>
    </row>
    <row r="680" spans="2:59">
      <c r="B680" s="332">
        <v>665</v>
      </c>
      <c r="C680" s="350">
        <v>6332714.7631731518</v>
      </c>
      <c r="D680" s="350">
        <v>11738118.864741702</v>
      </c>
      <c r="E680" s="350">
        <v>17184152.780047249</v>
      </c>
      <c r="F680" s="350">
        <v>22671250.239103824</v>
      </c>
      <c r="G680" s="350">
        <v>28200312.745626103</v>
      </c>
      <c r="H680" s="348">
        <v>86126549.392692029</v>
      </c>
      <c r="I680" s="369"/>
      <c r="J680" s="350">
        <v>7756009.2762450278</v>
      </c>
      <c r="K680" s="350">
        <v>15945883.554358315</v>
      </c>
      <c r="L680" s="350">
        <v>23976312.559632875</v>
      </c>
      <c r="M680" s="350">
        <v>31842195.07808736</v>
      </c>
      <c r="N680" s="350">
        <v>39540871.137356102</v>
      </c>
      <c r="O680" s="348">
        <v>119061271.60567968</v>
      </c>
      <c r="P680" s="369"/>
      <c r="Q680" s="350">
        <f t="shared" si="285"/>
        <v>1423294.513071876</v>
      </c>
      <c r="R680" s="350">
        <f t="shared" si="286"/>
        <v>4207764.6896166131</v>
      </c>
      <c r="S680" s="350">
        <f t="shared" si="287"/>
        <v>6792159.779585626</v>
      </c>
      <c r="T680" s="350">
        <f t="shared" si="288"/>
        <v>9170944.8389835358</v>
      </c>
      <c r="U680" s="350">
        <f t="shared" si="289"/>
        <v>11340558.391729999</v>
      </c>
      <c r="V680" s="350">
        <f t="shared" si="290"/>
        <v>32934722.212987646</v>
      </c>
      <c r="W680" s="365"/>
      <c r="X680" s="377">
        <f t="shared" si="268"/>
        <v>0</v>
      </c>
      <c r="Y680" s="377">
        <f t="shared" si="269"/>
        <v>0</v>
      </c>
      <c r="Z680" s="377">
        <f t="shared" si="270"/>
        <v>0</v>
      </c>
      <c r="AA680" s="377">
        <f t="shared" si="271"/>
        <v>0</v>
      </c>
      <c r="AB680" s="377">
        <f t="shared" si="272"/>
        <v>0</v>
      </c>
      <c r="AC680" s="377">
        <f t="shared" si="273"/>
        <v>0</v>
      </c>
      <c r="AD680" s="376"/>
      <c r="AE680" s="332">
        <v>665</v>
      </c>
      <c r="AF680" s="350">
        <v>6262349.3444603169</v>
      </c>
      <c r="AG680" s="350">
        <v>12573877.998997051</v>
      </c>
      <c r="AH680" s="350">
        <v>18933172.639831893</v>
      </c>
      <c r="AI680" s="350">
        <v>25340444.123040251</v>
      </c>
      <c r="AJ680" s="350">
        <v>31796616.467273831</v>
      </c>
      <c r="AK680" s="348">
        <v>94906460.573603332</v>
      </c>
      <c r="AL680" s="369"/>
      <c r="AM680" s="350">
        <v>7394618.121267857</v>
      </c>
      <c r="AN680" s="350">
        <v>15916198.821410965</v>
      </c>
      <c r="AO680" s="350">
        <v>24206093.951052979</v>
      </c>
      <c r="AP680" s="350">
        <v>32259286.787579894</v>
      </c>
      <c r="AQ680" s="350">
        <v>40073136.498161897</v>
      </c>
      <c r="AR680" s="348">
        <v>119849334.17947359</v>
      </c>
      <c r="AS680" s="369"/>
      <c r="AT680" s="350">
        <f t="shared" si="291"/>
        <v>1132268.7768075401</v>
      </c>
      <c r="AU680" s="350">
        <f t="shared" si="274"/>
        <v>3342320.8224139139</v>
      </c>
      <c r="AV680" s="350">
        <f t="shared" si="275"/>
        <v>5272921.3112210855</v>
      </c>
      <c r="AW680" s="350">
        <f t="shared" si="276"/>
        <v>6918842.6645396426</v>
      </c>
      <c r="AX680" s="350">
        <f t="shared" si="277"/>
        <v>8276520.0308880657</v>
      </c>
      <c r="AY680" s="350">
        <f t="shared" si="278"/>
        <v>24942873.605870262</v>
      </c>
      <c r="AZ680" s="365"/>
      <c r="BA680" s="377">
        <f t="shared" si="279"/>
        <v>0</v>
      </c>
      <c r="BB680" s="377">
        <f t="shared" si="280"/>
        <v>0</v>
      </c>
      <c r="BC680" s="377">
        <f t="shared" si="281"/>
        <v>0</v>
      </c>
      <c r="BD680" s="377">
        <f t="shared" si="282"/>
        <v>0</v>
      </c>
      <c r="BE680" s="377">
        <f t="shared" si="283"/>
        <v>0</v>
      </c>
      <c r="BF680" s="377">
        <f t="shared" si="284"/>
        <v>0</v>
      </c>
      <c r="BG680" s="328"/>
    </row>
    <row r="681" spans="2:59">
      <c r="B681" s="332">
        <v>666</v>
      </c>
      <c r="C681" s="350">
        <v>6060316.1637062132</v>
      </c>
      <c r="D681" s="350">
        <v>11398929.255213181</v>
      </c>
      <c r="E681" s="350">
        <v>16777725.915098336</v>
      </c>
      <c r="F681" s="350">
        <v>22197083.816080268</v>
      </c>
      <c r="G681" s="350">
        <v>27657871.263994724</v>
      </c>
      <c r="H681" s="348">
        <v>84091926.41409272</v>
      </c>
      <c r="I681" s="369"/>
      <c r="J681" s="350">
        <v>7193341.1340510799</v>
      </c>
      <c r="K681" s="350">
        <v>14746005.97700678</v>
      </c>
      <c r="L681" s="350">
        <v>22136580.681724716</v>
      </c>
      <c r="M681" s="350">
        <v>29359914.99797634</v>
      </c>
      <c r="N681" s="350">
        <v>36412939.700255513</v>
      </c>
      <c r="O681" s="348">
        <v>109848782.49101442</v>
      </c>
      <c r="P681" s="369"/>
      <c r="Q681" s="350">
        <f t="shared" si="285"/>
        <v>1133024.9703448666</v>
      </c>
      <c r="R681" s="350">
        <f t="shared" si="286"/>
        <v>3347076.7217935994</v>
      </c>
      <c r="S681" s="350">
        <f t="shared" si="287"/>
        <v>5358854.7666263804</v>
      </c>
      <c r="T681" s="350">
        <f t="shared" si="288"/>
        <v>7162831.1818960719</v>
      </c>
      <c r="U681" s="350">
        <f t="shared" si="289"/>
        <v>8755068.4362607896</v>
      </c>
      <c r="V681" s="350">
        <f t="shared" si="290"/>
        <v>25756856.076921701</v>
      </c>
      <c r="W681" s="365"/>
      <c r="X681" s="377">
        <f t="shared" si="268"/>
        <v>0</v>
      </c>
      <c r="Y681" s="377">
        <f t="shared" si="269"/>
        <v>0</v>
      </c>
      <c r="Z681" s="377">
        <f t="shared" si="270"/>
        <v>0</v>
      </c>
      <c r="AA681" s="377">
        <f t="shared" si="271"/>
        <v>0</v>
      </c>
      <c r="AB681" s="377">
        <f t="shared" si="272"/>
        <v>0</v>
      </c>
      <c r="AC681" s="377">
        <f t="shared" si="273"/>
        <v>0</v>
      </c>
      <c r="AD681" s="376"/>
      <c r="AE681" s="332">
        <v>666</v>
      </c>
      <c r="AF681" s="350">
        <v>6113514.1513543427</v>
      </c>
      <c r="AG681" s="350">
        <v>12275038.78432961</v>
      </c>
      <c r="AH681" s="350">
        <v>18483194.165147968</v>
      </c>
      <c r="AI681" s="350">
        <v>24738186.138537973</v>
      </c>
      <c r="AJ681" s="350">
        <v>31040916.762304541</v>
      </c>
      <c r="AK681" s="348">
        <v>92650850.001674429</v>
      </c>
      <c r="AL681" s="369"/>
      <c r="AM681" s="350">
        <v>7386008.1037391368</v>
      </c>
      <c r="AN681" s="350">
        <v>16033598.387683257</v>
      </c>
      <c r="AO681" s="350">
        <v>24460015.254703313</v>
      </c>
      <c r="AP681" s="350">
        <v>32660313.940877877</v>
      </c>
      <c r="AQ681" s="350">
        <v>40632085.646193728</v>
      </c>
      <c r="AR681" s="348">
        <v>121172021.33319731</v>
      </c>
      <c r="AS681" s="369"/>
      <c r="AT681" s="350">
        <f t="shared" si="291"/>
        <v>1272493.9523847941</v>
      </c>
      <c r="AU681" s="350">
        <f t="shared" si="274"/>
        <v>3758559.6033536475</v>
      </c>
      <c r="AV681" s="350">
        <f t="shared" si="275"/>
        <v>5976821.0895553455</v>
      </c>
      <c r="AW681" s="350">
        <f t="shared" si="276"/>
        <v>7922127.802339904</v>
      </c>
      <c r="AX681" s="350">
        <f t="shared" si="277"/>
        <v>9591168.8838891871</v>
      </c>
      <c r="AY681" s="350">
        <f t="shared" si="278"/>
        <v>28521171.331522882</v>
      </c>
      <c r="AZ681" s="365"/>
      <c r="BA681" s="377">
        <f t="shared" si="279"/>
        <v>0</v>
      </c>
      <c r="BB681" s="377">
        <f t="shared" si="280"/>
        <v>0</v>
      </c>
      <c r="BC681" s="377">
        <f t="shared" si="281"/>
        <v>0</v>
      </c>
      <c r="BD681" s="377">
        <f t="shared" si="282"/>
        <v>0</v>
      </c>
      <c r="BE681" s="377">
        <f t="shared" si="283"/>
        <v>0</v>
      </c>
      <c r="BF681" s="377">
        <f t="shared" si="284"/>
        <v>0</v>
      </c>
      <c r="BG681" s="328"/>
    </row>
    <row r="682" spans="2:59">
      <c r="B682" s="332">
        <v>667</v>
      </c>
      <c r="C682" s="350">
        <v>7012782.0533295143</v>
      </c>
      <c r="D682" s="350">
        <v>13084293.657367986</v>
      </c>
      <c r="E682" s="350">
        <v>19201470.709401343</v>
      </c>
      <c r="F682" s="350">
        <v>25364774.193454616</v>
      </c>
      <c r="G682" s="350">
        <v>31575205.308293663</v>
      </c>
      <c r="H682" s="348">
        <v>96238525.92184712</v>
      </c>
      <c r="I682" s="369"/>
      <c r="J682" s="350">
        <v>8110740.6953212311</v>
      </c>
      <c r="K682" s="350">
        <v>16325560.582503842</v>
      </c>
      <c r="L682" s="350">
        <v>24348926.837829761</v>
      </c>
      <c r="M682" s="350">
        <v>32175114.354723386</v>
      </c>
      <c r="N682" s="350">
        <v>39800501.999061711</v>
      </c>
      <c r="O682" s="348">
        <v>120760844.46943992</v>
      </c>
      <c r="P682" s="369"/>
      <c r="Q682" s="350">
        <f t="shared" si="285"/>
        <v>1097958.6419917168</v>
      </c>
      <c r="R682" s="350">
        <f t="shared" si="286"/>
        <v>3241266.9251358565</v>
      </c>
      <c r="S682" s="350">
        <f t="shared" si="287"/>
        <v>5147456.1284284182</v>
      </c>
      <c r="T682" s="350">
        <f t="shared" si="288"/>
        <v>6810340.1612687707</v>
      </c>
      <c r="U682" s="350">
        <f t="shared" si="289"/>
        <v>8225296.6907680482</v>
      </c>
      <c r="V682" s="350">
        <f t="shared" si="290"/>
        <v>24522318.547592804</v>
      </c>
      <c r="W682" s="365"/>
      <c r="X682" s="377">
        <f t="shared" si="268"/>
        <v>0</v>
      </c>
      <c r="Y682" s="377">
        <f t="shared" si="269"/>
        <v>0</v>
      </c>
      <c r="Z682" s="377">
        <f t="shared" si="270"/>
        <v>0</v>
      </c>
      <c r="AA682" s="377">
        <f t="shared" si="271"/>
        <v>0</v>
      </c>
      <c r="AB682" s="377">
        <f t="shared" si="272"/>
        <v>0</v>
      </c>
      <c r="AC682" s="377">
        <f t="shared" si="273"/>
        <v>0</v>
      </c>
      <c r="AD682" s="376"/>
      <c r="AE682" s="332">
        <v>667</v>
      </c>
      <c r="AF682" s="350">
        <v>6352713.7665213365</v>
      </c>
      <c r="AG682" s="350">
        <v>12755316.490519445</v>
      </c>
      <c r="AH682" s="350">
        <v>19206374.454242542</v>
      </c>
      <c r="AI682" s="350">
        <v>25706101.556376144</v>
      </c>
      <c r="AJ682" s="350">
        <v>32255435.148972381</v>
      </c>
      <c r="AK682" s="348">
        <v>96275941.416631848</v>
      </c>
      <c r="AL682" s="369"/>
      <c r="AM682" s="350">
        <v>7548281.8306309171</v>
      </c>
      <c r="AN682" s="350">
        <v>16285138.499872325</v>
      </c>
      <c r="AO682" s="350">
        <v>24788372.91631826</v>
      </c>
      <c r="AP682" s="350">
        <v>33052882.684793156</v>
      </c>
      <c r="AQ682" s="350">
        <v>41076036.426151142</v>
      </c>
      <c r="AR682" s="348">
        <v>122750712.35776579</v>
      </c>
      <c r="AS682" s="369"/>
      <c r="AT682" s="350">
        <f t="shared" si="291"/>
        <v>1195568.0641095806</v>
      </c>
      <c r="AU682" s="350">
        <f t="shared" si="274"/>
        <v>3529822.0093528796</v>
      </c>
      <c r="AV682" s="350">
        <f t="shared" si="275"/>
        <v>5581998.4620757177</v>
      </c>
      <c r="AW682" s="350">
        <f t="shared" si="276"/>
        <v>7346781.1284170114</v>
      </c>
      <c r="AX682" s="350">
        <f t="shared" si="277"/>
        <v>8820601.2771787606</v>
      </c>
      <c r="AY682" s="350">
        <f t="shared" si="278"/>
        <v>26474770.941133946</v>
      </c>
      <c r="AZ682" s="365"/>
      <c r="BA682" s="377">
        <f t="shared" si="279"/>
        <v>0</v>
      </c>
      <c r="BB682" s="377">
        <f t="shared" si="280"/>
        <v>0</v>
      </c>
      <c r="BC682" s="377">
        <f t="shared" si="281"/>
        <v>0</v>
      </c>
      <c r="BD682" s="377">
        <f t="shared" si="282"/>
        <v>0</v>
      </c>
      <c r="BE682" s="377">
        <f t="shared" si="283"/>
        <v>0</v>
      </c>
      <c r="BF682" s="377">
        <f t="shared" si="284"/>
        <v>0</v>
      </c>
      <c r="BG682" s="328"/>
    </row>
    <row r="683" spans="2:59">
      <c r="B683" s="332">
        <v>668</v>
      </c>
      <c r="C683" s="350">
        <v>8498714.3498228397</v>
      </c>
      <c r="D683" s="350">
        <v>16027858.755636718</v>
      </c>
      <c r="E683" s="350">
        <v>23613688.656558465</v>
      </c>
      <c r="F683" s="350">
        <v>31256724.088999934</v>
      </c>
      <c r="G683" s="350">
        <v>38958184.157407828</v>
      </c>
      <c r="H683" s="348">
        <v>118355170.00842577</v>
      </c>
      <c r="I683" s="369"/>
      <c r="J683" s="350">
        <v>9429658.4156107195</v>
      </c>
      <c r="K683" s="350">
        <v>18770205.659693696</v>
      </c>
      <c r="L683" s="350">
        <v>27857599.364295706</v>
      </c>
      <c r="M683" s="350">
        <v>36684912.80219657</v>
      </c>
      <c r="N683" s="350">
        <v>45247303.869697094</v>
      </c>
      <c r="O683" s="348">
        <v>137989680.1114938</v>
      </c>
      <c r="P683" s="369"/>
      <c r="Q683" s="350">
        <f t="shared" si="285"/>
        <v>930944.06578787975</v>
      </c>
      <c r="R683" s="350">
        <f t="shared" si="286"/>
        <v>2742346.9040569775</v>
      </c>
      <c r="S683" s="350">
        <f t="shared" si="287"/>
        <v>4243910.7077372409</v>
      </c>
      <c r="T683" s="350">
        <f t="shared" si="288"/>
        <v>5428188.7131966352</v>
      </c>
      <c r="U683" s="350">
        <f t="shared" si="289"/>
        <v>6289119.7122892663</v>
      </c>
      <c r="V683" s="350">
        <f t="shared" si="290"/>
        <v>19634510.103068024</v>
      </c>
      <c r="W683" s="365"/>
      <c r="X683" s="377">
        <f t="shared" si="268"/>
        <v>0</v>
      </c>
      <c r="Y683" s="377">
        <f t="shared" si="269"/>
        <v>0</v>
      </c>
      <c r="Z683" s="377">
        <f t="shared" si="270"/>
        <v>0</v>
      </c>
      <c r="AA683" s="377">
        <f t="shared" si="271"/>
        <v>0</v>
      </c>
      <c r="AB683" s="377">
        <f t="shared" si="272"/>
        <v>0</v>
      </c>
      <c r="AC683" s="377">
        <f t="shared" si="273"/>
        <v>0</v>
      </c>
      <c r="AD683" s="376"/>
      <c r="AE683" s="332">
        <v>668</v>
      </c>
      <c r="AF683" s="350">
        <v>5606993.3018576466</v>
      </c>
      <c r="AG683" s="350">
        <v>11258019.289696375</v>
      </c>
      <c r="AH683" s="350">
        <v>16951812.54433842</v>
      </c>
      <c r="AI683" s="350">
        <v>22688561.855731044</v>
      </c>
      <c r="AJ683" s="350">
        <v>28469094.543799393</v>
      </c>
      <c r="AK683" s="348">
        <v>84974481.535422891</v>
      </c>
      <c r="AL683" s="369"/>
      <c r="AM683" s="350">
        <v>6654480.0931536406</v>
      </c>
      <c r="AN683" s="350">
        <v>14350540.029832162</v>
      </c>
      <c r="AO683" s="350">
        <v>21840169.964559752</v>
      </c>
      <c r="AP683" s="350">
        <v>29118868.641209677</v>
      </c>
      <c r="AQ683" s="350">
        <v>36184305.73109217</v>
      </c>
      <c r="AR683" s="348">
        <v>108148364.45984741</v>
      </c>
      <c r="AS683" s="369"/>
      <c r="AT683" s="350">
        <f t="shared" si="291"/>
        <v>1047486.7912959941</v>
      </c>
      <c r="AU683" s="350">
        <f t="shared" si="274"/>
        <v>3092520.7401357871</v>
      </c>
      <c r="AV683" s="350">
        <f t="shared" si="275"/>
        <v>4888357.4202213325</v>
      </c>
      <c r="AW683" s="350">
        <f t="shared" si="276"/>
        <v>6430306.7854786329</v>
      </c>
      <c r="AX683" s="350">
        <f t="shared" si="277"/>
        <v>7715211.187292777</v>
      </c>
      <c r="AY683" s="350">
        <f t="shared" si="278"/>
        <v>23173882.924424514</v>
      </c>
      <c r="AZ683" s="365"/>
      <c r="BA683" s="377">
        <f t="shared" si="279"/>
        <v>0</v>
      </c>
      <c r="BB683" s="377">
        <f t="shared" si="280"/>
        <v>0</v>
      </c>
      <c r="BC683" s="377">
        <f t="shared" si="281"/>
        <v>0</v>
      </c>
      <c r="BD683" s="377">
        <f t="shared" si="282"/>
        <v>0</v>
      </c>
      <c r="BE683" s="377">
        <f t="shared" si="283"/>
        <v>0</v>
      </c>
      <c r="BF683" s="377">
        <f t="shared" si="284"/>
        <v>0</v>
      </c>
      <c r="BG683" s="328"/>
    </row>
    <row r="684" spans="2:59">
      <c r="B684" s="332">
        <v>669</v>
      </c>
      <c r="C684" s="350">
        <v>5438704.2964160424</v>
      </c>
      <c r="D684" s="350">
        <v>10177406.958444972</v>
      </c>
      <c r="E684" s="350">
        <v>14951760.613987187</v>
      </c>
      <c r="F684" s="350">
        <v>19762116.006392654</v>
      </c>
      <c r="G684" s="350">
        <v>24609250.616835665</v>
      </c>
      <c r="H684" s="348">
        <v>74939238.492076516</v>
      </c>
      <c r="I684" s="369"/>
      <c r="J684" s="350">
        <v>6351207.1284211753</v>
      </c>
      <c r="K684" s="350">
        <v>12871973.362218551</v>
      </c>
      <c r="L684" s="350">
        <v>19244400.250396252</v>
      </c>
      <c r="M684" s="350">
        <v>25464039.409813941</v>
      </c>
      <c r="N684" s="350">
        <v>31528162.941542353</v>
      </c>
      <c r="O684" s="348">
        <v>95459783.092392281</v>
      </c>
      <c r="P684" s="369"/>
      <c r="Q684" s="350">
        <f t="shared" si="285"/>
        <v>912502.83200513292</v>
      </c>
      <c r="R684" s="350">
        <f t="shared" si="286"/>
        <v>2694566.4037735797</v>
      </c>
      <c r="S684" s="350">
        <f t="shared" si="287"/>
        <v>4292639.6364090648</v>
      </c>
      <c r="T684" s="350">
        <f t="shared" si="288"/>
        <v>5701923.4034212865</v>
      </c>
      <c r="U684" s="350">
        <f t="shared" si="289"/>
        <v>6918912.3247066885</v>
      </c>
      <c r="V684" s="350">
        <f t="shared" si="290"/>
        <v>20520544.600315765</v>
      </c>
      <c r="W684" s="365"/>
      <c r="X684" s="377">
        <f t="shared" si="268"/>
        <v>0</v>
      </c>
      <c r="Y684" s="377">
        <f t="shared" si="269"/>
        <v>0</v>
      </c>
      <c r="Z684" s="377">
        <f t="shared" si="270"/>
        <v>0</v>
      </c>
      <c r="AA684" s="377">
        <f t="shared" si="271"/>
        <v>0</v>
      </c>
      <c r="AB684" s="377">
        <f t="shared" si="272"/>
        <v>0</v>
      </c>
      <c r="AC684" s="377">
        <f t="shared" si="273"/>
        <v>0</v>
      </c>
      <c r="AD684" s="376"/>
      <c r="AE684" s="332">
        <v>669</v>
      </c>
      <c r="AF684" s="350">
        <v>4914478.8879784644</v>
      </c>
      <c r="AG684" s="350">
        <v>9867552.0267407354</v>
      </c>
      <c r="AH684" s="350">
        <v>14858110.287829049</v>
      </c>
      <c r="AI684" s="350">
        <v>19886319.143923707</v>
      </c>
      <c r="AJ684" s="350">
        <v>24952903.733452179</v>
      </c>
      <c r="AK684" s="348">
        <v>74479364.079924136</v>
      </c>
      <c r="AL684" s="369"/>
      <c r="AM684" s="350">
        <v>5655850.4807151649</v>
      </c>
      <c r="AN684" s="350">
        <v>12053956.266202014</v>
      </c>
      <c r="AO684" s="350">
        <v>18265834.571387388</v>
      </c>
      <c r="AP684" s="350">
        <v>24287590.074950013</v>
      </c>
      <c r="AQ684" s="350">
        <v>30117001.267581057</v>
      </c>
      <c r="AR684" s="348">
        <v>90380232.660835639</v>
      </c>
      <c r="AS684" s="369"/>
      <c r="AT684" s="350">
        <f t="shared" si="291"/>
        <v>741371.59273670055</v>
      </c>
      <c r="AU684" s="350">
        <f t="shared" si="274"/>
        <v>2186404.2394612785</v>
      </c>
      <c r="AV684" s="350">
        <f t="shared" si="275"/>
        <v>3407724.2835583389</v>
      </c>
      <c r="AW684" s="350">
        <f t="shared" si="276"/>
        <v>4401270.931026306</v>
      </c>
      <c r="AX684" s="350">
        <f t="shared" si="277"/>
        <v>5164097.5341288783</v>
      </c>
      <c r="AY684" s="350">
        <f t="shared" si="278"/>
        <v>15900868.580911502</v>
      </c>
      <c r="AZ684" s="365"/>
      <c r="BA684" s="377">
        <f t="shared" si="279"/>
        <v>0</v>
      </c>
      <c r="BB684" s="377">
        <f t="shared" si="280"/>
        <v>0</v>
      </c>
      <c r="BC684" s="377">
        <f t="shared" si="281"/>
        <v>0</v>
      </c>
      <c r="BD684" s="377">
        <f t="shared" si="282"/>
        <v>0</v>
      </c>
      <c r="BE684" s="377">
        <f t="shared" si="283"/>
        <v>0</v>
      </c>
      <c r="BF684" s="377">
        <f t="shared" si="284"/>
        <v>0</v>
      </c>
      <c r="BG684" s="328"/>
    </row>
    <row r="685" spans="2:59">
      <c r="B685" s="332">
        <v>670</v>
      </c>
      <c r="C685" s="350">
        <v>4839977.4812458679</v>
      </c>
      <c r="D685" s="350">
        <v>9197164.4449341428</v>
      </c>
      <c r="E685" s="350">
        <v>13587178.342574921</v>
      </c>
      <c r="F685" s="350">
        <v>18010299.675487142</v>
      </c>
      <c r="G685" s="350">
        <v>22467225.053752199</v>
      </c>
      <c r="H685" s="348">
        <v>68101844.997994274</v>
      </c>
      <c r="I685" s="369"/>
      <c r="J685" s="350">
        <v>5632856.8548026402</v>
      </c>
      <c r="K685" s="350">
        <v>11537868.790484644</v>
      </c>
      <c r="L685" s="350">
        <v>17303872.937057614</v>
      </c>
      <c r="M685" s="350">
        <v>22926771.561386038</v>
      </c>
      <c r="N685" s="350">
        <v>28404014.304681771</v>
      </c>
      <c r="O685" s="348">
        <v>85805384.448412716</v>
      </c>
      <c r="P685" s="369"/>
      <c r="Q685" s="350">
        <f t="shared" si="285"/>
        <v>792879.37355677225</v>
      </c>
      <c r="R685" s="350">
        <f t="shared" si="286"/>
        <v>2340704.3455505017</v>
      </c>
      <c r="S685" s="350">
        <f t="shared" si="287"/>
        <v>3716694.5944826938</v>
      </c>
      <c r="T685" s="350">
        <f t="shared" si="288"/>
        <v>4916471.8858988956</v>
      </c>
      <c r="U685" s="350">
        <f t="shared" si="289"/>
        <v>5936789.2509295717</v>
      </c>
      <c r="V685" s="350">
        <f t="shared" si="290"/>
        <v>17703539.450418442</v>
      </c>
      <c r="W685" s="365"/>
      <c r="X685" s="377">
        <f t="shared" si="268"/>
        <v>0</v>
      </c>
      <c r="Y685" s="377">
        <f t="shared" si="269"/>
        <v>0</v>
      </c>
      <c r="Z685" s="377">
        <f t="shared" si="270"/>
        <v>0</v>
      </c>
      <c r="AA685" s="377">
        <f t="shared" si="271"/>
        <v>0</v>
      </c>
      <c r="AB685" s="377">
        <f t="shared" si="272"/>
        <v>0</v>
      </c>
      <c r="AC685" s="377">
        <f t="shared" si="273"/>
        <v>0</v>
      </c>
      <c r="AD685" s="376"/>
      <c r="AE685" s="332">
        <v>670</v>
      </c>
      <c r="AF685" s="350">
        <v>5997222.6172550535</v>
      </c>
      <c r="AG685" s="350">
        <v>12041542.458645679</v>
      </c>
      <c r="AH685" s="350">
        <v>18131606.035750426</v>
      </c>
      <c r="AI685" s="350">
        <v>24267615.277710404</v>
      </c>
      <c r="AJ685" s="350">
        <v>30450455.083347432</v>
      </c>
      <c r="AK685" s="348">
        <v>90888441.472709</v>
      </c>
      <c r="AL685" s="369"/>
      <c r="AM685" s="350">
        <v>7036990.0139951333</v>
      </c>
      <c r="AN685" s="350">
        <v>15110194.168077901</v>
      </c>
      <c r="AO685" s="350">
        <v>22960186.802358318</v>
      </c>
      <c r="AP685" s="350">
        <v>30582176.189938486</v>
      </c>
      <c r="AQ685" s="350">
        <v>37973588.168094382</v>
      </c>
      <c r="AR685" s="348">
        <v>113663135.34246422</v>
      </c>
      <c r="AS685" s="369"/>
      <c r="AT685" s="350">
        <f t="shared" si="291"/>
        <v>1039767.3967400799</v>
      </c>
      <c r="AU685" s="350">
        <f t="shared" si="274"/>
        <v>3068651.7094322219</v>
      </c>
      <c r="AV685" s="350">
        <f t="shared" si="275"/>
        <v>4828580.7666078918</v>
      </c>
      <c r="AW685" s="350">
        <f t="shared" si="276"/>
        <v>6314560.9122280814</v>
      </c>
      <c r="AX685" s="350">
        <f t="shared" si="277"/>
        <v>7523133.0847469494</v>
      </c>
      <c r="AY685" s="350">
        <f t="shared" si="278"/>
        <v>22774693.869755223</v>
      </c>
      <c r="AZ685" s="365"/>
      <c r="BA685" s="377">
        <f t="shared" si="279"/>
        <v>0</v>
      </c>
      <c r="BB685" s="377">
        <f t="shared" si="280"/>
        <v>0</v>
      </c>
      <c r="BC685" s="377">
        <f t="shared" si="281"/>
        <v>0</v>
      </c>
      <c r="BD685" s="377">
        <f t="shared" si="282"/>
        <v>0</v>
      </c>
      <c r="BE685" s="377">
        <f t="shared" si="283"/>
        <v>0</v>
      </c>
      <c r="BF685" s="377">
        <f t="shared" si="284"/>
        <v>0</v>
      </c>
      <c r="BG685" s="328"/>
    </row>
    <row r="686" spans="2:59">
      <c r="B686" s="332">
        <v>671</v>
      </c>
      <c r="C686" s="350">
        <v>5855719.0140326358</v>
      </c>
      <c r="D686" s="350">
        <v>10808993.226044655</v>
      </c>
      <c r="E686" s="350">
        <v>15799483.666384518</v>
      </c>
      <c r="F686" s="350">
        <v>20827601.547131475</v>
      </c>
      <c r="G686" s="350">
        <v>25894178.953963071</v>
      </c>
      <c r="H686" s="348">
        <v>79185976.407556355</v>
      </c>
      <c r="I686" s="369"/>
      <c r="J686" s="350">
        <v>6750144.0580777917</v>
      </c>
      <c r="K686" s="350">
        <v>13449411.022887543</v>
      </c>
      <c r="L686" s="350">
        <v>20000225.350456804</v>
      </c>
      <c r="M686" s="350">
        <v>26397656.384501539</v>
      </c>
      <c r="N686" s="350">
        <v>32638456.543995388</v>
      </c>
      <c r="O686" s="348">
        <v>99235893.359919071</v>
      </c>
      <c r="P686" s="369"/>
      <c r="Q686" s="350">
        <f t="shared" si="285"/>
        <v>894425.04404515587</v>
      </c>
      <c r="R686" s="350">
        <f t="shared" si="286"/>
        <v>2640417.796842888</v>
      </c>
      <c r="S686" s="350">
        <f t="shared" si="287"/>
        <v>4200741.6840722859</v>
      </c>
      <c r="T686" s="350">
        <f t="shared" si="288"/>
        <v>5570054.8373700641</v>
      </c>
      <c r="U686" s="350">
        <f t="shared" si="289"/>
        <v>6744277.5900323167</v>
      </c>
      <c r="V686" s="350">
        <f t="shared" si="290"/>
        <v>20049916.952362716</v>
      </c>
      <c r="W686" s="365"/>
      <c r="X686" s="377">
        <f t="shared" si="268"/>
        <v>0</v>
      </c>
      <c r="Y686" s="377">
        <f t="shared" si="269"/>
        <v>0</v>
      </c>
      <c r="Z686" s="377">
        <f t="shared" si="270"/>
        <v>0</v>
      </c>
      <c r="AA686" s="377">
        <f t="shared" si="271"/>
        <v>0</v>
      </c>
      <c r="AB686" s="377">
        <f t="shared" si="272"/>
        <v>0</v>
      </c>
      <c r="AC686" s="377">
        <f t="shared" si="273"/>
        <v>0</v>
      </c>
      <c r="AD686" s="376"/>
      <c r="AE686" s="332">
        <v>671</v>
      </c>
      <c r="AF686" s="350">
        <v>8128433.9803912025</v>
      </c>
      <c r="AG686" s="350">
        <v>16320701.955529274</v>
      </c>
      <c r="AH686" s="350">
        <v>24574969.452695914</v>
      </c>
      <c r="AI686" s="350">
        <v>32891510.159862526</v>
      </c>
      <c r="AJ686" s="350">
        <v>41271523.439152472</v>
      </c>
      <c r="AK686" s="348">
        <v>123187138.98763138</v>
      </c>
      <c r="AL686" s="369"/>
      <c r="AM686" s="350">
        <v>9655401.7252758481</v>
      </c>
      <c r="AN686" s="350">
        <v>20828918.800397418</v>
      </c>
      <c r="AO686" s="350">
        <v>31703427.694107361</v>
      </c>
      <c r="AP686" s="350">
        <v>42272400.570328668</v>
      </c>
      <c r="AQ686" s="350">
        <v>52532467.699909963</v>
      </c>
      <c r="AR686" s="348">
        <v>156992616.49001926</v>
      </c>
      <c r="AS686" s="369"/>
      <c r="AT686" s="350">
        <f t="shared" si="291"/>
        <v>1526967.7448846456</v>
      </c>
      <c r="AU686" s="350">
        <f t="shared" si="274"/>
        <v>4508216.844868144</v>
      </c>
      <c r="AV686" s="350">
        <f t="shared" si="275"/>
        <v>7128458.2414114475</v>
      </c>
      <c r="AW686" s="350">
        <f t="shared" si="276"/>
        <v>9380890.410466142</v>
      </c>
      <c r="AX686" s="350">
        <f t="shared" si="277"/>
        <v>11260944.260757491</v>
      </c>
      <c r="AY686" s="350">
        <f t="shared" si="278"/>
        <v>33805477.502387881</v>
      </c>
      <c r="AZ686" s="365"/>
      <c r="BA686" s="377">
        <f t="shared" si="279"/>
        <v>0</v>
      </c>
      <c r="BB686" s="377">
        <f t="shared" si="280"/>
        <v>0</v>
      </c>
      <c r="BC686" s="377">
        <f t="shared" si="281"/>
        <v>0</v>
      </c>
      <c r="BD686" s="377">
        <f t="shared" si="282"/>
        <v>0</v>
      </c>
      <c r="BE686" s="377">
        <f t="shared" si="283"/>
        <v>0</v>
      </c>
      <c r="BF686" s="377">
        <f t="shared" si="284"/>
        <v>0</v>
      </c>
      <c r="BG686" s="328"/>
    </row>
    <row r="687" spans="2:59">
      <c r="B687" s="332">
        <v>672</v>
      </c>
      <c r="C687" s="350">
        <v>8630062.870368097</v>
      </c>
      <c r="D687" s="350">
        <v>16310975.135360103</v>
      </c>
      <c r="E687" s="350">
        <v>24049727.010574792</v>
      </c>
      <c r="F687" s="350">
        <v>31846838.579426169</v>
      </c>
      <c r="G687" s="350">
        <v>39703548.979821056</v>
      </c>
      <c r="H687" s="348">
        <v>120541152.57555021</v>
      </c>
      <c r="I687" s="369"/>
      <c r="J687" s="350">
        <v>10069446.744344356</v>
      </c>
      <c r="K687" s="350">
        <v>20560847.700849891</v>
      </c>
      <c r="L687" s="350">
        <v>30812508.328360789</v>
      </c>
      <c r="M687" s="350">
        <v>40817075.156389162</v>
      </c>
      <c r="N687" s="350">
        <v>50569955.978322029</v>
      </c>
      <c r="O687" s="348">
        <v>152829833.90826622</v>
      </c>
      <c r="P687" s="369"/>
      <c r="Q687" s="350">
        <f t="shared" si="285"/>
        <v>1439383.8739762586</v>
      </c>
      <c r="R687" s="350">
        <f t="shared" si="286"/>
        <v>4249872.5654897876</v>
      </c>
      <c r="S687" s="350">
        <f t="shared" si="287"/>
        <v>6762781.3177859969</v>
      </c>
      <c r="T687" s="350">
        <f t="shared" si="288"/>
        <v>8970236.5769629925</v>
      </c>
      <c r="U687" s="350">
        <f t="shared" si="289"/>
        <v>10866406.998500973</v>
      </c>
      <c r="V687" s="350">
        <f t="shared" si="290"/>
        <v>32288681.332716003</v>
      </c>
      <c r="W687" s="365"/>
      <c r="X687" s="377">
        <f t="shared" si="268"/>
        <v>0</v>
      </c>
      <c r="Y687" s="377">
        <f t="shared" si="269"/>
        <v>0</v>
      </c>
      <c r="Z687" s="377">
        <f t="shared" si="270"/>
        <v>0</v>
      </c>
      <c r="AA687" s="377">
        <f t="shared" si="271"/>
        <v>0</v>
      </c>
      <c r="AB687" s="377">
        <f t="shared" si="272"/>
        <v>0</v>
      </c>
      <c r="AC687" s="377">
        <f t="shared" si="273"/>
        <v>0</v>
      </c>
      <c r="AD687" s="376"/>
      <c r="AE687" s="332">
        <v>672</v>
      </c>
      <c r="AF687" s="350">
        <v>5739331.5438530268</v>
      </c>
      <c r="AG687" s="350">
        <v>11523735.048738729</v>
      </c>
      <c r="AH687" s="350">
        <v>17351915.228607677</v>
      </c>
      <c r="AI687" s="350">
        <v>23224065.329294339</v>
      </c>
      <c r="AJ687" s="350">
        <v>29141032.197421785</v>
      </c>
      <c r="AK687" s="348">
        <v>86980079.34791556</v>
      </c>
      <c r="AL687" s="369"/>
      <c r="AM687" s="350">
        <v>6936114.9911852218</v>
      </c>
      <c r="AN687" s="350">
        <v>15058694.98338335</v>
      </c>
      <c r="AO687" s="350">
        <v>22973703.755270746</v>
      </c>
      <c r="AP687" s="350">
        <v>30676498.576471966</v>
      </c>
      <c r="AQ687" s="350">
        <v>38164820.280807182</v>
      </c>
      <c r="AR687" s="348">
        <v>113809832.58711846</v>
      </c>
      <c r="AS687" s="369"/>
      <c r="AT687" s="350">
        <f t="shared" si="291"/>
        <v>1196783.447332195</v>
      </c>
      <c r="AU687" s="350">
        <f t="shared" si="274"/>
        <v>3534959.9346446209</v>
      </c>
      <c r="AV687" s="350">
        <f t="shared" si="275"/>
        <v>5621788.5266630687</v>
      </c>
      <c r="AW687" s="350">
        <f t="shared" si="276"/>
        <v>7452433.2471776269</v>
      </c>
      <c r="AX687" s="350">
        <f t="shared" si="277"/>
        <v>9023788.0833853967</v>
      </c>
      <c r="AY687" s="350">
        <f t="shared" si="278"/>
        <v>26829753.239202902</v>
      </c>
      <c r="AZ687" s="365"/>
      <c r="BA687" s="377">
        <f t="shared" si="279"/>
        <v>0</v>
      </c>
      <c r="BB687" s="377">
        <f t="shared" si="280"/>
        <v>0</v>
      </c>
      <c r="BC687" s="377">
        <f t="shared" si="281"/>
        <v>0</v>
      </c>
      <c r="BD687" s="377">
        <f t="shared" si="282"/>
        <v>0</v>
      </c>
      <c r="BE687" s="377">
        <f t="shared" si="283"/>
        <v>0</v>
      </c>
      <c r="BF687" s="377">
        <f t="shared" si="284"/>
        <v>0</v>
      </c>
      <c r="BG687" s="328"/>
    </row>
    <row r="688" spans="2:59">
      <c r="B688" s="332">
        <v>673</v>
      </c>
      <c r="C688" s="350">
        <v>7686784.7201873623</v>
      </c>
      <c r="D688" s="350">
        <v>14573886.472678876</v>
      </c>
      <c r="E688" s="350">
        <v>21512864.963157021</v>
      </c>
      <c r="F688" s="350">
        <v>28504173.109889388</v>
      </c>
      <c r="G688" s="350">
        <v>35548916.150798179</v>
      </c>
      <c r="H688" s="348">
        <v>107826625.41671082</v>
      </c>
      <c r="I688" s="369"/>
      <c r="J688" s="350">
        <v>8569051.9089512601</v>
      </c>
      <c r="K688" s="350">
        <v>17173460.442182548</v>
      </c>
      <c r="L688" s="350">
        <v>25544070.187217545</v>
      </c>
      <c r="M688" s="350">
        <v>33674645.032891445</v>
      </c>
      <c r="N688" s="350">
        <v>41560913.382370219</v>
      </c>
      <c r="O688" s="348">
        <v>126522140.95361303</v>
      </c>
      <c r="P688" s="369"/>
      <c r="Q688" s="350">
        <f t="shared" si="285"/>
        <v>882267.18876389787</v>
      </c>
      <c r="R688" s="350">
        <f t="shared" si="286"/>
        <v>2599573.9695036728</v>
      </c>
      <c r="S688" s="350">
        <f t="shared" si="287"/>
        <v>4031205.2240605243</v>
      </c>
      <c r="T688" s="350">
        <f t="shared" si="288"/>
        <v>5170471.9230020568</v>
      </c>
      <c r="U688" s="350">
        <f t="shared" si="289"/>
        <v>6011997.2315720394</v>
      </c>
      <c r="V688" s="350">
        <f t="shared" si="290"/>
        <v>18695515.536902204</v>
      </c>
      <c r="W688" s="365"/>
      <c r="X688" s="377">
        <f t="shared" si="268"/>
        <v>0</v>
      </c>
      <c r="Y688" s="377">
        <f t="shared" si="269"/>
        <v>0</v>
      </c>
      <c r="Z688" s="377">
        <f t="shared" si="270"/>
        <v>0</v>
      </c>
      <c r="AA688" s="377">
        <f t="shared" si="271"/>
        <v>0</v>
      </c>
      <c r="AB688" s="377">
        <f t="shared" si="272"/>
        <v>0</v>
      </c>
      <c r="AC688" s="377">
        <f t="shared" si="273"/>
        <v>0</v>
      </c>
      <c r="AD688" s="376"/>
      <c r="AE688" s="332">
        <v>673</v>
      </c>
      <c r="AF688" s="350">
        <v>6563200.8850546777</v>
      </c>
      <c r="AG688" s="350">
        <v>13177943.719251089</v>
      </c>
      <c r="AH688" s="350">
        <v>19842747.280868359</v>
      </c>
      <c r="AI688" s="350">
        <v>26557832.555786494</v>
      </c>
      <c r="AJ688" s="350">
        <v>33324167.953734666</v>
      </c>
      <c r="AK688" s="348">
        <v>99465892.394695282</v>
      </c>
      <c r="AL688" s="369"/>
      <c r="AM688" s="350">
        <v>7685433.4139412791</v>
      </c>
      <c r="AN688" s="350">
        <v>16489747.848673053</v>
      </c>
      <c r="AO688" s="350">
        <v>25049316.47501085</v>
      </c>
      <c r="AP688" s="350">
        <v>33358899.784096494</v>
      </c>
      <c r="AQ688" s="350">
        <v>41415664.819553278</v>
      </c>
      <c r="AR688" s="348">
        <v>123999062.34127495</v>
      </c>
      <c r="AS688" s="369"/>
      <c r="AT688" s="350">
        <f t="shared" si="291"/>
        <v>1122232.5288866013</v>
      </c>
      <c r="AU688" s="350">
        <f t="shared" si="274"/>
        <v>3311804.1294219643</v>
      </c>
      <c r="AV688" s="350">
        <f t="shared" si="275"/>
        <v>5206569.1941424906</v>
      </c>
      <c r="AW688" s="350">
        <f t="shared" si="276"/>
        <v>6801067.2283100002</v>
      </c>
      <c r="AX688" s="350">
        <f t="shared" si="277"/>
        <v>8091496.8658186123</v>
      </c>
      <c r="AY688" s="350">
        <f t="shared" si="278"/>
        <v>24533169.946579665</v>
      </c>
      <c r="AZ688" s="365"/>
      <c r="BA688" s="377">
        <f t="shared" si="279"/>
        <v>0</v>
      </c>
      <c r="BB688" s="377">
        <f t="shared" si="280"/>
        <v>0</v>
      </c>
      <c r="BC688" s="377">
        <f t="shared" si="281"/>
        <v>0</v>
      </c>
      <c r="BD688" s="377">
        <f t="shared" si="282"/>
        <v>0</v>
      </c>
      <c r="BE688" s="377">
        <f t="shared" si="283"/>
        <v>0</v>
      </c>
      <c r="BF688" s="377">
        <f t="shared" si="284"/>
        <v>0</v>
      </c>
      <c r="BG688" s="328"/>
    </row>
    <row r="689" spans="2:59">
      <c r="B689" s="332">
        <v>674</v>
      </c>
      <c r="C689" s="350">
        <v>8856278.2458582483</v>
      </c>
      <c r="D689" s="350">
        <v>16665203.112486064</v>
      </c>
      <c r="E689" s="350">
        <v>24532907.889546581</v>
      </c>
      <c r="F689" s="350">
        <v>32459942.841137253</v>
      </c>
      <c r="G689" s="350">
        <v>40447577.117222175</v>
      </c>
      <c r="H689" s="348">
        <v>122961909.20625032</v>
      </c>
      <c r="I689" s="369"/>
      <c r="J689" s="350">
        <v>10522100.565798733</v>
      </c>
      <c r="K689" s="350">
        <v>21586296.977253012</v>
      </c>
      <c r="L689" s="350">
        <v>32403405.516917162</v>
      </c>
      <c r="M689" s="350">
        <v>42966276.986450523</v>
      </c>
      <c r="N689" s="350">
        <v>53270833.968702838</v>
      </c>
      <c r="O689" s="348">
        <v>160748914.01512226</v>
      </c>
      <c r="P689" s="369"/>
      <c r="Q689" s="350">
        <f t="shared" si="285"/>
        <v>1665822.3199404851</v>
      </c>
      <c r="R689" s="350">
        <f t="shared" si="286"/>
        <v>4921093.8647669479</v>
      </c>
      <c r="S689" s="350">
        <f t="shared" si="287"/>
        <v>7870497.627370581</v>
      </c>
      <c r="T689" s="350">
        <f t="shared" si="288"/>
        <v>10506334.14531327</v>
      </c>
      <c r="U689" s="350">
        <f t="shared" si="289"/>
        <v>12823256.851480663</v>
      </c>
      <c r="V689" s="350">
        <f t="shared" si="290"/>
        <v>37787004.80887194</v>
      </c>
      <c r="W689" s="365"/>
      <c r="X689" s="377">
        <f t="shared" si="268"/>
        <v>0</v>
      </c>
      <c r="Y689" s="377">
        <f t="shared" si="269"/>
        <v>0</v>
      </c>
      <c r="Z689" s="377">
        <f t="shared" si="270"/>
        <v>0</v>
      </c>
      <c r="AA689" s="377">
        <f t="shared" si="271"/>
        <v>0</v>
      </c>
      <c r="AB689" s="377">
        <f t="shared" si="272"/>
        <v>0</v>
      </c>
      <c r="AC689" s="377">
        <f t="shared" si="273"/>
        <v>0</v>
      </c>
      <c r="AD689" s="376"/>
      <c r="AE689" s="332">
        <v>674</v>
      </c>
      <c r="AF689" s="350">
        <v>8222277.8135691471</v>
      </c>
      <c r="AG689" s="350">
        <v>16509126.593701454</v>
      </c>
      <c r="AH689" s="350">
        <v>24858690.688451204</v>
      </c>
      <c r="AI689" s="350">
        <v>33271246.945553228</v>
      </c>
      <c r="AJ689" s="350">
        <v>41748008.573923424</v>
      </c>
      <c r="AK689" s="348">
        <v>124609350.61519846</v>
      </c>
      <c r="AL689" s="369"/>
      <c r="AM689" s="350">
        <v>9940244.3711406738</v>
      </c>
      <c r="AN689" s="350">
        <v>21583555.21968516</v>
      </c>
      <c r="AO689" s="350">
        <v>32929598.277568441</v>
      </c>
      <c r="AP689" s="350">
        <v>43971721.308590427</v>
      </c>
      <c r="AQ689" s="350">
        <v>54706691.262569852</v>
      </c>
      <c r="AR689" s="348">
        <v>163131810.43955454</v>
      </c>
      <c r="AS689" s="369"/>
      <c r="AT689" s="350">
        <f t="shared" si="291"/>
        <v>1717966.5575715266</v>
      </c>
      <c r="AU689" s="350">
        <f t="shared" si="274"/>
        <v>5074428.6259837057</v>
      </c>
      <c r="AV689" s="350">
        <f t="shared" si="275"/>
        <v>8070907.5891172364</v>
      </c>
      <c r="AW689" s="350">
        <f t="shared" si="276"/>
        <v>10700474.363037199</v>
      </c>
      <c r="AX689" s="350">
        <f t="shared" si="277"/>
        <v>12958682.688646428</v>
      </c>
      <c r="AY689" s="350">
        <f t="shared" si="278"/>
        <v>38522459.824356079</v>
      </c>
      <c r="AZ689" s="365"/>
      <c r="BA689" s="377">
        <f t="shared" si="279"/>
        <v>0</v>
      </c>
      <c r="BB689" s="377">
        <f t="shared" si="280"/>
        <v>0</v>
      </c>
      <c r="BC689" s="377">
        <f t="shared" si="281"/>
        <v>0</v>
      </c>
      <c r="BD689" s="377">
        <f t="shared" si="282"/>
        <v>0</v>
      </c>
      <c r="BE689" s="377">
        <f t="shared" si="283"/>
        <v>0</v>
      </c>
      <c r="BF689" s="377">
        <f t="shared" si="284"/>
        <v>0</v>
      </c>
      <c r="BG689" s="328"/>
    </row>
    <row r="690" spans="2:59">
      <c r="B690" s="332">
        <v>675</v>
      </c>
      <c r="C690" s="350">
        <v>5590420.9346877988</v>
      </c>
      <c r="D690" s="350">
        <v>10493377.062937541</v>
      </c>
      <c r="E690" s="350">
        <v>15433230.498496605</v>
      </c>
      <c r="F690" s="350">
        <v>20410334.532591388</v>
      </c>
      <c r="G690" s="350">
        <v>25425489.414408006</v>
      </c>
      <c r="H690" s="348">
        <v>77352852.443121344</v>
      </c>
      <c r="I690" s="369"/>
      <c r="J690" s="350">
        <v>6442319.4741777824</v>
      </c>
      <c r="K690" s="350">
        <v>13007773.399354782</v>
      </c>
      <c r="L690" s="350">
        <v>19414618.827263676</v>
      </c>
      <c r="M690" s="350">
        <v>25658335.597512562</v>
      </c>
      <c r="N690" s="350">
        <v>31736072.796255819</v>
      </c>
      <c r="O690" s="348">
        <v>96259120.094564617</v>
      </c>
      <c r="P690" s="369"/>
      <c r="Q690" s="350">
        <f t="shared" si="285"/>
        <v>851898.53948998358</v>
      </c>
      <c r="R690" s="350">
        <f t="shared" si="286"/>
        <v>2514396.336417241</v>
      </c>
      <c r="S690" s="350">
        <f t="shared" si="287"/>
        <v>3981388.3287670705</v>
      </c>
      <c r="T690" s="350">
        <f t="shared" si="288"/>
        <v>5248001.0649211742</v>
      </c>
      <c r="U690" s="350">
        <f t="shared" si="289"/>
        <v>6310583.3818478137</v>
      </c>
      <c r="V690" s="350">
        <f t="shared" si="290"/>
        <v>18906267.651443273</v>
      </c>
      <c r="W690" s="365"/>
      <c r="X690" s="377">
        <f t="shared" si="268"/>
        <v>0</v>
      </c>
      <c r="Y690" s="377">
        <f t="shared" si="269"/>
        <v>0</v>
      </c>
      <c r="Z690" s="377">
        <f t="shared" si="270"/>
        <v>0</v>
      </c>
      <c r="AA690" s="377">
        <f t="shared" si="271"/>
        <v>0</v>
      </c>
      <c r="AB690" s="377">
        <f t="shared" si="272"/>
        <v>0</v>
      </c>
      <c r="AC690" s="377">
        <f t="shared" si="273"/>
        <v>0</v>
      </c>
      <c r="AD690" s="376"/>
      <c r="AE690" s="332">
        <v>675</v>
      </c>
      <c r="AF690" s="350">
        <v>7577690.6560205072</v>
      </c>
      <c r="AG690" s="350">
        <v>15214890.22442152</v>
      </c>
      <c r="AH690" s="350">
        <v>22909888.527472645</v>
      </c>
      <c r="AI690" s="350">
        <v>30662940.70937369</v>
      </c>
      <c r="AJ690" s="350">
        <v>38475164.869278476</v>
      </c>
      <c r="AK690" s="348">
        <v>114840574.98656683</v>
      </c>
      <c r="AL690" s="369"/>
      <c r="AM690" s="350">
        <v>8930044.8330991287</v>
      </c>
      <c r="AN690" s="350">
        <v>19206631.361611802</v>
      </c>
      <c r="AO690" s="350">
        <v>29202337.981537208</v>
      </c>
      <c r="AP690" s="350">
        <v>38911099.276244998</v>
      </c>
      <c r="AQ690" s="350">
        <v>48329701.771168903</v>
      </c>
      <c r="AR690" s="348">
        <v>144579815.22366202</v>
      </c>
      <c r="AS690" s="369"/>
      <c r="AT690" s="350">
        <f t="shared" si="291"/>
        <v>1352354.1770786215</v>
      </c>
      <c r="AU690" s="350">
        <f t="shared" si="274"/>
        <v>3991741.1371902823</v>
      </c>
      <c r="AV690" s="350">
        <f t="shared" si="275"/>
        <v>6292449.4540645629</v>
      </c>
      <c r="AW690" s="350">
        <f t="shared" si="276"/>
        <v>8248158.5668713078</v>
      </c>
      <c r="AX690" s="350">
        <f t="shared" si="277"/>
        <v>9854536.9018904269</v>
      </c>
      <c r="AY690" s="350">
        <f t="shared" si="278"/>
        <v>29739240.237095192</v>
      </c>
      <c r="AZ690" s="365"/>
      <c r="BA690" s="377">
        <f t="shared" si="279"/>
        <v>0</v>
      </c>
      <c r="BB690" s="377">
        <f t="shared" si="280"/>
        <v>0</v>
      </c>
      <c r="BC690" s="377">
        <f t="shared" si="281"/>
        <v>0</v>
      </c>
      <c r="BD690" s="377">
        <f t="shared" si="282"/>
        <v>0</v>
      </c>
      <c r="BE690" s="377">
        <f t="shared" si="283"/>
        <v>0</v>
      </c>
      <c r="BF690" s="377">
        <f t="shared" si="284"/>
        <v>0</v>
      </c>
      <c r="BG690" s="328"/>
    </row>
    <row r="691" spans="2:59">
      <c r="B691" s="332">
        <v>676</v>
      </c>
      <c r="C691" s="350">
        <v>10140728.613115355</v>
      </c>
      <c r="D691" s="350">
        <v>18948702.694324568</v>
      </c>
      <c r="E691" s="350">
        <v>27822933.294515826</v>
      </c>
      <c r="F691" s="350">
        <v>36764080.613303229</v>
      </c>
      <c r="G691" s="350">
        <v>45773593.373932444</v>
      </c>
      <c r="H691" s="348">
        <v>139450038.58919144</v>
      </c>
      <c r="I691" s="369"/>
      <c r="J691" s="350">
        <v>11799064.586884502</v>
      </c>
      <c r="K691" s="350">
        <v>23845176.209332086</v>
      </c>
      <c r="L691" s="350">
        <v>35616296.526692256</v>
      </c>
      <c r="M691" s="350">
        <v>47104091.255948998</v>
      </c>
      <c r="N691" s="350">
        <v>58303367.366165608</v>
      </c>
      <c r="O691" s="348">
        <v>176667995.94502345</v>
      </c>
      <c r="P691" s="369"/>
      <c r="Q691" s="350">
        <f t="shared" si="285"/>
        <v>1658335.9737691469</v>
      </c>
      <c r="R691" s="350">
        <f t="shared" si="286"/>
        <v>4896473.5150075182</v>
      </c>
      <c r="S691" s="350">
        <f t="shared" si="287"/>
        <v>7793363.2321764305</v>
      </c>
      <c r="T691" s="350">
        <f t="shared" si="288"/>
        <v>10340010.642645769</v>
      </c>
      <c r="U691" s="350">
        <f t="shared" si="289"/>
        <v>12529773.992233165</v>
      </c>
      <c r="V691" s="350">
        <f t="shared" si="290"/>
        <v>37217957.355832011</v>
      </c>
      <c r="W691" s="365"/>
      <c r="X691" s="377">
        <f t="shared" si="268"/>
        <v>0</v>
      </c>
      <c r="Y691" s="377">
        <f t="shared" si="269"/>
        <v>0</v>
      </c>
      <c r="Z691" s="377">
        <f t="shared" si="270"/>
        <v>0</v>
      </c>
      <c r="AA691" s="377">
        <f t="shared" si="271"/>
        <v>0</v>
      </c>
      <c r="AB691" s="377">
        <f t="shared" si="272"/>
        <v>0</v>
      </c>
      <c r="AC691" s="377">
        <f t="shared" si="273"/>
        <v>0</v>
      </c>
      <c r="AD691" s="376"/>
      <c r="AE691" s="332">
        <v>676</v>
      </c>
      <c r="AF691" s="350">
        <v>8008343.420000813</v>
      </c>
      <c r="AG691" s="350">
        <v>16079577.742854092</v>
      </c>
      <c r="AH691" s="350">
        <v>24211895.598584481</v>
      </c>
      <c r="AI691" s="350">
        <v>32405566.631661043</v>
      </c>
      <c r="AJ691" s="350">
        <v>40661772.484672256</v>
      </c>
      <c r="AK691" s="348">
        <v>121367155.87777269</v>
      </c>
      <c r="AL691" s="369"/>
      <c r="AM691" s="350">
        <v>9408629.4543902185</v>
      </c>
      <c r="AN691" s="350">
        <v>20212394.061495069</v>
      </c>
      <c r="AO691" s="350">
        <v>30718449.584332068</v>
      </c>
      <c r="AP691" s="350">
        <v>40920394.079527549</v>
      </c>
      <c r="AQ691" s="350">
        <v>50814802.151490785</v>
      </c>
      <c r="AR691" s="348">
        <v>152074669.33123568</v>
      </c>
      <c r="AS691" s="369"/>
      <c r="AT691" s="350">
        <f t="shared" si="291"/>
        <v>1400286.0343894055</v>
      </c>
      <c r="AU691" s="350">
        <f t="shared" si="274"/>
        <v>4132816.3186409771</v>
      </c>
      <c r="AV691" s="350">
        <f t="shared" si="275"/>
        <v>6506553.9857475869</v>
      </c>
      <c r="AW691" s="350">
        <f t="shared" si="276"/>
        <v>8514827.4478665069</v>
      </c>
      <c r="AX691" s="350">
        <f t="shared" si="277"/>
        <v>10153029.666818529</v>
      </c>
      <c r="AY691" s="350">
        <f t="shared" si="278"/>
        <v>30707513.453462988</v>
      </c>
      <c r="AZ691" s="365"/>
      <c r="BA691" s="377">
        <f t="shared" si="279"/>
        <v>0</v>
      </c>
      <c r="BB691" s="377">
        <f t="shared" si="280"/>
        <v>0</v>
      </c>
      <c r="BC691" s="377">
        <f t="shared" si="281"/>
        <v>0</v>
      </c>
      <c r="BD691" s="377">
        <f t="shared" si="282"/>
        <v>0</v>
      </c>
      <c r="BE691" s="377">
        <f t="shared" si="283"/>
        <v>0</v>
      </c>
      <c r="BF691" s="377">
        <f t="shared" si="284"/>
        <v>0</v>
      </c>
      <c r="BG691" s="328"/>
    </row>
    <row r="692" spans="2:59">
      <c r="B692" s="332">
        <v>677</v>
      </c>
      <c r="C692" s="350">
        <v>11782189.203864634</v>
      </c>
      <c r="D692" s="350">
        <v>22058257.370399039</v>
      </c>
      <c r="E692" s="350">
        <v>32411639.564963978</v>
      </c>
      <c r="F692" s="350">
        <v>42843093.291492432</v>
      </c>
      <c r="G692" s="350">
        <v>53354303.201739162</v>
      </c>
      <c r="H692" s="348">
        <v>162449482.63245925</v>
      </c>
      <c r="I692" s="369"/>
      <c r="J692" s="350">
        <v>13660364.575059008</v>
      </c>
      <c r="K692" s="350">
        <v>27603068.961609684</v>
      </c>
      <c r="L692" s="350">
        <v>41219554.097667634</v>
      </c>
      <c r="M692" s="350">
        <v>54500220.474123783</v>
      </c>
      <c r="N692" s="350">
        <v>67439072.6082277</v>
      </c>
      <c r="O692" s="348">
        <v>204422280.7166878</v>
      </c>
      <c r="P692" s="369"/>
      <c r="Q692" s="350">
        <f t="shared" si="285"/>
        <v>1878175.3711943738</v>
      </c>
      <c r="R692" s="350">
        <f t="shared" si="286"/>
        <v>5544811.5912106447</v>
      </c>
      <c r="S692" s="350">
        <f t="shared" si="287"/>
        <v>8807914.5327036567</v>
      </c>
      <c r="T692" s="350">
        <f t="shared" si="288"/>
        <v>11657127.182631351</v>
      </c>
      <c r="U692" s="350">
        <f t="shared" si="289"/>
        <v>14084769.406488538</v>
      </c>
      <c r="V692" s="350">
        <f t="shared" si="290"/>
        <v>41972798.084228545</v>
      </c>
      <c r="W692" s="365"/>
      <c r="X692" s="377">
        <f t="shared" si="268"/>
        <v>0</v>
      </c>
      <c r="Y692" s="377">
        <f t="shared" si="269"/>
        <v>0</v>
      </c>
      <c r="Z692" s="377">
        <f t="shared" si="270"/>
        <v>0</v>
      </c>
      <c r="AA692" s="377">
        <f t="shared" si="271"/>
        <v>0</v>
      </c>
      <c r="AB692" s="377">
        <f t="shared" si="272"/>
        <v>0</v>
      </c>
      <c r="AC692" s="377">
        <f t="shared" si="273"/>
        <v>0</v>
      </c>
      <c r="AD692" s="376"/>
      <c r="AE692" s="332">
        <v>677</v>
      </c>
      <c r="AF692" s="350">
        <v>6118090.4572426872</v>
      </c>
      <c r="AG692" s="350">
        <v>12284227.334626161</v>
      </c>
      <c r="AH692" s="350">
        <v>18497029.865564995</v>
      </c>
      <c r="AI692" s="350">
        <v>24756704.048873991</v>
      </c>
      <c r="AJ692" s="350">
        <v>31064152.617598586</v>
      </c>
      <c r="AK692" s="348">
        <v>92720204.323906422</v>
      </c>
      <c r="AL692" s="369"/>
      <c r="AM692" s="350">
        <v>7454270.1668890193</v>
      </c>
      <c r="AN692" s="350">
        <v>16231648.751620289</v>
      </c>
      <c r="AO692" s="350">
        <v>24789567.238668725</v>
      </c>
      <c r="AP692" s="350">
        <v>33123059.419398729</v>
      </c>
      <c r="AQ692" s="350">
        <v>41229778.224725902</v>
      </c>
      <c r="AR692" s="348">
        <v>122828323.80130266</v>
      </c>
      <c r="AS692" s="369"/>
      <c r="AT692" s="350">
        <f t="shared" si="291"/>
        <v>1336179.7096463321</v>
      </c>
      <c r="AU692" s="350">
        <f t="shared" si="274"/>
        <v>3947421.4169941284</v>
      </c>
      <c r="AV692" s="350">
        <f t="shared" si="275"/>
        <v>6292537.3731037304</v>
      </c>
      <c r="AW692" s="350">
        <f t="shared" si="276"/>
        <v>8366355.370524738</v>
      </c>
      <c r="AX692" s="350">
        <f t="shared" si="277"/>
        <v>10165625.607127316</v>
      </c>
      <c r="AY692" s="350">
        <f t="shared" si="278"/>
        <v>30108119.477396235</v>
      </c>
      <c r="AZ692" s="365"/>
      <c r="BA692" s="377">
        <f t="shared" si="279"/>
        <v>0</v>
      </c>
      <c r="BB692" s="377">
        <f t="shared" si="280"/>
        <v>0</v>
      </c>
      <c r="BC692" s="377">
        <f t="shared" si="281"/>
        <v>0</v>
      </c>
      <c r="BD692" s="377">
        <f t="shared" si="282"/>
        <v>0</v>
      </c>
      <c r="BE692" s="377">
        <f t="shared" si="283"/>
        <v>0</v>
      </c>
      <c r="BF692" s="377">
        <f t="shared" si="284"/>
        <v>0</v>
      </c>
      <c r="BG692" s="328"/>
    </row>
    <row r="693" spans="2:59">
      <c r="B693" s="332">
        <v>678</v>
      </c>
      <c r="C693" s="350">
        <v>8241626.3409517938</v>
      </c>
      <c r="D693" s="350">
        <v>15464035.05664851</v>
      </c>
      <c r="E693" s="350">
        <v>22740794.295491654</v>
      </c>
      <c r="F693" s="350">
        <v>30072426.186756305</v>
      </c>
      <c r="G693" s="350">
        <v>37460110.297503486</v>
      </c>
      <c r="H693" s="348">
        <v>113978992.17735176</v>
      </c>
      <c r="I693" s="369"/>
      <c r="J693" s="350">
        <v>9393671.9664809164</v>
      </c>
      <c r="K693" s="350">
        <v>18862875.285455562</v>
      </c>
      <c r="L693" s="350">
        <v>28095691.913358163</v>
      </c>
      <c r="M693" s="350">
        <v>37085492.078331172</v>
      </c>
      <c r="N693" s="350">
        <v>45827970.366107129</v>
      </c>
      <c r="O693" s="348">
        <v>139265701.60973296</v>
      </c>
      <c r="P693" s="369"/>
      <c r="Q693" s="350">
        <f t="shared" si="285"/>
        <v>1152045.6255291225</v>
      </c>
      <c r="R693" s="350">
        <f t="shared" si="286"/>
        <v>3398840.2288070526</v>
      </c>
      <c r="S693" s="350">
        <f t="shared" si="287"/>
        <v>5354897.6178665087</v>
      </c>
      <c r="T693" s="350">
        <f t="shared" si="288"/>
        <v>7013065.8915748671</v>
      </c>
      <c r="U693" s="350">
        <f t="shared" si="289"/>
        <v>8367860.0686036423</v>
      </c>
      <c r="V693" s="350">
        <f t="shared" si="290"/>
        <v>25286709.432381198</v>
      </c>
      <c r="W693" s="365"/>
      <c r="X693" s="377">
        <f t="shared" si="268"/>
        <v>0</v>
      </c>
      <c r="Y693" s="377">
        <f t="shared" si="269"/>
        <v>0</v>
      </c>
      <c r="Z693" s="377">
        <f t="shared" si="270"/>
        <v>0</v>
      </c>
      <c r="AA693" s="377">
        <f t="shared" si="271"/>
        <v>0</v>
      </c>
      <c r="AB693" s="377">
        <f t="shared" si="272"/>
        <v>0</v>
      </c>
      <c r="AC693" s="377">
        <f t="shared" si="273"/>
        <v>0</v>
      </c>
      <c r="AD693" s="376"/>
      <c r="AE693" s="332">
        <v>678</v>
      </c>
      <c r="AF693" s="350">
        <v>5724477.9042850779</v>
      </c>
      <c r="AG693" s="350">
        <v>11493911.121408056</v>
      </c>
      <c r="AH693" s="350">
        <v>17307007.717576116</v>
      </c>
      <c r="AI693" s="350">
        <v>23163960.438495111</v>
      </c>
      <c r="AJ693" s="350">
        <v>29065613.939112224</v>
      </c>
      <c r="AK693" s="348">
        <v>86754971.12087658</v>
      </c>
      <c r="AL693" s="369"/>
      <c r="AM693" s="350">
        <v>6748697.7153665209</v>
      </c>
      <c r="AN693" s="350">
        <v>14517135.119183375</v>
      </c>
      <c r="AO693" s="350">
        <v>22073462.936639756</v>
      </c>
      <c r="AP693" s="350">
        <v>29413098.384306513</v>
      </c>
      <c r="AQ693" s="350">
        <v>36533616.51318197</v>
      </c>
      <c r="AR693" s="348">
        <v>109286010.66867813</v>
      </c>
      <c r="AS693" s="369"/>
      <c r="AT693" s="350">
        <f t="shared" si="291"/>
        <v>1024219.811081443</v>
      </c>
      <c r="AU693" s="350">
        <f t="shared" si="274"/>
        <v>3023223.9977753181</v>
      </c>
      <c r="AV693" s="350">
        <f t="shared" si="275"/>
        <v>4766455.2190636396</v>
      </c>
      <c r="AW693" s="350">
        <f t="shared" si="276"/>
        <v>6249137.9458114021</v>
      </c>
      <c r="AX693" s="350">
        <f t="shared" si="277"/>
        <v>7468002.5740697458</v>
      </c>
      <c r="AY693" s="350">
        <f t="shared" si="278"/>
        <v>22531039.547801554</v>
      </c>
      <c r="AZ693" s="365"/>
      <c r="BA693" s="377">
        <f t="shared" si="279"/>
        <v>0</v>
      </c>
      <c r="BB693" s="377">
        <f t="shared" si="280"/>
        <v>0</v>
      </c>
      <c r="BC693" s="377">
        <f t="shared" si="281"/>
        <v>0</v>
      </c>
      <c r="BD693" s="377">
        <f t="shared" si="282"/>
        <v>0</v>
      </c>
      <c r="BE693" s="377">
        <f t="shared" si="283"/>
        <v>0</v>
      </c>
      <c r="BF693" s="377">
        <f t="shared" si="284"/>
        <v>0</v>
      </c>
      <c r="BG693" s="328"/>
    </row>
    <row r="694" spans="2:59">
      <c r="B694" s="332">
        <v>679</v>
      </c>
      <c r="C694" s="350">
        <v>7104863.3193632364</v>
      </c>
      <c r="D694" s="350">
        <v>13142703.463218883</v>
      </c>
      <c r="E694" s="350">
        <v>19225918.166975874</v>
      </c>
      <c r="F694" s="350">
        <v>25355000.058890261</v>
      </c>
      <c r="G694" s="350">
        <v>31530959.665953055</v>
      </c>
      <c r="H694" s="348">
        <v>96359444.674401313</v>
      </c>
      <c r="I694" s="369"/>
      <c r="J694" s="350">
        <v>7808111.5951975929</v>
      </c>
      <c r="K694" s="350">
        <v>15213476.431706823</v>
      </c>
      <c r="L694" s="350">
        <v>22414778.994490646</v>
      </c>
      <c r="M694" s="350">
        <v>29406566.347497799</v>
      </c>
      <c r="N694" s="350">
        <v>36184958.413309082</v>
      </c>
      <c r="O694" s="348">
        <v>111027891.78220193</v>
      </c>
      <c r="P694" s="369"/>
      <c r="Q694" s="350">
        <f t="shared" si="285"/>
        <v>703248.27583435643</v>
      </c>
      <c r="R694" s="350">
        <f t="shared" si="286"/>
        <v>2070772.9684879407</v>
      </c>
      <c r="S694" s="350">
        <f t="shared" si="287"/>
        <v>3188860.8275147714</v>
      </c>
      <c r="T694" s="350">
        <f t="shared" si="288"/>
        <v>4051566.2886075377</v>
      </c>
      <c r="U694" s="350">
        <f t="shared" si="289"/>
        <v>4653998.7473560274</v>
      </c>
      <c r="V694" s="350">
        <f t="shared" si="290"/>
        <v>14668447.107800618</v>
      </c>
      <c r="W694" s="365"/>
      <c r="X694" s="377">
        <f t="shared" si="268"/>
        <v>0</v>
      </c>
      <c r="Y694" s="377">
        <f t="shared" si="269"/>
        <v>0</v>
      </c>
      <c r="Z694" s="377">
        <f t="shared" si="270"/>
        <v>0</v>
      </c>
      <c r="AA694" s="377">
        <f t="shared" si="271"/>
        <v>0</v>
      </c>
      <c r="AB694" s="377">
        <f t="shared" si="272"/>
        <v>0</v>
      </c>
      <c r="AC694" s="377">
        <f t="shared" si="273"/>
        <v>0</v>
      </c>
      <c r="AD694" s="376"/>
      <c r="AE694" s="332">
        <v>679</v>
      </c>
      <c r="AF694" s="350">
        <v>7378929.953164354</v>
      </c>
      <c r="AG694" s="350">
        <v>14815807.916610163</v>
      </c>
      <c r="AH694" s="350">
        <v>22308968.570089757</v>
      </c>
      <c r="AI694" s="350">
        <v>29858660.365442067</v>
      </c>
      <c r="AJ694" s="350">
        <v>37465972.074393369</v>
      </c>
      <c r="AK694" s="348">
        <v>111828338.87969971</v>
      </c>
      <c r="AL694" s="369"/>
      <c r="AM694" s="350">
        <v>8740200.9145289212</v>
      </c>
      <c r="AN694" s="350">
        <v>18834490.519292608</v>
      </c>
      <c r="AO694" s="350">
        <v>28656597.071007643</v>
      </c>
      <c r="AP694" s="350">
        <v>38200601.692464247</v>
      </c>
      <c r="AQ694" s="350">
        <v>47463420.152935512</v>
      </c>
      <c r="AR694" s="348">
        <v>141895310.35022894</v>
      </c>
      <c r="AS694" s="369"/>
      <c r="AT694" s="350">
        <f t="shared" si="291"/>
        <v>1361270.9613645673</v>
      </c>
      <c r="AU694" s="350">
        <f t="shared" si="274"/>
        <v>4018682.6026824452</v>
      </c>
      <c r="AV694" s="350">
        <f t="shared" si="275"/>
        <v>6347628.5009178855</v>
      </c>
      <c r="AW694" s="350">
        <f t="shared" si="276"/>
        <v>8341941.32702218</v>
      </c>
      <c r="AX694" s="350">
        <f t="shared" si="277"/>
        <v>9997448.0785421431</v>
      </c>
      <c r="AY694" s="350">
        <f t="shared" si="278"/>
        <v>30066971.470529228</v>
      </c>
      <c r="AZ694" s="365"/>
      <c r="BA694" s="377">
        <f t="shared" si="279"/>
        <v>0</v>
      </c>
      <c r="BB694" s="377">
        <f t="shared" si="280"/>
        <v>0</v>
      </c>
      <c r="BC694" s="377">
        <f t="shared" si="281"/>
        <v>0</v>
      </c>
      <c r="BD694" s="377">
        <f t="shared" si="282"/>
        <v>0</v>
      </c>
      <c r="BE694" s="377">
        <f t="shared" si="283"/>
        <v>0</v>
      </c>
      <c r="BF694" s="377">
        <f t="shared" si="284"/>
        <v>0</v>
      </c>
      <c r="BG694" s="328"/>
    </row>
    <row r="695" spans="2:59">
      <c r="B695" s="332">
        <v>680</v>
      </c>
      <c r="C695" s="350">
        <v>9158285.9556740634</v>
      </c>
      <c r="D695" s="350">
        <v>17175783.219186954</v>
      </c>
      <c r="E695" s="350">
        <v>25253611.563768439</v>
      </c>
      <c r="F695" s="350">
        <v>33392353.044542842</v>
      </c>
      <c r="G695" s="350">
        <v>41593318.147280984</v>
      </c>
      <c r="H695" s="348">
        <v>126573351.9304533</v>
      </c>
      <c r="I695" s="369"/>
      <c r="J695" s="350">
        <v>10055847.07296874</v>
      </c>
      <c r="K695" s="350">
        <v>19817907.034850404</v>
      </c>
      <c r="L695" s="350">
        <v>29307720.274773411</v>
      </c>
      <c r="M695" s="350">
        <v>38517945.70044218</v>
      </c>
      <c r="N695" s="350">
        <v>47443324.110046625</v>
      </c>
      <c r="O695" s="348">
        <v>145142744.19308138</v>
      </c>
      <c r="P695" s="369"/>
      <c r="Q695" s="350">
        <f t="shared" si="285"/>
        <v>897561.1172946766</v>
      </c>
      <c r="R695" s="350">
        <f t="shared" si="286"/>
        <v>2642123.8156634495</v>
      </c>
      <c r="S695" s="350">
        <f t="shared" si="287"/>
        <v>4054108.7110049725</v>
      </c>
      <c r="T695" s="350">
        <f t="shared" si="288"/>
        <v>5125592.6558993384</v>
      </c>
      <c r="U695" s="350">
        <f t="shared" si="289"/>
        <v>5850005.9627656415</v>
      </c>
      <c r="V695" s="350">
        <f t="shared" si="290"/>
        <v>18569392.262628078</v>
      </c>
      <c r="W695" s="365"/>
      <c r="X695" s="377">
        <f t="shared" si="268"/>
        <v>0</v>
      </c>
      <c r="Y695" s="377">
        <f t="shared" si="269"/>
        <v>0</v>
      </c>
      <c r="Z695" s="377">
        <f t="shared" si="270"/>
        <v>0</v>
      </c>
      <c r="AA695" s="377">
        <f t="shared" si="271"/>
        <v>0</v>
      </c>
      <c r="AB695" s="377">
        <f t="shared" si="272"/>
        <v>0</v>
      </c>
      <c r="AC695" s="377">
        <f t="shared" si="273"/>
        <v>0</v>
      </c>
      <c r="AD695" s="376"/>
      <c r="AE695" s="332">
        <v>680</v>
      </c>
      <c r="AF695" s="350">
        <v>9030816.4587025736</v>
      </c>
      <c r="AG695" s="350">
        <v>18132553.477475569</v>
      </c>
      <c r="AH695" s="350">
        <v>27303172.928623356</v>
      </c>
      <c r="AI695" s="350">
        <v>36542978.883734964</v>
      </c>
      <c r="AJ695" s="350">
        <v>45853303.852766156</v>
      </c>
      <c r="AK695" s="348">
        <v>136862825.60130262</v>
      </c>
      <c r="AL695" s="369"/>
      <c r="AM695" s="350">
        <v>10350620.963118255</v>
      </c>
      <c r="AN695" s="350">
        <v>22024129.029410638</v>
      </c>
      <c r="AO695" s="350">
        <v>33354152.663505703</v>
      </c>
      <c r="AP695" s="350">
        <v>44333545.877272904</v>
      </c>
      <c r="AQ695" s="350">
        <v>54958183.360337198</v>
      </c>
      <c r="AR695" s="348">
        <v>165020631.89364469</v>
      </c>
      <c r="AS695" s="369"/>
      <c r="AT695" s="350">
        <f t="shared" si="291"/>
        <v>1319804.5044156816</v>
      </c>
      <c r="AU695" s="350">
        <f t="shared" si="274"/>
        <v>3891575.5519350693</v>
      </c>
      <c r="AV695" s="350">
        <f t="shared" si="275"/>
        <v>6050979.7348823473</v>
      </c>
      <c r="AW695" s="350">
        <f t="shared" si="276"/>
        <v>7790566.9935379401</v>
      </c>
      <c r="AX695" s="350">
        <f t="shared" si="277"/>
        <v>9104879.5075710416</v>
      </c>
      <c r="AY695" s="350">
        <f t="shared" si="278"/>
        <v>28157806.292342067</v>
      </c>
      <c r="AZ695" s="365"/>
      <c r="BA695" s="377">
        <f t="shared" si="279"/>
        <v>0</v>
      </c>
      <c r="BB695" s="377">
        <f t="shared" si="280"/>
        <v>0</v>
      </c>
      <c r="BC695" s="377">
        <f t="shared" si="281"/>
        <v>0</v>
      </c>
      <c r="BD695" s="377">
        <f t="shared" si="282"/>
        <v>0</v>
      </c>
      <c r="BE695" s="377">
        <f t="shared" si="283"/>
        <v>0</v>
      </c>
      <c r="BF695" s="377">
        <f t="shared" si="284"/>
        <v>0</v>
      </c>
      <c r="BG695" s="328"/>
    </row>
    <row r="696" spans="2:59">
      <c r="B696" s="332">
        <v>681</v>
      </c>
      <c r="C696" s="350">
        <v>6570480.6421541991</v>
      </c>
      <c r="D696" s="350">
        <v>12412471.767327322</v>
      </c>
      <c r="E696" s="350">
        <v>18298452.97550112</v>
      </c>
      <c r="F696" s="350">
        <v>24228821.552652847</v>
      </c>
      <c r="G696" s="350">
        <v>30204520.71672054</v>
      </c>
      <c r="H696" s="348">
        <v>91714747.654356033</v>
      </c>
      <c r="I696" s="369"/>
      <c r="J696" s="350">
        <v>7407414.0744407829</v>
      </c>
      <c r="K696" s="350">
        <v>14880175.952431472</v>
      </c>
      <c r="L696" s="350">
        <v>22164062.280300558</v>
      </c>
      <c r="M696" s="350">
        <v>29253501.568318184</v>
      </c>
      <c r="N696" s="350">
        <v>36144685.530871756</v>
      </c>
      <c r="O696" s="348">
        <v>109849839.40636274</v>
      </c>
      <c r="P696" s="369"/>
      <c r="Q696" s="350">
        <f t="shared" si="285"/>
        <v>836933.43228658382</v>
      </c>
      <c r="R696" s="350">
        <f t="shared" si="286"/>
        <v>2467704.1851041503</v>
      </c>
      <c r="S696" s="350">
        <f t="shared" si="287"/>
        <v>3865609.3047994375</v>
      </c>
      <c r="T696" s="350">
        <f t="shared" si="288"/>
        <v>5024680.0156653374</v>
      </c>
      <c r="U696" s="350">
        <f t="shared" si="289"/>
        <v>5940164.8141512163</v>
      </c>
      <c r="V696" s="350">
        <f t="shared" si="290"/>
        <v>18135091.75200671</v>
      </c>
      <c r="W696" s="365"/>
      <c r="X696" s="377">
        <f t="shared" si="268"/>
        <v>0</v>
      </c>
      <c r="Y696" s="377">
        <f t="shared" si="269"/>
        <v>0</v>
      </c>
      <c r="Z696" s="377">
        <f t="shared" si="270"/>
        <v>0</v>
      </c>
      <c r="AA696" s="377">
        <f t="shared" si="271"/>
        <v>0</v>
      </c>
      <c r="AB696" s="377">
        <f t="shared" si="272"/>
        <v>0</v>
      </c>
      <c r="AC696" s="377">
        <f t="shared" si="273"/>
        <v>0</v>
      </c>
      <c r="AD696" s="376"/>
      <c r="AE696" s="332">
        <v>681</v>
      </c>
      <c r="AF696" s="350">
        <v>5986926.9018316735</v>
      </c>
      <c r="AG696" s="350">
        <v>12020870.173768997</v>
      </c>
      <c r="AH696" s="350">
        <v>18100478.65098805</v>
      </c>
      <c r="AI696" s="350">
        <v>24225953.915968634</v>
      </c>
      <c r="AJ696" s="350">
        <v>30398179.348384961</v>
      </c>
      <c r="AK696" s="348">
        <v>90732408.990942314</v>
      </c>
      <c r="AL696" s="369"/>
      <c r="AM696" s="350">
        <v>6917060.1692068446</v>
      </c>
      <c r="AN696" s="350">
        <v>14764404.989389045</v>
      </c>
      <c r="AO696" s="350">
        <v>22385691.372625578</v>
      </c>
      <c r="AP696" s="350">
        <v>29776166.321931779</v>
      </c>
      <c r="AQ696" s="350">
        <v>36933150.867903806</v>
      </c>
      <c r="AR696" s="348">
        <v>110776473.72105706</v>
      </c>
      <c r="AS696" s="369"/>
      <c r="AT696" s="350">
        <f t="shared" si="291"/>
        <v>930133.26737517118</v>
      </c>
      <c r="AU696" s="350">
        <f t="shared" si="274"/>
        <v>2743534.815620048</v>
      </c>
      <c r="AV696" s="350">
        <f t="shared" si="275"/>
        <v>4285212.7216375284</v>
      </c>
      <c r="AW696" s="350">
        <f t="shared" si="276"/>
        <v>5550212.4059631452</v>
      </c>
      <c r="AX696" s="350">
        <f t="shared" si="277"/>
        <v>6534971.5195188448</v>
      </c>
      <c r="AY696" s="350">
        <f t="shared" si="278"/>
        <v>20044064.730114743</v>
      </c>
      <c r="AZ696" s="365"/>
      <c r="BA696" s="377">
        <f t="shared" si="279"/>
        <v>0</v>
      </c>
      <c r="BB696" s="377">
        <f t="shared" si="280"/>
        <v>0</v>
      </c>
      <c r="BC696" s="377">
        <f t="shared" si="281"/>
        <v>0</v>
      </c>
      <c r="BD696" s="377">
        <f t="shared" si="282"/>
        <v>0</v>
      </c>
      <c r="BE696" s="377">
        <f t="shared" si="283"/>
        <v>0</v>
      </c>
      <c r="BF696" s="377">
        <f t="shared" si="284"/>
        <v>0</v>
      </c>
      <c r="BG696" s="328"/>
    </row>
    <row r="697" spans="2:59">
      <c r="B697" s="332">
        <v>682</v>
      </c>
      <c r="C697" s="350">
        <v>8836706.7689336296</v>
      </c>
      <c r="D697" s="350">
        <v>16675351.705922578</v>
      </c>
      <c r="E697" s="350">
        <v>24573015.574209712</v>
      </c>
      <c r="F697" s="350">
        <v>32530236.819818795</v>
      </c>
      <c r="G697" s="350">
        <v>40548283.369757667</v>
      </c>
      <c r="H697" s="348">
        <v>123163594.23864238</v>
      </c>
      <c r="I697" s="369"/>
      <c r="J697" s="350">
        <v>9764606.1175108273</v>
      </c>
      <c r="K697" s="350">
        <v>19407899.712304298</v>
      </c>
      <c r="L697" s="350">
        <v>28787292.651612818</v>
      </c>
      <c r="M697" s="350">
        <v>37895540.943077222</v>
      </c>
      <c r="N697" s="350">
        <v>46727517.581913054</v>
      </c>
      <c r="O697" s="348">
        <v>142582857.00641823</v>
      </c>
      <c r="P697" s="369"/>
      <c r="Q697" s="350">
        <f t="shared" si="285"/>
        <v>927899.34857719764</v>
      </c>
      <c r="R697" s="350">
        <f t="shared" si="286"/>
        <v>2732548.0063817203</v>
      </c>
      <c r="S697" s="350">
        <f t="shared" si="287"/>
        <v>4214277.0774031058</v>
      </c>
      <c r="T697" s="350">
        <f t="shared" si="288"/>
        <v>5365304.1232584268</v>
      </c>
      <c r="U697" s="350">
        <f t="shared" si="289"/>
        <v>6179234.2121553868</v>
      </c>
      <c r="V697" s="350">
        <f t="shared" si="290"/>
        <v>19419262.767775849</v>
      </c>
      <c r="W697" s="365"/>
      <c r="X697" s="377">
        <f t="shared" si="268"/>
        <v>0</v>
      </c>
      <c r="Y697" s="377">
        <f t="shared" si="269"/>
        <v>0</v>
      </c>
      <c r="Z697" s="377">
        <f t="shared" si="270"/>
        <v>0</v>
      </c>
      <c r="AA697" s="377">
        <f t="shared" si="271"/>
        <v>0</v>
      </c>
      <c r="AB697" s="377">
        <f t="shared" si="272"/>
        <v>0</v>
      </c>
      <c r="AC697" s="377">
        <f t="shared" si="273"/>
        <v>0</v>
      </c>
      <c r="AD697" s="376"/>
      <c r="AE697" s="332">
        <v>682</v>
      </c>
      <c r="AF697" s="350">
        <v>5391856.951562658</v>
      </c>
      <c r="AG697" s="350">
        <v>10826057.086222114</v>
      </c>
      <c r="AH697" s="350">
        <v>16301383.538035613</v>
      </c>
      <c r="AI697" s="350">
        <v>21818017.853214242</v>
      </c>
      <c r="AJ697" s="350">
        <v>27376755.60800527</v>
      </c>
      <c r="AK697" s="348">
        <v>81714071.037039906</v>
      </c>
      <c r="AL697" s="369"/>
      <c r="AM697" s="350">
        <v>6116088.1714796694</v>
      </c>
      <c r="AN697" s="350">
        <v>12960434.56809512</v>
      </c>
      <c r="AO697" s="350">
        <v>19597793.671824429</v>
      </c>
      <c r="AP697" s="350">
        <v>26023916.997610182</v>
      </c>
      <c r="AQ697" s="350">
        <v>32236276.952096377</v>
      </c>
      <c r="AR697" s="348">
        <v>96934510.36110577</v>
      </c>
      <c r="AS697" s="369"/>
      <c r="AT697" s="350">
        <f t="shared" si="291"/>
        <v>724231.21991701145</v>
      </c>
      <c r="AU697" s="350">
        <f t="shared" si="274"/>
        <v>2134377.4818730056</v>
      </c>
      <c r="AV697" s="350">
        <f t="shared" si="275"/>
        <v>3296410.1337888166</v>
      </c>
      <c r="AW697" s="350">
        <f t="shared" si="276"/>
        <v>4205899.14439594</v>
      </c>
      <c r="AX697" s="350">
        <f t="shared" si="277"/>
        <v>4859521.3440911062</v>
      </c>
      <c r="AY697" s="350">
        <f t="shared" si="278"/>
        <v>15220439.324065864</v>
      </c>
      <c r="AZ697" s="365"/>
      <c r="BA697" s="377">
        <f t="shared" si="279"/>
        <v>0</v>
      </c>
      <c r="BB697" s="377">
        <f t="shared" si="280"/>
        <v>0</v>
      </c>
      <c r="BC697" s="377">
        <f t="shared" si="281"/>
        <v>0</v>
      </c>
      <c r="BD697" s="377">
        <f t="shared" si="282"/>
        <v>0</v>
      </c>
      <c r="BE697" s="377">
        <f t="shared" si="283"/>
        <v>0</v>
      </c>
      <c r="BF697" s="377">
        <f t="shared" si="284"/>
        <v>0</v>
      </c>
      <c r="BG697" s="328"/>
    </row>
    <row r="698" spans="2:59">
      <c r="B698" s="332">
        <v>683</v>
      </c>
      <c r="C698" s="350">
        <v>9613784.2938448042</v>
      </c>
      <c r="D698" s="350">
        <v>17936568.595027182</v>
      </c>
      <c r="E698" s="350">
        <v>26321950.557888374</v>
      </c>
      <c r="F698" s="350">
        <v>34770562.282254443</v>
      </c>
      <c r="G698" s="350">
        <v>43283776.285207294</v>
      </c>
      <c r="H698" s="348">
        <v>131926642.01422209</v>
      </c>
      <c r="I698" s="369"/>
      <c r="J698" s="350">
        <v>11051374.777874673</v>
      </c>
      <c r="K698" s="350">
        <v>22179519.336045936</v>
      </c>
      <c r="L698" s="350">
        <v>33029735.228249911</v>
      </c>
      <c r="M698" s="350">
        <v>43594713.299537681</v>
      </c>
      <c r="N698" s="350">
        <v>53869961.545290574</v>
      </c>
      <c r="O698" s="348">
        <v>163725304.18699878</v>
      </c>
      <c r="P698" s="369"/>
      <c r="Q698" s="350">
        <f t="shared" si="285"/>
        <v>1437590.4840298686</v>
      </c>
      <c r="R698" s="350">
        <f t="shared" si="286"/>
        <v>4242950.7410187535</v>
      </c>
      <c r="S698" s="350">
        <f t="shared" si="287"/>
        <v>6707784.6703615375</v>
      </c>
      <c r="T698" s="350">
        <f t="shared" si="288"/>
        <v>8824151.0172832385</v>
      </c>
      <c r="U698" s="350">
        <f t="shared" si="289"/>
        <v>10586185.260083281</v>
      </c>
      <c r="V698" s="350">
        <f t="shared" si="290"/>
        <v>31798662.172776699</v>
      </c>
      <c r="W698" s="365"/>
      <c r="X698" s="377">
        <f t="shared" si="268"/>
        <v>0</v>
      </c>
      <c r="Y698" s="377">
        <f t="shared" si="269"/>
        <v>0</v>
      </c>
      <c r="Z698" s="377">
        <f t="shared" si="270"/>
        <v>0</v>
      </c>
      <c r="AA698" s="377">
        <f t="shared" si="271"/>
        <v>0</v>
      </c>
      <c r="AB698" s="377">
        <f t="shared" si="272"/>
        <v>0</v>
      </c>
      <c r="AC698" s="377">
        <f t="shared" si="273"/>
        <v>0</v>
      </c>
      <c r="AD698" s="376"/>
      <c r="AE698" s="332">
        <v>683</v>
      </c>
      <c r="AF698" s="350">
        <v>5385056.0633559097</v>
      </c>
      <c r="AG698" s="350">
        <v>10812401.901259921</v>
      </c>
      <c r="AH698" s="350">
        <v>16280822.182633672</v>
      </c>
      <c r="AI698" s="350">
        <v>21790498.22469933</v>
      </c>
      <c r="AJ698" s="350">
        <v>27342224.600223333</v>
      </c>
      <c r="AK698" s="348">
        <v>81611002.972172171</v>
      </c>
      <c r="AL698" s="369"/>
      <c r="AM698" s="350">
        <v>6309025.4462029049</v>
      </c>
      <c r="AN698" s="350">
        <v>13539161.122520274</v>
      </c>
      <c r="AO698" s="350">
        <v>20568580.164695904</v>
      </c>
      <c r="AP698" s="350">
        <v>27392982.694665346</v>
      </c>
      <c r="AQ698" s="350">
        <v>34010047.520277828</v>
      </c>
      <c r="AR698" s="348">
        <v>101819796.94836226</v>
      </c>
      <c r="AS698" s="369"/>
      <c r="AT698" s="350">
        <f t="shared" si="291"/>
        <v>923969.38284699526</v>
      </c>
      <c r="AU698" s="350">
        <f t="shared" si="274"/>
        <v>2726759.2212603521</v>
      </c>
      <c r="AV698" s="350">
        <f t="shared" si="275"/>
        <v>4287757.9820622317</v>
      </c>
      <c r="AW698" s="350">
        <f t="shared" si="276"/>
        <v>5602484.4699660167</v>
      </c>
      <c r="AX698" s="350">
        <f t="shared" si="277"/>
        <v>6667822.9200544953</v>
      </c>
      <c r="AY698" s="350">
        <f t="shared" si="278"/>
        <v>20208793.97619009</v>
      </c>
      <c r="AZ698" s="365"/>
      <c r="BA698" s="377">
        <f t="shared" si="279"/>
        <v>0</v>
      </c>
      <c r="BB698" s="377">
        <f t="shared" si="280"/>
        <v>0</v>
      </c>
      <c r="BC698" s="377">
        <f t="shared" si="281"/>
        <v>0</v>
      </c>
      <c r="BD698" s="377">
        <f t="shared" si="282"/>
        <v>0</v>
      </c>
      <c r="BE698" s="377">
        <f t="shared" si="283"/>
        <v>0</v>
      </c>
      <c r="BF698" s="377">
        <f t="shared" si="284"/>
        <v>0</v>
      </c>
      <c r="BG698" s="328"/>
    </row>
    <row r="699" spans="2:59">
      <c r="B699" s="332">
        <v>684</v>
      </c>
      <c r="C699" s="350">
        <v>9845497.0469748024</v>
      </c>
      <c r="D699" s="350">
        <v>18533571.242738537</v>
      </c>
      <c r="E699" s="350">
        <v>27287045.20020232</v>
      </c>
      <c r="F699" s="350">
        <v>36106529.085265569</v>
      </c>
      <c r="G699" s="350">
        <v>44993434.040892199</v>
      </c>
      <c r="H699" s="348">
        <v>136766076.61607343</v>
      </c>
      <c r="I699" s="369"/>
      <c r="J699" s="350">
        <v>11034992.585153067</v>
      </c>
      <c r="K699" s="350">
        <v>22039841.00562932</v>
      </c>
      <c r="L699" s="350">
        <v>32756539.757759221</v>
      </c>
      <c r="M699" s="350">
        <v>43177045.197089612</v>
      </c>
      <c r="N699" s="350">
        <v>53295861.868399538</v>
      </c>
      <c r="O699" s="348">
        <v>162304280.41403076</v>
      </c>
      <c r="P699" s="369"/>
      <c r="Q699" s="350">
        <f t="shared" si="285"/>
        <v>1189495.5381782651</v>
      </c>
      <c r="R699" s="350">
        <f t="shared" si="286"/>
        <v>3506269.7628907822</v>
      </c>
      <c r="S699" s="350">
        <f t="shared" si="287"/>
        <v>5469494.5575569011</v>
      </c>
      <c r="T699" s="350">
        <f t="shared" si="288"/>
        <v>7070516.1118240431</v>
      </c>
      <c r="U699" s="350">
        <f t="shared" si="289"/>
        <v>8302427.8275073394</v>
      </c>
      <c r="V699" s="350">
        <f t="shared" si="290"/>
        <v>25538203.797957331</v>
      </c>
      <c r="W699" s="365"/>
      <c r="X699" s="377">
        <f t="shared" si="268"/>
        <v>0</v>
      </c>
      <c r="Y699" s="377">
        <f t="shared" si="269"/>
        <v>0</v>
      </c>
      <c r="Z699" s="377">
        <f t="shared" si="270"/>
        <v>0</v>
      </c>
      <c r="AA699" s="377">
        <f t="shared" si="271"/>
        <v>0</v>
      </c>
      <c r="AB699" s="377">
        <f t="shared" si="272"/>
        <v>0</v>
      </c>
      <c r="AC699" s="377">
        <f t="shared" si="273"/>
        <v>0</v>
      </c>
      <c r="AD699" s="376"/>
      <c r="AE699" s="332">
        <v>684</v>
      </c>
      <c r="AF699" s="350">
        <v>5679800.1416886551</v>
      </c>
      <c r="AG699" s="350">
        <v>11404204.734035639</v>
      </c>
      <c r="AH699" s="350">
        <v>17171931.926387984</v>
      </c>
      <c r="AI699" s="350">
        <v>22983172.960131489</v>
      </c>
      <c r="AJ699" s="350">
        <v>28838765.897945218</v>
      </c>
      <c r="AK699" s="348">
        <v>86077875.660188988</v>
      </c>
      <c r="AL699" s="369"/>
      <c r="AM699" s="350">
        <v>7184417.6343007907</v>
      </c>
      <c r="AN699" s="350">
        <v>15852258.878520612</v>
      </c>
      <c r="AO699" s="350">
        <v>24324273.461856514</v>
      </c>
      <c r="AP699" s="350">
        <v>32595776.23286964</v>
      </c>
      <c r="AQ699" s="350">
        <v>40664855.794518471</v>
      </c>
      <c r="AR699" s="348">
        <v>120621582.00206603</v>
      </c>
      <c r="AS699" s="369"/>
      <c r="AT699" s="350">
        <f t="shared" si="291"/>
        <v>1504617.4926121356</v>
      </c>
      <c r="AU699" s="350">
        <f t="shared" si="274"/>
        <v>4448054.1444849726</v>
      </c>
      <c r="AV699" s="350">
        <f t="shared" si="275"/>
        <v>7152341.5354685299</v>
      </c>
      <c r="AW699" s="350">
        <f t="shared" si="276"/>
        <v>9612603.2727381513</v>
      </c>
      <c r="AX699" s="350">
        <f t="shared" si="277"/>
        <v>11826089.896573253</v>
      </c>
      <c r="AY699" s="350">
        <f t="shared" si="278"/>
        <v>34543706.341877043</v>
      </c>
      <c r="AZ699" s="365"/>
      <c r="BA699" s="377">
        <f t="shared" si="279"/>
        <v>0</v>
      </c>
      <c r="BB699" s="377">
        <f t="shared" si="280"/>
        <v>0</v>
      </c>
      <c r="BC699" s="377">
        <f t="shared" si="281"/>
        <v>0</v>
      </c>
      <c r="BD699" s="377">
        <f t="shared" si="282"/>
        <v>0</v>
      </c>
      <c r="BE699" s="377">
        <f t="shared" si="283"/>
        <v>0</v>
      </c>
      <c r="BF699" s="377">
        <f t="shared" si="284"/>
        <v>0</v>
      </c>
      <c r="BG699" s="328"/>
    </row>
    <row r="700" spans="2:59">
      <c r="B700" s="332">
        <v>685</v>
      </c>
      <c r="C700" s="350">
        <v>7378448.4493192043</v>
      </c>
      <c r="D700" s="350">
        <v>13964214.749662936</v>
      </c>
      <c r="E700" s="350">
        <v>20599579.951640464</v>
      </c>
      <c r="F700" s="350">
        <v>27284984.465234898</v>
      </c>
      <c r="G700" s="350">
        <v>34021488.350159131</v>
      </c>
      <c r="H700" s="348">
        <v>103248715.96601665</v>
      </c>
      <c r="I700" s="369"/>
      <c r="J700" s="350">
        <v>8431674.6261914931</v>
      </c>
      <c r="K700" s="350">
        <v>17071537.448984176</v>
      </c>
      <c r="L700" s="350">
        <v>25491315.12999998</v>
      </c>
      <c r="M700" s="350">
        <v>33685096.326443791</v>
      </c>
      <c r="N700" s="350">
        <v>41649119.82997828</v>
      </c>
      <c r="O700" s="348">
        <v>126328743.36159772</v>
      </c>
      <c r="P700" s="369"/>
      <c r="Q700" s="350">
        <f t="shared" si="285"/>
        <v>1053226.1768722888</v>
      </c>
      <c r="R700" s="350">
        <f t="shared" si="286"/>
        <v>3107322.6993212402</v>
      </c>
      <c r="S700" s="350">
        <f t="shared" si="287"/>
        <v>4891735.178359516</v>
      </c>
      <c r="T700" s="350">
        <f t="shared" si="288"/>
        <v>6400111.8612088934</v>
      </c>
      <c r="U700" s="350">
        <f t="shared" si="289"/>
        <v>7627631.4798191488</v>
      </c>
      <c r="V700" s="350">
        <f t="shared" si="290"/>
        <v>23080027.395581067</v>
      </c>
      <c r="W700" s="365"/>
      <c r="X700" s="377">
        <f t="shared" si="268"/>
        <v>0</v>
      </c>
      <c r="Y700" s="377">
        <f t="shared" si="269"/>
        <v>0</v>
      </c>
      <c r="Z700" s="377">
        <f t="shared" si="270"/>
        <v>0</v>
      </c>
      <c r="AA700" s="377">
        <f t="shared" si="271"/>
        <v>0</v>
      </c>
      <c r="AB700" s="377">
        <f t="shared" si="272"/>
        <v>0</v>
      </c>
      <c r="AC700" s="377">
        <f t="shared" si="273"/>
        <v>0</v>
      </c>
      <c r="AD700" s="376"/>
      <c r="AE700" s="332">
        <v>685</v>
      </c>
      <c r="AF700" s="350">
        <v>5011779.8458514856</v>
      </c>
      <c r="AG700" s="350">
        <v>10062918.063699882</v>
      </c>
      <c r="AH700" s="350">
        <v>15152283.565635812</v>
      </c>
      <c r="AI700" s="350">
        <v>20280045.100505911</v>
      </c>
      <c r="AJ700" s="350">
        <v>25446942.163633913</v>
      </c>
      <c r="AK700" s="348">
        <v>75953968.739326999</v>
      </c>
      <c r="AL700" s="369"/>
      <c r="AM700" s="350">
        <v>5875170.2533915257</v>
      </c>
      <c r="AN700" s="350">
        <v>12610951.024054453</v>
      </c>
      <c r="AO700" s="350">
        <v>19160032.109664828</v>
      </c>
      <c r="AP700" s="350">
        <v>25518410.70619534</v>
      </c>
      <c r="AQ700" s="350">
        <v>31683930.031823695</v>
      </c>
      <c r="AR700" s="348">
        <v>94848494.125129849</v>
      </c>
      <c r="AS700" s="369"/>
      <c r="AT700" s="350">
        <f t="shared" si="291"/>
        <v>863390.40754004009</v>
      </c>
      <c r="AU700" s="350">
        <f t="shared" si="274"/>
        <v>2548032.9603545703</v>
      </c>
      <c r="AV700" s="350">
        <f t="shared" si="275"/>
        <v>4007748.544029016</v>
      </c>
      <c r="AW700" s="350">
        <f t="shared" si="276"/>
        <v>5238365.6056894287</v>
      </c>
      <c r="AX700" s="350">
        <f t="shared" si="277"/>
        <v>6236987.8681897819</v>
      </c>
      <c r="AY700" s="350">
        <f t="shared" si="278"/>
        <v>18894525.38580285</v>
      </c>
      <c r="AZ700" s="365"/>
      <c r="BA700" s="377">
        <f t="shared" si="279"/>
        <v>0</v>
      </c>
      <c r="BB700" s="377">
        <f t="shared" si="280"/>
        <v>0</v>
      </c>
      <c r="BC700" s="377">
        <f t="shared" si="281"/>
        <v>0</v>
      </c>
      <c r="BD700" s="377">
        <f t="shared" si="282"/>
        <v>0</v>
      </c>
      <c r="BE700" s="377">
        <f t="shared" si="283"/>
        <v>0</v>
      </c>
      <c r="BF700" s="377">
        <f t="shared" si="284"/>
        <v>0</v>
      </c>
      <c r="BG700" s="328"/>
    </row>
    <row r="701" spans="2:59">
      <c r="B701" s="332">
        <v>686</v>
      </c>
      <c r="C701" s="350">
        <v>6225906.5577764278</v>
      </c>
      <c r="D701" s="350">
        <v>11527066.673327442</v>
      </c>
      <c r="E701" s="350">
        <v>16868068.648817025</v>
      </c>
      <c r="F701" s="350">
        <v>22249341.849969998</v>
      </c>
      <c r="G701" s="350">
        <v>27671772.135377344</v>
      </c>
      <c r="H701" s="348">
        <v>84542155.865268245</v>
      </c>
      <c r="I701" s="369"/>
      <c r="J701" s="350">
        <v>7231561.9050852172</v>
      </c>
      <c r="K701" s="350">
        <v>14496499.328021124</v>
      </c>
      <c r="L701" s="350">
        <v>21599116.592566699</v>
      </c>
      <c r="M701" s="350">
        <v>28534302.297599141</v>
      </c>
      <c r="N701" s="350">
        <v>35298822.614341028</v>
      </c>
      <c r="O701" s="348">
        <v>107160302.7376132</v>
      </c>
      <c r="P701" s="369"/>
      <c r="Q701" s="350">
        <f t="shared" si="285"/>
        <v>1005655.3473087894</v>
      </c>
      <c r="R701" s="350">
        <f t="shared" si="286"/>
        <v>2969432.6546936817</v>
      </c>
      <c r="S701" s="350">
        <f t="shared" si="287"/>
        <v>4731047.9437496737</v>
      </c>
      <c r="T701" s="350">
        <f t="shared" si="288"/>
        <v>6284960.4476291426</v>
      </c>
      <c r="U701" s="350">
        <f t="shared" si="289"/>
        <v>7627050.4789636843</v>
      </c>
      <c r="V701" s="350">
        <f t="shared" si="290"/>
        <v>22618146.872344956</v>
      </c>
      <c r="W701" s="365"/>
      <c r="X701" s="377">
        <f t="shared" si="268"/>
        <v>0</v>
      </c>
      <c r="Y701" s="377">
        <f t="shared" si="269"/>
        <v>0</v>
      </c>
      <c r="Z701" s="377">
        <f t="shared" si="270"/>
        <v>0</v>
      </c>
      <c r="AA701" s="377">
        <f t="shared" si="271"/>
        <v>0</v>
      </c>
      <c r="AB701" s="377">
        <f t="shared" si="272"/>
        <v>0</v>
      </c>
      <c r="AC701" s="377">
        <f t="shared" si="273"/>
        <v>0</v>
      </c>
      <c r="AD701" s="376"/>
      <c r="AE701" s="332">
        <v>686</v>
      </c>
      <c r="AF701" s="350">
        <v>7003037.9303701073</v>
      </c>
      <c r="AG701" s="350">
        <v>14061071.926100135</v>
      </c>
      <c r="AH701" s="350">
        <v>21172521.500461698</v>
      </c>
      <c r="AI701" s="350">
        <v>28337622.448842876</v>
      </c>
      <c r="AJ701" s="350">
        <v>35557408.079561412</v>
      </c>
      <c r="AK701" s="348">
        <v>106131661.88533622</v>
      </c>
      <c r="AL701" s="369"/>
      <c r="AM701" s="350">
        <v>8184471.3004123624</v>
      </c>
      <c r="AN701" s="350">
        <v>17547348.773161393</v>
      </c>
      <c r="AO701" s="350">
        <v>26648599.249744363</v>
      </c>
      <c r="AP701" s="350">
        <v>35482636.619483054</v>
      </c>
      <c r="AQ701" s="350">
        <v>44046421.863034479</v>
      </c>
      <c r="AR701" s="348">
        <v>131909477.80583566</v>
      </c>
      <c r="AS701" s="369"/>
      <c r="AT701" s="350">
        <f t="shared" si="291"/>
        <v>1181433.3700422551</v>
      </c>
      <c r="AU701" s="350">
        <f t="shared" si="274"/>
        <v>3486276.8470612578</v>
      </c>
      <c r="AV701" s="350">
        <f t="shared" si="275"/>
        <v>5476077.7492826656</v>
      </c>
      <c r="AW701" s="350">
        <f t="shared" si="276"/>
        <v>7145014.170640178</v>
      </c>
      <c r="AX701" s="350">
        <f t="shared" si="277"/>
        <v>8489013.783473067</v>
      </c>
      <c r="AY701" s="350">
        <f t="shared" si="278"/>
        <v>25777815.920499444</v>
      </c>
      <c r="AZ701" s="365"/>
      <c r="BA701" s="377">
        <f t="shared" si="279"/>
        <v>0</v>
      </c>
      <c r="BB701" s="377">
        <f t="shared" si="280"/>
        <v>0</v>
      </c>
      <c r="BC701" s="377">
        <f t="shared" si="281"/>
        <v>0</v>
      </c>
      <c r="BD701" s="377">
        <f t="shared" si="282"/>
        <v>0</v>
      </c>
      <c r="BE701" s="377">
        <f t="shared" si="283"/>
        <v>0</v>
      </c>
      <c r="BF701" s="377">
        <f t="shared" si="284"/>
        <v>0</v>
      </c>
      <c r="BG701" s="328"/>
    </row>
    <row r="702" spans="2:59">
      <c r="B702" s="332">
        <v>687</v>
      </c>
      <c r="C702" s="350">
        <v>6231053.9156101532</v>
      </c>
      <c r="D702" s="350">
        <v>11660159.416661888</v>
      </c>
      <c r="E702" s="350">
        <v>17130110.075708225</v>
      </c>
      <c r="F702" s="350">
        <v>22641307.727130666</v>
      </c>
      <c r="G702" s="350">
        <v>28194643.122323141</v>
      </c>
      <c r="H702" s="348">
        <v>85857274.25743407</v>
      </c>
      <c r="I702" s="369"/>
      <c r="J702" s="350">
        <v>7118989.9861097001</v>
      </c>
      <c r="K702" s="350">
        <v>14280134.902036346</v>
      </c>
      <c r="L702" s="350">
        <v>21264456.384554978</v>
      </c>
      <c r="M702" s="350">
        <v>28066956.008723736</v>
      </c>
      <c r="N702" s="350">
        <v>34684405.222453505</v>
      </c>
      <c r="O702" s="348">
        <v>105414942.50387827</v>
      </c>
      <c r="P702" s="369"/>
      <c r="Q702" s="350">
        <f t="shared" si="285"/>
        <v>887936.07049954683</v>
      </c>
      <c r="R702" s="350">
        <f t="shared" si="286"/>
        <v>2619975.4853744581</v>
      </c>
      <c r="S702" s="350">
        <f t="shared" si="287"/>
        <v>4134346.3088467531</v>
      </c>
      <c r="T702" s="350">
        <f t="shared" si="288"/>
        <v>5425648.2815930694</v>
      </c>
      <c r="U702" s="350">
        <f t="shared" si="289"/>
        <v>6489762.1001303643</v>
      </c>
      <c r="V702" s="350">
        <f t="shared" si="290"/>
        <v>19557668.246444196</v>
      </c>
      <c r="W702" s="365"/>
      <c r="X702" s="377">
        <f t="shared" si="268"/>
        <v>0</v>
      </c>
      <c r="Y702" s="377">
        <f t="shared" si="269"/>
        <v>0</v>
      </c>
      <c r="Z702" s="377">
        <f t="shared" si="270"/>
        <v>0</v>
      </c>
      <c r="AA702" s="377">
        <f t="shared" si="271"/>
        <v>0</v>
      </c>
      <c r="AB702" s="377">
        <f t="shared" si="272"/>
        <v>0</v>
      </c>
      <c r="AC702" s="377">
        <f t="shared" si="273"/>
        <v>0</v>
      </c>
      <c r="AD702" s="376"/>
      <c r="AE702" s="332">
        <v>687</v>
      </c>
      <c r="AF702" s="350">
        <v>6459101.5047486294</v>
      </c>
      <c r="AG702" s="350">
        <v>12968927.448241336</v>
      </c>
      <c r="AH702" s="350">
        <v>19528020.102516763</v>
      </c>
      <c r="AI702" s="350">
        <v>26136596.948382687</v>
      </c>
      <c r="AJ702" s="350">
        <v>32795611.035555009</v>
      </c>
      <c r="AK702" s="348">
        <v>97888257.039444417</v>
      </c>
      <c r="AL702" s="369"/>
      <c r="AM702" s="350">
        <v>7567491.0879355147</v>
      </c>
      <c r="AN702" s="350">
        <v>16239937.714217078</v>
      </c>
      <c r="AO702" s="350">
        <v>24671638.971444152</v>
      </c>
      <c r="AP702" s="350">
        <v>32857437.335821435</v>
      </c>
      <c r="AQ702" s="350">
        <v>40794548.79206115</v>
      </c>
      <c r="AR702" s="348">
        <v>122131053.90147933</v>
      </c>
      <c r="AS702" s="369"/>
      <c r="AT702" s="350">
        <f t="shared" si="291"/>
        <v>1108389.5831868853</v>
      </c>
      <c r="AU702" s="350">
        <f t="shared" si="274"/>
        <v>3271010.2659757417</v>
      </c>
      <c r="AV702" s="350">
        <f t="shared" si="275"/>
        <v>5143618.8689273894</v>
      </c>
      <c r="AW702" s="350">
        <f t="shared" si="276"/>
        <v>6720840.387438748</v>
      </c>
      <c r="AX702" s="350">
        <f t="shared" si="277"/>
        <v>7998937.7565061413</v>
      </c>
      <c r="AY702" s="350">
        <f t="shared" si="278"/>
        <v>24242796.862034917</v>
      </c>
      <c r="AZ702" s="365"/>
      <c r="BA702" s="377">
        <f t="shared" si="279"/>
        <v>0</v>
      </c>
      <c r="BB702" s="377">
        <f t="shared" si="280"/>
        <v>0</v>
      </c>
      <c r="BC702" s="377">
        <f t="shared" si="281"/>
        <v>0</v>
      </c>
      <c r="BD702" s="377">
        <f t="shared" si="282"/>
        <v>0</v>
      </c>
      <c r="BE702" s="377">
        <f t="shared" si="283"/>
        <v>0</v>
      </c>
      <c r="BF702" s="377">
        <f t="shared" si="284"/>
        <v>0</v>
      </c>
      <c r="BG702" s="328"/>
    </row>
    <row r="703" spans="2:59">
      <c r="B703" s="332">
        <v>688</v>
      </c>
      <c r="C703" s="350">
        <v>7527439.2297182316</v>
      </c>
      <c r="D703" s="350">
        <v>14354194.602887481</v>
      </c>
      <c r="E703" s="350">
        <v>21232398.59274485</v>
      </c>
      <c r="F703" s="350">
        <v>28162476.127207883</v>
      </c>
      <c r="G703" s="350">
        <v>35145512.308020517</v>
      </c>
      <c r="H703" s="348">
        <v>106422020.86057897</v>
      </c>
      <c r="I703" s="369"/>
      <c r="J703" s="350">
        <v>8770426.3495108671</v>
      </c>
      <c r="K703" s="350">
        <v>18023712.949236635</v>
      </c>
      <c r="L703" s="350">
        <v>27060303.806967139</v>
      </c>
      <c r="M703" s="350">
        <v>35873735.3817968</v>
      </c>
      <c r="N703" s="350">
        <v>44459976.271186754</v>
      </c>
      <c r="O703" s="348">
        <v>134188154.7586982</v>
      </c>
      <c r="P703" s="369"/>
      <c r="Q703" s="350">
        <f t="shared" si="285"/>
        <v>1242987.1197926356</v>
      </c>
      <c r="R703" s="350">
        <f t="shared" si="286"/>
        <v>3669518.3463491537</v>
      </c>
      <c r="S703" s="350">
        <f t="shared" si="287"/>
        <v>5827905.2142222896</v>
      </c>
      <c r="T703" s="350">
        <f t="shared" si="288"/>
        <v>7711259.2545889169</v>
      </c>
      <c r="U703" s="350">
        <f t="shared" si="289"/>
        <v>9314463.9631662369</v>
      </c>
      <c r="V703" s="350">
        <f t="shared" si="290"/>
        <v>27766133.898119226</v>
      </c>
      <c r="W703" s="365"/>
      <c r="X703" s="377">
        <f t="shared" si="268"/>
        <v>0</v>
      </c>
      <c r="Y703" s="377">
        <f t="shared" si="269"/>
        <v>0</v>
      </c>
      <c r="Z703" s="377">
        <f t="shared" si="270"/>
        <v>0</v>
      </c>
      <c r="AA703" s="377">
        <f t="shared" si="271"/>
        <v>0</v>
      </c>
      <c r="AB703" s="377">
        <f t="shared" si="272"/>
        <v>0</v>
      </c>
      <c r="AC703" s="377">
        <f t="shared" si="273"/>
        <v>0</v>
      </c>
      <c r="AD703" s="376"/>
      <c r="AE703" s="332">
        <v>688</v>
      </c>
      <c r="AF703" s="350">
        <v>5901221.5956375469</v>
      </c>
      <c r="AG703" s="350">
        <v>11848786.5028213</v>
      </c>
      <c r="AH703" s="350">
        <v>17841362.89920418</v>
      </c>
      <c r="AI703" s="350">
        <v>23879149.481530383</v>
      </c>
      <c r="AJ703" s="350">
        <v>29963016.983532932</v>
      </c>
      <c r="AK703" s="348">
        <v>89433537.46272634</v>
      </c>
      <c r="AL703" s="369"/>
      <c r="AM703" s="350">
        <v>6901511.236264348</v>
      </c>
      <c r="AN703" s="350">
        <v>14800598.783010771</v>
      </c>
      <c r="AO703" s="350">
        <v>22479364.012837093</v>
      </c>
      <c r="AP703" s="350">
        <v>29933098.3609857</v>
      </c>
      <c r="AQ703" s="350">
        <v>37159245.745768644</v>
      </c>
      <c r="AR703" s="348">
        <v>111273818.13886654</v>
      </c>
      <c r="AS703" s="369"/>
      <c r="AT703" s="350">
        <f t="shared" si="291"/>
        <v>1000289.6406268012</v>
      </c>
      <c r="AU703" s="350">
        <f t="shared" si="274"/>
        <v>2951812.2801894713</v>
      </c>
      <c r="AV703" s="350">
        <f t="shared" si="275"/>
        <v>4638001.1136329137</v>
      </c>
      <c r="AW703" s="350">
        <f t="shared" si="276"/>
        <v>6053948.8794553168</v>
      </c>
      <c r="AX703" s="350">
        <f t="shared" si="277"/>
        <v>7196228.7622357123</v>
      </c>
      <c r="AY703" s="350">
        <f t="shared" si="278"/>
        <v>21840280.676140204</v>
      </c>
      <c r="AZ703" s="365"/>
      <c r="BA703" s="377">
        <f t="shared" si="279"/>
        <v>0</v>
      </c>
      <c r="BB703" s="377">
        <f t="shared" si="280"/>
        <v>0</v>
      </c>
      <c r="BC703" s="377">
        <f t="shared" si="281"/>
        <v>0</v>
      </c>
      <c r="BD703" s="377">
        <f t="shared" si="282"/>
        <v>0</v>
      </c>
      <c r="BE703" s="377">
        <f t="shared" si="283"/>
        <v>0</v>
      </c>
      <c r="BF703" s="377">
        <f t="shared" si="284"/>
        <v>0</v>
      </c>
      <c r="BG703" s="328"/>
    </row>
    <row r="704" spans="2:59">
      <c r="B704" s="332">
        <v>689</v>
      </c>
      <c r="C704" s="350">
        <v>9178231.6266539078</v>
      </c>
      <c r="D704" s="350">
        <v>17461072.180537522</v>
      </c>
      <c r="E704" s="350">
        <v>25806321.870586526</v>
      </c>
      <c r="F704" s="350">
        <v>34214508.076079592</v>
      </c>
      <c r="G704" s="350">
        <v>42686952.483172454</v>
      </c>
      <c r="H704" s="348">
        <v>129347086.23703</v>
      </c>
      <c r="I704" s="369"/>
      <c r="J704" s="350">
        <v>10759601.564777894</v>
      </c>
      <c r="K704" s="350">
        <v>22130529.412424408</v>
      </c>
      <c r="L704" s="350">
        <v>33248478.350997753</v>
      </c>
      <c r="M704" s="350">
        <v>44105271.935917877</v>
      </c>
      <c r="N704" s="350">
        <v>54695760.566645049</v>
      </c>
      <c r="O704" s="348">
        <v>164939641.83076298</v>
      </c>
      <c r="P704" s="369"/>
      <c r="Q704" s="350">
        <f t="shared" si="285"/>
        <v>1581369.9381239861</v>
      </c>
      <c r="R704" s="350">
        <f t="shared" si="286"/>
        <v>4669457.2318868861</v>
      </c>
      <c r="S704" s="350">
        <f t="shared" si="287"/>
        <v>7442156.4804112278</v>
      </c>
      <c r="T704" s="350">
        <f t="shared" si="288"/>
        <v>9890763.8598382846</v>
      </c>
      <c r="U704" s="350">
        <f t="shared" si="289"/>
        <v>12008808.083472595</v>
      </c>
      <c r="V704" s="350">
        <f t="shared" si="290"/>
        <v>35592555.593732983</v>
      </c>
      <c r="W704" s="365"/>
      <c r="X704" s="377">
        <f t="shared" si="268"/>
        <v>0</v>
      </c>
      <c r="Y704" s="377">
        <f t="shared" si="269"/>
        <v>0</v>
      </c>
      <c r="Z704" s="377">
        <f t="shared" si="270"/>
        <v>0</v>
      </c>
      <c r="AA704" s="377">
        <f t="shared" si="271"/>
        <v>0</v>
      </c>
      <c r="AB704" s="377">
        <f t="shared" si="272"/>
        <v>0</v>
      </c>
      <c r="AC704" s="377">
        <f t="shared" si="273"/>
        <v>0</v>
      </c>
      <c r="AD704" s="376"/>
      <c r="AE704" s="332">
        <v>689</v>
      </c>
      <c r="AF704" s="350">
        <v>5054469.4837084068</v>
      </c>
      <c r="AG704" s="350">
        <v>10148632.588506632</v>
      </c>
      <c r="AH704" s="350">
        <v>15281348.592037117</v>
      </c>
      <c r="AI704" s="350">
        <v>20452787.680525512</v>
      </c>
      <c r="AJ704" s="350">
        <v>25663695.648212999</v>
      </c>
      <c r="AK704" s="348">
        <v>76600933.992990673</v>
      </c>
      <c r="AL704" s="369"/>
      <c r="AM704" s="350">
        <v>6130357.6367811197</v>
      </c>
      <c r="AN704" s="350">
        <v>13326764.737019448</v>
      </c>
      <c r="AO704" s="350">
        <v>20341025.983210489</v>
      </c>
      <c r="AP704" s="350">
        <v>27169046.453810245</v>
      </c>
      <c r="AQ704" s="350">
        <v>33808858.758111626</v>
      </c>
      <c r="AR704" s="348">
        <v>100776053.56893292</v>
      </c>
      <c r="AS704" s="369"/>
      <c r="AT704" s="350">
        <f t="shared" si="291"/>
        <v>1075888.1530727129</v>
      </c>
      <c r="AU704" s="350">
        <f t="shared" si="274"/>
        <v>3178132.1485128161</v>
      </c>
      <c r="AV704" s="350">
        <f t="shared" si="275"/>
        <v>5059677.391173372</v>
      </c>
      <c r="AW704" s="350">
        <f t="shared" si="276"/>
        <v>6716258.7732847333</v>
      </c>
      <c r="AX704" s="350">
        <f t="shared" si="277"/>
        <v>8145163.1098986268</v>
      </c>
      <c r="AY704" s="350">
        <f t="shared" si="278"/>
        <v>24175119.575942248</v>
      </c>
      <c r="AZ704" s="365"/>
      <c r="BA704" s="377">
        <f t="shared" si="279"/>
        <v>0</v>
      </c>
      <c r="BB704" s="377">
        <f t="shared" si="280"/>
        <v>0</v>
      </c>
      <c r="BC704" s="377">
        <f t="shared" si="281"/>
        <v>0</v>
      </c>
      <c r="BD704" s="377">
        <f t="shared" si="282"/>
        <v>0</v>
      </c>
      <c r="BE704" s="377">
        <f t="shared" si="283"/>
        <v>0</v>
      </c>
      <c r="BF704" s="377">
        <f t="shared" si="284"/>
        <v>0</v>
      </c>
      <c r="BG704" s="328"/>
    </row>
    <row r="705" spans="2:59">
      <c r="B705" s="332">
        <v>690</v>
      </c>
      <c r="C705" s="350">
        <v>9575763.4150065519</v>
      </c>
      <c r="D705" s="350">
        <v>17937136.714154623</v>
      </c>
      <c r="E705" s="350">
        <v>26361421.646652728</v>
      </c>
      <c r="F705" s="350">
        <v>34849231.67499388</v>
      </c>
      <c r="G705" s="350">
        <v>43401936.29576657</v>
      </c>
      <c r="H705" s="348">
        <v>132125489.74657434</v>
      </c>
      <c r="I705" s="369"/>
      <c r="J705" s="350">
        <v>10873399.62871002</v>
      </c>
      <c r="K705" s="350">
        <v>21764943.923285462</v>
      </c>
      <c r="L705" s="350">
        <v>32382207.067201689</v>
      </c>
      <c r="M705" s="350">
        <v>42717508.220621675</v>
      </c>
      <c r="N705" s="350">
        <v>52765804.782259218</v>
      </c>
      <c r="O705" s="348">
        <v>160503863.62207806</v>
      </c>
      <c r="P705" s="369"/>
      <c r="Q705" s="350">
        <f t="shared" si="285"/>
        <v>1297636.2137034684</v>
      </c>
      <c r="R705" s="350">
        <f t="shared" si="286"/>
        <v>3827807.2091308385</v>
      </c>
      <c r="S705" s="350">
        <f t="shared" si="287"/>
        <v>6020785.4205489606</v>
      </c>
      <c r="T705" s="350">
        <f t="shared" si="288"/>
        <v>7868276.5456277952</v>
      </c>
      <c r="U705" s="350">
        <f t="shared" si="289"/>
        <v>9363868.4864926487</v>
      </c>
      <c r="V705" s="350">
        <f t="shared" si="290"/>
        <v>28378373.875503719</v>
      </c>
      <c r="W705" s="365"/>
      <c r="X705" s="377">
        <f t="shared" si="268"/>
        <v>0</v>
      </c>
      <c r="Y705" s="377">
        <f t="shared" si="269"/>
        <v>0</v>
      </c>
      <c r="Z705" s="377">
        <f t="shared" si="270"/>
        <v>0</v>
      </c>
      <c r="AA705" s="377">
        <f t="shared" si="271"/>
        <v>0</v>
      </c>
      <c r="AB705" s="377">
        <f t="shared" si="272"/>
        <v>0</v>
      </c>
      <c r="AC705" s="377">
        <f t="shared" si="273"/>
        <v>0</v>
      </c>
      <c r="AD705" s="376"/>
      <c r="AE705" s="332">
        <v>690</v>
      </c>
      <c r="AF705" s="350">
        <v>5989016.2357429899</v>
      </c>
      <c r="AG705" s="350">
        <v>12025065.249491386</v>
      </c>
      <c r="AH705" s="350">
        <v>18106795.404888116</v>
      </c>
      <c r="AI705" s="350">
        <v>24234408.354761787</v>
      </c>
      <c r="AJ705" s="350">
        <v>30408787.787070826</v>
      </c>
      <c r="AK705" s="348">
        <v>90764073.031955093</v>
      </c>
      <c r="AL705" s="369"/>
      <c r="AM705" s="350">
        <v>7095702.8750008605</v>
      </c>
      <c r="AN705" s="350">
        <v>15292200.29702395</v>
      </c>
      <c r="AO705" s="350">
        <v>23267838.49890437</v>
      </c>
      <c r="AP705" s="350">
        <v>31017812.980910197</v>
      </c>
      <c r="AQ705" s="350">
        <v>38539622.317155235</v>
      </c>
      <c r="AR705" s="348">
        <v>115213176.96899462</v>
      </c>
      <c r="AS705" s="369"/>
      <c r="AT705" s="350">
        <f t="shared" si="291"/>
        <v>1106686.6392578706</v>
      </c>
      <c r="AU705" s="350">
        <f t="shared" si="274"/>
        <v>3267135.047532564</v>
      </c>
      <c r="AV705" s="350">
        <f t="shared" si="275"/>
        <v>5161043.0940162539</v>
      </c>
      <c r="AW705" s="350">
        <f t="shared" si="276"/>
        <v>6783404.6261484101</v>
      </c>
      <c r="AX705" s="350">
        <f t="shared" si="277"/>
        <v>8130834.5300844088</v>
      </c>
      <c r="AY705" s="350">
        <f t="shared" si="278"/>
        <v>24449103.937039524</v>
      </c>
      <c r="AZ705" s="365"/>
      <c r="BA705" s="377">
        <f t="shared" si="279"/>
        <v>0</v>
      </c>
      <c r="BB705" s="377">
        <f t="shared" si="280"/>
        <v>0</v>
      </c>
      <c r="BC705" s="377">
        <f t="shared" si="281"/>
        <v>0</v>
      </c>
      <c r="BD705" s="377">
        <f t="shared" si="282"/>
        <v>0</v>
      </c>
      <c r="BE705" s="377">
        <f t="shared" si="283"/>
        <v>0</v>
      </c>
      <c r="BF705" s="377">
        <f t="shared" si="284"/>
        <v>0</v>
      </c>
      <c r="BG705" s="328"/>
    </row>
    <row r="706" spans="2:59">
      <c r="B706" s="332">
        <v>691</v>
      </c>
      <c r="C706" s="350">
        <v>9067155.3077316303</v>
      </c>
      <c r="D706" s="350">
        <v>16952359.233615141</v>
      </c>
      <c r="E706" s="350">
        <v>24896881.505295634</v>
      </c>
      <c r="F706" s="350">
        <v>32901310.237810314</v>
      </c>
      <c r="G706" s="350">
        <v>40966941.108602606</v>
      </c>
      <c r="H706" s="348">
        <v>124784647.39305532</v>
      </c>
      <c r="I706" s="369"/>
      <c r="J706" s="350">
        <v>10323058.903961429</v>
      </c>
      <c r="K706" s="350">
        <v>20657583.110035319</v>
      </c>
      <c r="L706" s="350">
        <v>30732838.302902471</v>
      </c>
      <c r="M706" s="350">
        <v>40541653.042749226</v>
      </c>
      <c r="N706" s="350">
        <v>50079382.717367947</v>
      </c>
      <c r="O706" s="348">
        <v>152334516.07701641</v>
      </c>
      <c r="P706" s="369"/>
      <c r="Q706" s="350">
        <f t="shared" si="285"/>
        <v>1255903.5962297991</v>
      </c>
      <c r="R706" s="350">
        <f t="shared" si="286"/>
        <v>3705223.8764201775</v>
      </c>
      <c r="S706" s="350">
        <f t="shared" si="287"/>
        <v>5835956.797606837</v>
      </c>
      <c r="T706" s="350">
        <f t="shared" si="288"/>
        <v>7640342.8049389124</v>
      </c>
      <c r="U706" s="350">
        <f t="shared" si="289"/>
        <v>9112441.6087653413</v>
      </c>
      <c r="V706" s="350">
        <f t="shared" si="290"/>
        <v>27549868.683961093</v>
      </c>
      <c r="W706" s="365"/>
      <c r="X706" s="377">
        <f t="shared" si="268"/>
        <v>0</v>
      </c>
      <c r="Y706" s="377">
        <f t="shared" si="269"/>
        <v>0</v>
      </c>
      <c r="Z706" s="377">
        <f t="shared" si="270"/>
        <v>0</v>
      </c>
      <c r="AA706" s="377">
        <f t="shared" si="271"/>
        <v>0</v>
      </c>
      <c r="AB706" s="377">
        <f t="shared" si="272"/>
        <v>0</v>
      </c>
      <c r="AC706" s="377">
        <f t="shared" si="273"/>
        <v>0</v>
      </c>
      <c r="AD706" s="376"/>
      <c r="AE706" s="332">
        <v>691</v>
      </c>
      <c r="AF706" s="350">
        <v>7523723.0647257995</v>
      </c>
      <c r="AG706" s="350">
        <v>15106531.225024646</v>
      </c>
      <c r="AH706" s="350">
        <v>22746726.482889097</v>
      </c>
      <c r="AI706" s="350">
        <v>30444562.165406264</v>
      </c>
      <c r="AJ706" s="350">
        <v>38201148.408734262</v>
      </c>
      <c r="AK706" s="348">
        <v>114022691.34678006</v>
      </c>
      <c r="AL706" s="369"/>
      <c r="AM706" s="350">
        <v>8754450.9821859039</v>
      </c>
      <c r="AN706" s="350">
        <v>18737699.511307634</v>
      </c>
      <c r="AO706" s="350">
        <v>28438714.248570796</v>
      </c>
      <c r="AP706" s="350">
        <v>37851504.650982969</v>
      </c>
      <c r="AQ706" s="350">
        <v>46972766.705437154</v>
      </c>
      <c r="AR706" s="348">
        <v>140755136.09848446</v>
      </c>
      <c r="AS706" s="369"/>
      <c r="AT706" s="350">
        <f t="shared" si="291"/>
        <v>1230727.9174601045</v>
      </c>
      <c r="AU706" s="350">
        <f t="shared" si="274"/>
        <v>3631168.2862829883</v>
      </c>
      <c r="AV706" s="350">
        <f t="shared" si="275"/>
        <v>5691987.7656816989</v>
      </c>
      <c r="AW706" s="350">
        <f t="shared" si="276"/>
        <v>7406942.4855767041</v>
      </c>
      <c r="AX706" s="350">
        <f t="shared" si="277"/>
        <v>8771618.2967028916</v>
      </c>
      <c r="AY706" s="350">
        <f t="shared" si="278"/>
        <v>26732444.751704395</v>
      </c>
      <c r="AZ706" s="365"/>
      <c r="BA706" s="377">
        <f t="shared" si="279"/>
        <v>0</v>
      </c>
      <c r="BB706" s="377">
        <f t="shared" si="280"/>
        <v>0</v>
      </c>
      <c r="BC706" s="377">
        <f t="shared" si="281"/>
        <v>0</v>
      </c>
      <c r="BD706" s="377">
        <f t="shared" si="282"/>
        <v>0</v>
      </c>
      <c r="BE706" s="377">
        <f t="shared" si="283"/>
        <v>0</v>
      </c>
      <c r="BF706" s="377">
        <f t="shared" si="284"/>
        <v>0</v>
      </c>
      <c r="BG706" s="328"/>
    </row>
    <row r="707" spans="2:59">
      <c r="B707" s="332">
        <v>692</v>
      </c>
      <c r="C707" s="350">
        <v>8790003.0134397224</v>
      </c>
      <c r="D707" s="350">
        <v>16681605.278506225</v>
      </c>
      <c r="E707" s="350">
        <v>24632655.778613731</v>
      </c>
      <c r="F707" s="350">
        <v>32643668.812375844</v>
      </c>
      <c r="G707" s="350">
        <v>40715908.783576325</v>
      </c>
      <c r="H707" s="348">
        <v>123463841.66651185</v>
      </c>
      <c r="I707" s="369"/>
      <c r="J707" s="350">
        <v>9754613.6733111087</v>
      </c>
      <c r="K707" s="350">
        <v>19522893.76791798</v>
      </c>
      <c r="L707" s="350">
        <v>29019710.735779047</v>
      </c>
      <c r="M707" s="350">
        <v>38237999.16092132</v>
      </c>
      <c r="N707" s="350">
        <v>47172890.404690042</v>
      </c>
      <c r="O707" s="348">
        <v>143708107.74261951</v>
      </c>
      <c r="P707" s="369"/>
      <c r="Q707" s="350">
        <f t="shared" si="285"/>
        <v>964610.65987138636</v>
      </c>
      <c r="R707" s="350">
        <f t="shared" si="286"/>
        <v>2841288.4894117545</v>
      </c>
      <c r="S707" s="350">
        <f t="shared" si="287"/>
        <v>4387054.9571653157</v>
      </c>
      <c r="T707" s="350">
        <f t="shared" si="288"/>
        <v>5594330.3485454768</v>
      </c>
      <c r="U707" s="350">
        <f t="shared" si="289"/>
        <v>6456981.6211137176</v>
      </c>
      <c r="V707" s="350">
        <f t="shared" si="290"/>
        <v>20244266.076107666</v>
      </c>
      <c r="W707" s="365"/>
      <c r="X707" s="377">
        <f t="shared" si="268"/>
        <v>0</v>
      </c>
      <c r="Y707" s="377">
        <f t="shared" si="269"/>
        <v>0</v>
      </c>
      <c r="Z707" s="377">
        <f t="shared" si="270"/>
        <v>0</v>
      </c>
      <c r="AA707" s="377">
        <f t="shared" si="271"/>
        <v>0</v>
      </c>
      <c r="AB707" s="377">
        <f t="shared" si="272"/>
        <v>0</v>
      </c>
      <c r="AC707" s="377">
        <f t="shared" si="273"/>
        <v>0</v>
      </c>
      <c r="AD707" s="376"/>
      <c r="AE707" s="332">
        <v>692</v>
      </c>
      <c r="AF707" s="350">
        <v>4885047.9633847289</v>
      </c>
      <c r="AG707" s="350">
        <v>9808459.0514236242</v>
      </c>
      <c r="AH707" s="350">
        <v>14769130.777802832</v>
      </c>
      <c r="AI707" s="350">
        <v>19767227.624250393</v>
      </c>
      <c r="AJ707" s="350">
        <v>24803470.386618521</v>
      </c>
      <c r="AK707" s="348">
        <v>74033335.803480104</v>
      </c>
      <c r="AL707" s="369"/>
      <c r="AM707" s="350">
        <v>5962979.3459376525</v>
      </c>
      <c r="AN707" s="350">
        <v>12993074.372371273</v>
      </c>
      <c r="AO707" s="350">
        <v>19848270.208231375</v>
      </c>
      <c r="AP707" s="350">
        <v>26524598.412448496</v>
      </c>
      <c r="AQ707" s="350">
        <v>33020196.132111128</v>
      </c>
      <c r="AR707" s="348">
        <v>98349118.471099928</v>
      </c>
      <c r="AS707" s="369"/>
      <c r="AT707" s="350">
        <f t="shared" si="291"/>
        <v>1077931.3825529236</v>
      </c>
      <c r="AU707" s="350">
        <f t="shared" si="274"/>
        <v>3184615.320947649</v>
      </c>
      <c r="AV707" s="350">
        <f t="shared" si="275"/>
        <v>5079139.4304285422</v>
      </c>
      <c r="AW707" s="350">
        <f t="shared" si="276"/>
        <v>6757370.7881981023</v>
      </c>
      <c r="AX707" s="350">
        <f t="shared" si="277"/>
        <v>8216725.7454926074</v>
      </c>
      <c r="AY707" s="350">
        <f t="shared" si="278"/>
        <v>24315782.667619824</v>
      </c>
      <c r="AZ707" s="365"/>
      <c r="BA707" s="377">
        <f t="shared" si="279"/>
        <v>0</v>
      </c>
      <c r="BB707" s="377">
        <f t="shared" si="280"/>
        <v>0</v>
      </c>
      <c r="BC707" s="377">
        <f t="shared" si="281"/>
        <v>0</v>
      </c>
      <c r="BD707" s="377">
        <f t="shared" si="282"/>
        <v>0</v>
      </c>
      <c r="BE707" s="377">
        <f t="shared" si="283"/>
        <v>0</v>
      </c>
      <c r="BF707" s="377">
        <f t="shared" si="284"/>
        <v>0</v>
      </c>
      <c r="BG707" s="328"/>
    </row>
    <row r="708" spans="2:59">
      <c r="B708" s="332">
        <v>693</v>
      </c>
      <c r="C708" s="350">
        <v>10850625.244029868</v>
      </c>
      <c r="D708" s="350">
        <v>20333473.448019899</v>
      </c>
      <c r="E708" s="350">
        <v>29887674.07932657</v>
      </c>
      <c r="F708" s="350">
        <v>39513920.402368553</v>
      </c>
      <c r="G708" s="350">
        <v>49213764.519726254</v>
      </c>
      <c r="H708" s="348">
        <v>149799457.69347113</v>
      </c>
      <c r="I708" s="369"/>
      <c r="J708" s="350">
        <v>12229751.510614198</v>
      </c>
      <c r="K708" s="350">
        <v>24400185.452908322</v>
      </c>
      <c r="L708" s="350">
        <v>36248439.737488337</v>
      </c>
      <c r="M708" s="350">
        <v>47766152.454969406</v>
      </c>
      <c r="N708" s="350">
        <v>58947848.082476407</v>
      </c>
      <c r="O708" s="348">
        <v>179592377.23845667</v>
      </c>
      <c r="P708" s="369"/>
      <c r="Q708" s="350">
        <f t="shared" si="285"/>
        <v>1379126.2665843293</v>
      </c>
      <c r="R708" s="350">
        <f t="shared" si="286"/>
        <v>4066712.0048884228</v>
      </c>
      <c r="S708" s="350">
        <f t="shared" si="287"/>
        <v>6360765.6581617668</v>
      </c>
      <c r="T708" s="350">
        <f t="shared" si="288"/>
        <v>8252232.0526008531</v>
      </c>
      <c r="U708" s="350">
        <f t="shared" si="289"/>
        <v>9734083.5627501532</v>
      </c>
      <c r="V708" s="350">
        <f t="shared" si="290"/>
        <v>29792919.544985533</v>
      </c>
      <c r="W708" s="365"/>
      <c r="X708" s="377">
        <f t="shared" si="268"/>
        <v>0</v>
      </c>
      <c r="Y708" s="377">
        <f t="shared" si="269"/>
        <v>0</v>
      </c>
      <c r="Z708" s="377">
        <f t="shared" si="270"/>
        <v>0</v>
      </c>
      <c r="AA708" s="377">
        <f t="shared" si="271"/>
        <v>0</v>
      </c>
      <c r="AB708" s="377">
        <f t="shared" si="272"/>
        <v>0</v>
      </c>
      <c r="AC708" s="377">
        <f t="shared" si="273"/>
        <v>0</v>
      </c>
      <c r="AD708" s="376"/>
      <c r="AE708" s="332">
        <v>693</v>
      </c>
      <c r="AF708" s="350">
        <v>6786816.7769234749</v>
      </c>
      <c r="AG708" s="350">
        <v>13626931.597176235</v>
      </c>
      <c r="AH708" s="350">
        <v>20518812.772089653</v>
      </c>
      <c r="AI708" s="350">
        <v>27462688.816789828</v>
      </c>
      <c r="AJ708" s="350">
        <v>34459561.135852367</v>
      </c>
      <c r="AK708" s="348">
        <v>102854811.09883156</v>
      </c>
      <c r="AL708" s="369"/>
      <c r="AM708" s="350">
        <v>8045066.2717783507</v>
      </c>
      <c r="AN708" s="350">
        <v>17341563.065886494</v>
      </c>
      <c r="AO708" s="350">
        <v>26387903.854805533</v>
      </c>
      <c r="AP708" s="350">
        <v>35178642.957363397</v>
      </c>
      <c r="AQ708" s="350">
        <v>43710949.924493007</v>
      </c>
      <c r="AR708" s="348">
        <v>130664126.07432678</v>
      </c>
      <c r="AS708" s="369"/>
      <c r="AT708" s="350">
        <f t="shared" si="291"/>
        <v>1258249.4948548758</v>
      </c>
      <c r="AU708" s="350">
        <f t="shared" si="274"/>
        <v>3714631.4687102586</v>
      </c>
      <c r="AV708" s="350">
        <f t="shared" si="275"/>
        <v>5869091.0827158801</v>
      </c>
      <c r="AW708" s="350">
        <f t="shared" si="276"/>
        <v>7715954.1405735686</v>
      </c>
      <c r="AX708" s="350">
        <f t="shared" si="277"/>
        <v>9251388.7886406407</v>
      </c>
      <c r="AY708" s="350">
        <f t="shared" si="278"/>
        <v>27809314.975495219</v>
      </c>
      <c r="AZ708" s="365"/>
      <c r="BA708" s="377">
        <f t="shared" si="279"/>
        <v>0</v>
      </c>
      <c r="BB708" s="377">
        <f t="shared" si="280"/>
        <v>0</v>
      </c>
      <c r="BC708" s="377">
        <f t="shared" si="281"/>
        <v>0</v>
      </c>
      <c r="BD708" s="377">
        <f t="shared" si="282"/>
        <v>0</v>
      </c>
      <c r="BE708" s="377">
        <f t="shared" si="283"/>
        <v>0</v>
      </c>
      <c r="BF708" s="377">
        <f t="shared" si="284"/>
        <v>0</v>
      </c>
      <c r="BG708" s="328"/>
    </row>
    <row r="709" spans="2:59">
      <c r="B709" s="332">
        <v>694</v>
      </c>
      <c r="C709" s="350">
        <v>7930181.9859545156</v>
      </c>
      <c r="D709" s="350">
        <v>14955313.2584957</v>
      </c>
      <c r="E709" s="350">
        <v>22033335.296465497</v>
      </c>
      <c r="F709" s="350">
        <v>29164733.424822062</v>
      </c>
      <c r="G709" s="350">
        <v>36350645.182966463</v>
      </c>
      <c r="H709" s="348">
        <v>110434209.14870423</v>
      </c>
      <c r="I709" s="369"/>
      <c r="J709" s="350">
        <v>8974317.875584241</v>
      </c>
      <c r="K709" s="350">
        <v>18034583.94961419</v>
      </c>
      <c r="L709" s="350">
        <v>26858957.798734918</v>
      </c>
      <c r="M709" s="350">
        <v>35441112.653486058</v>
      </c>
      <c r="N709" s="350">
        <v>43776901.625342064</v>
      </c>
      <c r="O709" s="348">
        <v>133085873.90276146</v>
      </c>
      <c r="P709" s="369"/>
      <c r="Q709" s="350">
        <f t="shared" si="285"/>
        <v>1044135.8896297254</v>
      </c>
      <c r="R709" s="350">
        <f t="shared" si="286"/>
        <v>3079270.69111849</v>
      </c>
      <c r="S709" s="350">
        <f t="shared" si="287"/>
        <v>4825622.5022694208</v>
      </c>
      <c r="T709" s="350">
        <f t="shared" si="288"/>
        <v>6276379.2286639959</v>
      </c>
      <c r="U709" s="350">
        <f t="shared" si="289"/>
        <v>7426256.4423756003</v>
      </c>
      <c r="V709" s="350">
        <f t="shared" si="290"/>
        <v>22651664.754057229</v>
      </c>
      <c r="W709" s="365"/>
      <c r="X709" s="377">
        <f t="shared" si="268"/>
        <v>0</v>
      </c>
      <c r="Y709" s="377">
        <f t="shared" si="269"/>
        <v>0</v>
      </c>
      <c r="Z709" s="377">
        <f t="shared" si="270"/>
        <v>0</v>
      </c>
      <c r="AA709" s="377">
        <f t="shared" si="271"/>
        <v>0</v>
      </c>
      <c r="AB709" s="377">
        <f t="shared" si="272"/>
        <v>0</v>
      </c>
      <c r="AC709" s="377">
        <f t="shared" si="273"/>
        <v>0</v>
      </c>
      <c r="AD709" s="376"/>
      <c r="AE709" s="332">
        <v>694</v>
      </c>
      <c r="AF709" s="350">
        <v>7358033.4433701579</v>
      </c>
      <c r="AG709" s="350">
        <v>14773850.793124309</v>
      </c>
      <c r="AH709" s="350">
        <v>22245791.44506184</v>
      </c>
      <c r="AI709" s="350">
        <v>29774103.147426941</v>
      </c>
      <c r="AJ709" s="350">
        <v>37359871.588635825</v>
      </c>
      <c r="AK709" s="348">
        <v>111511650.41761908</v>
      </c>
      <c r="AL709" s="369"/>
      <c r="AM709" s="350">
        <v>8656380.4827575758</v>
      </c>
      <c r="AN709" s="350">
        <v>18605971.762412898</v>
      </c>
      <c r="AO709" s="350">
        <v>28282381.655869424</v>
      </c>
      <c r="AP709" s="350">
        <v>37679724.754561253</v>
      </c>
      <c r="AQ709" s="350">
        <v>46794865.739078641</v>
      </c>
      <c r="AR709" s="348">
        <v>140019324.39467978</v>
      </c>
      <c r="AS709" s="369"/>
      <c r="AT709" s="350">
        <f t="shared" si="291"/>
        <v>1298347.039387418</v>
      </c>
      <c r="AU709" s="350">
        <f t="shared" si="274"/>
        <v>3832120.9692885894</v>
      </c>
      <c r="AV709" s="350">
        <f t="shared" si="275"/>
        <v>6036590.2108075842</v>
      </c>
      <c r="AW709" s="350">
        <f t="shared" si="276"/>
        <v>7905621.6071343124</v>
      </c>
      <c r="AX709" s="350">
        <f t="shared" si="277"/>
        <v>9434994.1504428163</v>
      </c>
      <c r="AY709" s="350">
        <f t="shared" si="278"/>
        <v>28507673.977060705</v>
      </c>
      <c r="AZ709" s="365"/>
      <c r="BA709" s="377">
        <f t="shared" si="279"/>
        <v>0</v>
      </c>
      <c r="BB709" s="377">
        <f t="shared" si="280"/>
        <v>0</v>
      </c>
      <c r="BC709" s="377">
        <f t="shared" si="281"/>
        <v>0</v>
      </c>
      <c r="BD709" s="377">
        <f t="shared" si="282"/>
        <v>0</v>
      </c>
      <c r="BE709" s="377">
        <f t="shared" si="283"/>
        <v>0</v>
      </c>
      <c r="BF709" s="377">
        <f t="shared" si="284"/>
        <v>0</v>
      </c>
      <c r="BG709" s="328"/>
    </row>
    <row r="710" spans="2:59">
      <c r="B710" s="332">
        <v>695</v>
      </c>
      <c r="C710" s="350">
        <v>10957741.268604841</v>
      </c>
      <c r="D710" s="350">
        <v>20528176.102202535</v>
      </c>
      <c r="E710" s="350">
        <v>30170620.415366538</v>
      </c>
      <c r="F710" s="350">
        <v>39885775.676515177</v>
      </c>
      <c r="G710" s="350">
        <v>49675209.107465312</v>
      </c>
      <c r="H710" s="348">
        <v>151217522.5701544</v>
      </c>
      <c r="I710" s="369"/>
      <c r="J710" s="350">
        <v>12134714.834581599</v>
      </c>
      <c r="K710" s="350">
        <v>23995158.734618656</v>
      </c>
      <c r="L710" s="350">
        <v>35526475.47420457</v>
      </c>
      <c r="M710" s="350">
        <v>46720201.076309189</v>
      </c>
      <c r="N710" s="350">
        <v>57570501.541322887</v>
      </c>
      <c r="O710" s="348">
        <v>175947051.66103691</v>
      </c>
      <c r="P710" s="369"/>
      <c r="Q710" s="350">
        <f t="shared" si="285"/>
        <v>1176973.5659767576</v>
      </c>
      <c r="R710" s="350">
        <f t="shared" si="286"/>
        <v>3466982.6324161217</v>
      </c>
      <c r="S710" s="350">
        <f t="shared" si="287"/>
        <v>5355855.0588380322</v>
      </c>
      <c r="T710" s="350">
        <f t="shared" si="288"/>
        <v>6834425.3997940123</v>
      </c>
      <c r="U710" s="350">
        <f t="shared" si="289"/>
        <v>7895292.4338575751</v>
      </c>
      <c r="V710" s="350">
        <f t="shared" si="290"/>
        <v>24729529.09088251</v>
      </c>
      <c r="W710" s="365"/>
      <c r="X710" s="377">
        <f t="shared" si="268"/>
        <v>0</v>
      </c>
      <c r="Y710" s="377">
        <f t="shared" si="269"/>
        <v>0</v>
      </c>
      <c r="Z710" s="377">
        <f t="shared" si="270"/>
        <v>0</v>
      </c>
      <c r="AA710" s="377">
        <f t="shared" si="271"/>
        <v>0</v>
      </c>
      <c r="AB710" s="377">
        <f t="shared" si="272"/>
        <v>0</v>
      </c>
      <c r="AC710" s="377">
        <f t="shared" si="273"/>
        <v>0</v>
      </c>
      <c r="AD710" s="376"/>
      <c r="AE710" s="332">
        <v>695</v>
      </c>
      <c r="AF710" s="350">
        <v>7934658.9653619435</v>
      </c>
      <c r="AG710" s="350">
        <v>15931630.176838577</v>
      </c>
      <c r="AH710" s="350">
        <v>23989122.893995006</v>
      </c>
      <c r="AI710" s="350">
        <v>32107404.28031208</v>
      </c>
      <c r="AJ710" s="350">
        <v>40287645.106131032</v>
      </c>
      <c r="AK710" s="348">
        <v>120250461.42263864</v>
      </c>
      <c r="AL710" s="369"/>
      <c r="AM710" s="350">
        <v>9155645.3699263074</v>
      </c>
      <c r="AN710" s="350">
        <v>19532880.656763878</v>
      </c>
      <c r="AO710" s="350">
        <v>29610161.867688935</v>
      </c>
      <c r="AP710" s="350">
        <v>39381193.031878032</v>
      </c>
      <c r="AQ710" s="350">
        <v>48842411.730628394</v>
      </c>
      <c r="AR710" s="348">
        <v>146522292.65688556</v>
      </c>
      <c r="AS710" s="369"/>
      <c r="AT710" s="350">
        <f t="shared" si="291"/>
        <v>1220986.4045643639</v>
      </c>
      <c r="AU710" s="350">
        <f t="shared" si="274"/>
        <v>3601250.4799253009</v>
      </c>
      <c r="AV710" s="350">
        <f t="shared" si="275"/>
        <v>5621038.9736939296</v>
      </c>
      <c r="AW710" s="350">
        <f t="shared" si="276"/>
        <v>7273788.7515659519</v>
      </c>
      <c r="AX710" s="350">
        <f t="shared" si="277"/>
        <v>8554766.6244973615</v>
      </c>
      <c r="AY710" s="350">
        <f t="shared" si="278"/>
        <v>26271831.234246925</v>
      </c>
      <c r="AZ710" s="365"/>
      <c r="BA710" s="377">
        <f t="shared" si="279"/>
        <v>0</v>
      </c>
      <c r="BB710" s="377">
        <f t="shared" si="280"/>
        <v>0</v>
      </c>
      <c r="BC710" s="377">
        <f t="shared" si="281"/>
        <v>0</v>
      </c>
      <c r="BD710" s="377">
        <f t="shared" si="282"/>
        <v>0</v>
      </c>
      <c r="BE710" s="377">
        <f t="shared" si="283"/>
        <v>0</v>
      </c>
      <c r="BF710" s="377">
        <f t="shared" si="284"/>
        <v>0</v>
      </c>
      <c r="BG710" s="328"/>
    </row>
    <row r="711" spans="2:59">
      <c r="B711" s="332">
        <v>696</v>
      </c>
      <c r="C711" s="350">
        <v>8526852.5129850786</v>
      </c>
      <c r="D711" s="350">
        <v>15985647.824565034</v>
      </c>
      <c r="E711" s="350">
        <v>23500568.081944205</v>
      </c>
      <c r="F711" s="350">
        <v>31072156.546012208</v>
      </c>
      <c r="G711" s="350">
        <v>38701633.149492323</v>
      </c>
      <c r="H711" s="348">
        <v>117786858.11499885</v>
      </c>
      <c r="I711" s="369"/>
      <c r="J711" s="350">
        <v>9506130.3093830515</v>
      </c>
      <c r="K711" s="350">
        <v>18871510.800707918</v>
      </c>
      <c r="L711" s="350">
        <v>27985296.054262441</v>
      </c>
      <c r="M711" s="350">
        <v>36840734.563295633</v>
      </c>
      <c r="N711" s="350">
        <v>45433201.834854677</v>
      </c>
      <c r="O711" s="348">
        <v>138636873.56250373</v>
      </c>
      <c r="P711" s="369"/>
      <c r="Q711" s="350">
        <f t="shared" si="285"/>
        <v>979277.79639797285</v>
      </c>
      <c r="R711" s="350">
        <f t="shared" si="286"/>
        <v>2885862.9761428833</v>
      </c>
      <c r="S711" s="350">
        <f t="shared" si="287"/>
        <v>4484727.9723182358</v>
      </c>
      <c r="T711" s="350">
        <f t="shared" si="288"/>
        <v>5768578.0172834247</v>
      </c>
      <c r="U711" s="350">
        <f t="shared" si="289"/>
        <v>6731568.6853623539</v>
      </c>
      <c r="V711" s="350">
        <f t="shared" si="290"/>
        <v>20850015.447504878</v>
      </c>
      <c r="W711" s="365"/>
      <c r="X711" s="377">
        <f t="shared" si="268"/>
        <v>0</v>
      </c>
      <c r="Y711" s="377">
        <f t="shared" si="269"/>
        <v>0</v>
      </c>
      <c r="Z711" s="377">
        <f t="shared" si="270"/>
        <v>0</v>
      </c>
      <c r="AA711" s="377">
        <f t="shared" si="271"/>
        <v>0</v>
      </c>
      <c r="AB711" s="377">
        <f t="shared" si="272"/>
        <v>0</v>
      </c>
      <c r="AC711" s="377">
        <f t="shared" si="273"/>
        <v>0</v>
      </c>
      <c r="AD711" s="376"/>
      <c r="AE711" s="332">
        <v>696</v>
      </c>
      <c r="AF711" s="350">
        <v>7637328.8441866152</v>
      </c>
      <c r="AG711" s="350">
        <v>15334634.949736983</v>
      </c>
      <c r="AH711" s="350">
        <v>23090194.679424156</v>
      </c>
      <c r="AI711" s="350">
        <v>30904265.185492143</v>
      </c>
      <c r="AJ711" s="350">
        <v>38777973.366795197</v>
      </c>
      <c r="AK711" s="348">
        <v>115744397.02563509</v>
      </c>
      <c r="AL711" s="369"/>
      <c r="AM711" s="350">
        <v>8683431.2338031549</v>
      </c>
      <c r="AN711" s="350">
        <v>18417974.122171972</v>
      </c>
      <c r="AO711" s="350">
        <v>27859935.402663056</v>
      </c>
      <c r="AP711" s="350">
        <v>37003291.552103668</v>
      </c>
      <c r="AQ711" s="350">
        <v>45844482.864659823</v>
      </c>
      <c r="AR711" s="348">
        <v>137809115.17540169</v>
      </c>
      <c r="AS711" s="369"/>
      <c r="AT711" s="350">
        <f t="shared" si="291"/>
        <v>1046102.3896165397</v>
      </c>
      <c r="AU711" s="350">
        <f t="shared" si="274"/>
        <v>3083339.1724349894</v>
      </c>
      <c r="AV711" s="350">
        <f t="shared" si="275"/>
        <v>4769740.7232389003</v>
      </c>
      <c r="AW711" s="350">
        <f t="shared" si="276"/>
        <v>6099026.3666115254</v>
      </c>
      <c r="AX711" s="350">
        <f t="shared" si="277"/>
        <v>7066509.4978646263</v>
      </c>
      <c r="AY711" s="350">
        <f t="shared" si="278"/>
        <v>22064718.149766594</v>
      </c>
      <c r="AZ711" s="365"/>
      <c r="BA711" s="377">
        <f t="shared" si="279"/>
        <v>0</v>
      </c>
      <c r="BB711" s="377">
        <f t="shared" si="280"/>
        <v>0</v>
      </c>
      <c r="BC711" s="377">
        <f t="shared" si="281"/>
        <v>0</v>
      </c>
      <c r="BD711" s="377">
        <f t="shared" si="282"/>
        <v>0</v>
      </c>
      <c r="BE711" s="377">
        <f t="shared" si="283"/>
        <v>0</v>
      </c>
      <c r="BF711" s="377">
        <f t="shared" si="284"/>
        <v>0</v>
      </c>
      <c r="BG711" s="328"/>
    </row>
    <row r="712" spans="2:59">
      <c r="B712" s="332">
        <v>697</v>
      </c>
      <c r="C712" s="350">
        <v>8968470.4476704821</v>
      </c>
      <c r="D712" s="350">
        <v>16558367.958006591</v>
      </c>
      <c r="E712" s="350">
        <v>24205293.079801261</v>
      </c>
      <c r="F712" s="350">
        <v>31909874.805132028</v>
      </c>
      <c r="G712" s="350">
        <v>39673387.656108677</v>
      </c>
      <c r="H712" s="348">
        <v>121315393.94671904</v>
      </c>
      <c r="I712" s="369"/>
      <c r="J712" s="350">
        <v>10289144.480137961</v>
      </c>
      <c r="K712" s="350">
        <v>20456397.584595647</v>
      </c>
      <c r="L712" s="350">
        <v>30377557.667652916</v>
      </c>
      <c r="M712" s="350">
        <v>40045736.314831123</v>
      </c>
      <c r="N712" s="350">
        <v>49456586.179695308</v>
      </c>
      <c r="O712" s="348">
        <v>150625422.22691298</v>
      </c>
      <c r="P712" s="369"/>
      <c r="Q712" s="350">
        <f t="shared" si="285"/>
        <v>1320674.0324674789</v>
      </c>
      <c r="R712" s="350">
        <f t="shared" si="286"/>
        <v>3898029.6265890561</v>
      </c>
      <c r="S712" s="350">
        <f t="shared" si="287"/>
        <v>6172264.5878516547</v>
      </c>
      <c r="T712" s="350">
        <f t="shared" si="288"/>
        <v>8135861.509699095</v>
      </c>
      <c r="U712" s="350">
        <f t="shared" si="289"/>
        <v>9783198.5235866308</v>
      </c>
      <c r="V712" s="350">
        <f t="shared" si="290"/>
        <v>29310028.28019394</v>
      </c>
      <c r="W712" s="365"/>
      <c r="X712" s="377">
        <f t="shared" si="268"/>
        <v>0</v>
      </c>
      <c r="Y712" s="377">
        <f t="shared" si="269"/>
        <v>0</v>
      </c>
      <c r="Z712" s="377">
        <f t="shared" si="270"/>
        <v>0</v>
      </c>
      <c r="AA712" s="377">
        <f t="shared" si="271"/>
        <v>0</v>
      </c>
      <c r="AB712" s="377">
        <f t="shared" si="272"/>
        <v>0</v>
      </c>
      <c r="AC712" s="377">
        <f t="shared" si="273"/>
        <v>0</v>
      </c>
      <c r="AD712" s="376"/>
      <c r="AE712" s="332">
        <v>697</v>
      </c>
      <c r="AF712" s="350">
        <v>5398645.2724750526</v>
      </c>
      <c r="AG712" s="350">
        <v>10839687.037902467</v>
      </c>
      <c r="AH712" s="350">
        <v>16321906.898311358</v>
      </c>
      <c r="AI712" s="350">
        <v>21845486.628478587</v>
      </c>
      <c r="AJ712" s="350">
        <v>27411222.806277931</v>
      </c>
      <c r="AK712" s="348">
        <v>81816948.643445402</v>
      </c>
      <c r="AL712" s="369"/>
      <c r="AM712" s="350">
        <v>6338790.9254671717</v>
      </c>
      <c r="AN712" s="350">
        <v>13614386.353150016</v>
      </c>
      <c r="AO712" s="350">
        <v>20689173.288547598</v>
      </c>
      <c r="AP712" s="350">
        <v>27558837.087062191</v>
      </c>
      <c r="AQ712" s="350">
        <v>34221064.720370449</v>
      </c>
      <c r="AR712" s="348">
        <v>102422252.37459743</v>
      </c>
      <c r="AS712" s="369"/>
      <c r="AT712" s="350">
        <f t="shared" si="291"/>
        <v>940145.65299211908</v>
      </c>
      <c r="AU712" s="350">
        <f t="shared" si="274"/>
        <v>2774699.3152475487</v>
      </c>
      <c r="AV712" s="350">
        <f t="shared" si="275"/>
        <v>4367266.3902362399</v>
      </c>
      <c r="AW712" s="350">
        <f t="shared" si="276"/>
        <v>5713350.4585836045</v>
      </c>
      <c r="AX712" s="350">
        <f t="shared" si="277"/>
        <v>6809841.9140925184</v>
      </c>
      <c r="AY712" s="350">
        <f t="shared" si="278"/>
        <v>20605303.731152028</v>
      </c>
      <c r="AZ712" s="365"/>
      <c r="BA712" s="377">
        <f t="shared" si="279"/>
        <v>0</v>
      </c>
      <c r="BB712" s="377">
        <f t="shared" si="280"/>
        <v>0</v>
      </c>
      <c r="BC712" s="377">
        <f t="shared" si="281"/>
        <v>0</v>
      </c>
      <c r="BD712" s="377">
        <f t="shared" si="282"/>
        <v>0</v>
      </c>
      <c r="BE712" s="377">
        <f t="shared" si="283"/>
        <v>0</v>
      </c>
      <c r="BF712" s="377">
        <f t="shared" si="284"/>
        <v>0</v>
      </c>
      <c r="BG712" s="328"/>
    </row>
    <row r="713" spans="2:59">
      <c r="B713" s="332">
        <v>698</v>
      </c>
      <c r="C713" s="350">
        <v>8157851.7619770179</v>
      </c>
      <c r="D713" s="350">
        <v>15203407.16857845</v>
      </c>
      <c r="E713" s="350">
        <v>22301948.312082529</v>
      </c>
      <c r="F713" s="350">
        <v>29454015.359113734</v>
      </c>
      <c r="G713" s="350">
        <v>36660772.403823078</v>
      </c>
      <c r="H713" s="348">
        <v>111777995.00557481</v>
      </c>
      <c r="I713" s="369"/>
      <c r="J713" s="350">
        <v>9451679.989084769</v>
      </c>
      <c r="K713" s="350">
        <v>19023163.910356142</v>
      </c>
      <c r="L713" s="350">
        <v>28373119.225278169</v>
      </c>
      <c r="M713" s="350">
        <v>37494897.673018493</v>
      </c>
      <c r="N713" s="350">
        <v>46384314.984861128</v>
      </c>
      <c r="O713" s="348">
        <v>140727175.7825987</v>
      </c>
      <c r="P713" s="369"/>
      <c r="Q713" s="350">
        <f t="shared" si="285"/>
        <v>1293828.2271077512</v>
      </c>
      <c r="R713" s="350">
        <f t="shared" si="286"/>
        <v>3819756.741777692</v>
      </c>
      <c r="S713" s="350">
        <f t="shared" si="287"/>
        <v>6071170.9131956398</v>
      </c>
      <c r="T713" s="350">
        <f t="shared" si="288"/>
        <v>8040882.3139047585</v>
      </c>
      <c r="U713" s="350">
        <f t="shared" si="289"/>
        <v>9723542.5810380504</v>
      </c>
      <c r="V713" s="350">
        <f t="shared" si="290"/>
        <v>28949180.777023897</v>
      </c>
      <c r="W713" s="365"/>
      <c r="X713" s="377">
        <f t="shared" si="268"/>
        <v>0</v>
      </c>
      <c r="Y713" s="377">
        <f t="shared" si="269"/>
        <v>0</v>
      </c>
      <c r="Z713" s="377">
        <f t="shared" si="270"/>
        <v>0</v>
      </c>
      <c r="AA713" s="377">
        <f t="shared" si="271"/>
        <v>0</v>
      </c>
      <c r="AB713" s="377">
        <f t="shared" si="272"/>
        <v>0</v>
      </c>
      <c r="AC713" s="377">
        <f t="shared" si="273"/>
        <v>0</v>
      </c>
      <c r="AD713" s="376"/>
      <c r="AE713" s="332">
        <v>698</v>
      </c>
      <c r="AF713" s="350">
        <v>6987553.271016242</v>
      </c>
      <c r="AG713" s="350">
        <v>14029981.003690356</v>
      </c>
      <c r="AH713" s="350">
        <v>21125706.205962829</v>
      </c>
      <c r="AI713" s="350">
        <v>28274964.151846394</v>
      </c>
      <c r="AJ713" s="350">
        <v>35478785.864875041</v>
      </c>
      <c r="AK713" s="348">
        <v>105896990.49739087</v>
      </c>
      <c r="AL713" s="369"/>
      <c r="AM713" s="350">
        <v>7990168.0740909483</v>
      </c>
      <c r="AN713" s="350">
        <v>16985973.203716598</v>
      </c>
      <c r="AO713" s="350">
        <v>25715452.396650538</v>
      </c>
      <c r="AP713" s="350">
        <v>34173081.731523179</v>
      </c>
      <c r="AQ713" s="350">
        <v>42355650.453040741</v>
      </c>
      <c r="AR713" s="348">
        <v>127220325.85902202</v>
      </c>
      <c r="AS713" s="369"/>
      <c r="AT713" s="350">
        <f t="shared" si="291"/>
        <v>1002614.8030747063</v>
      </c>
      <c r="AU713" s="350">
        <f t="shared" si="274"/>
        <v>2955992.2000262421</v>
      </c>
      <c r="AV713" s="350">
        <f t="shared" si="275"/>
        <v>4589746.1906877086</v>
      </c>
      <c r="AW713" s="350">
        <f t="shared" si="276"/>
        <v>5898117.5796767846</v>
      </c>
      <c r="AX713" s="350">
        <f t="shared" si="277"/>
        <v>6876864.5881657004</v>
      </c>
      <c r="AY713" s="350">
        <f t="shared" si="278"/>
        <v>21323335.361631155</v>
      </c>
      <c r="AZ713" s="365"/>
      <c r="BA713" s="377">
        <f t="shared" si="279"/>
        <v>0</v>
      </c>
      <c r="BB713" s="377">
        <f t="shared" si="280"/>
        <v>0</v>
      </c>
      <c r="BC713" s="377">
        <f t="shared" si="281"/>
        <v>0</v>
      </c>
      <c r="BD713" s="377">
        <f t="shared" si="282"/>
        <v>0</v>
      </c>
      <c r="BE713" s="377">
        <f t="shared" si="283"/>
        <v>0</v>
      </c>
      <c r="BF713" s="377">
        <f t="shared" si="284"/>
        <v>0</v>
      </c>
      <c r="BG713" s="328"/>
    </row>
    <row r="714" spans="2:59">
      <c r="B714" s="332">
        <v>699</v>
      </c>
      <c r="C714" s="350">
        <v>9082608.1508533955</v>
      </c>
      <c r="D714" s="350">
        <v>16967662.707795791</v>
      </c>
      <c r="E714" s="350">
        <v>24912029.997014038</v>
      </c>
      <c r="F714" s="350">
        <v>32916302.202436097</v>
      </c>
      <c r="G714" s="350">
        <v>40981776.752175197</v>
      </c>
      <c r="H714" s="348">
        <v>124860379.81027453</v>
      </c>
      <c r="I714" s="369"/>
      <c r="J714" s="350">
        <v>10298463.899585754</v>
      </c>
      <c r="K714" s="350">
        <v>20554126.69716157</v>
      </c>
      <c r="L714" s="350">
        <v>30544210.893740717</v>
      </c>
      <c r="M714" s="350">
        <v>40261773.240747556</v>
      </c>
      <c r="N714" s="350">
        <v>49702351.181333914</v>
      </c>
      <c r="O714" s="348">
        <v>151360925.91256952</v>
      </c>
      <c r="P714" s="369"/>
      <c r="Q714" s="350">
        <f t="shared" si="285"/>
        <v>1215855.7487323582</v>
      </c>
      <c r="R714" s="350">
        <f t="shared" si="286"/>
        <v>3586463.9893657789</v>
      </c>
      <c r="S714" s="350">
        <f t="shared" si="287"/>
        <v>5632180.8967266791</v>
      </c>
      <c r="T714" s="350">
        <f t="shared" si="288"/>
        <v>7345471.0383114591</v>
      </c>
      <c r="U714" s="350">
        <f t="shared" si="289"/>
        <v>8720574.4291587174</v>
      </c>
      <c r="V714" s="350">
        <f t="shared" si="290"/>
        <v>26500546.102294996</v>
      </c>
      <c r="W714" s="365"/>
      <c r="X714" s="377">
        <f t="shared" si="268"/>
        <v>0</v>
      </c>
      <c r="Y714" s="377">
        <f t="shared" si="269"/>
        <v>0</v>
      </c>
      <c r="Z714" s="377">
        <f t="shared" si="270"/>
        <v>0</v>
      </c>
      <c r="AA714" s="377">
        <f t="shared" si="271"/>
        <v>0</v>
      </c>
      <c r="AB714" s="377">
        <f t="shared" si="272"/>
        <v>0</v>
      </c>
      <c r="AC714" s="377">
        <f t="shared" si="273"/>
        <v>0</v>
      </c>
      <c r="AD714" s="376"/>
      <c r="AE714" s="332">
        <v>699</v>
      </c>
      <c r="AF714" s="350">
        <v>6271850.9135379028</v>
      </c>
      <c r="AG714" s="350">
        <v>12592955.754613847</v>
      </c>
      <c r="AH714" s="350">
        <v>18961899.055079609</v>
      </c>
      <c r="AI714" s="350">
        <v>25378891.99093264</v>
      </c>
      <c r="AJ714" s="350">
        <v>31844859.982794821</v>
      </c>
      <c r="AK714" s="348">
        <v>95050457.696958825</v>
      </c>
      <c r="AL714" s="369"/>
      <c r="AM714" s="350">
        <v>7785424.5035147117</v>
      </c>
      <c r="AN714" s="350">
        <v>17066090.926951244</v>
      </c>
      <c r="AO714" s="350">
        <v>26126089.000852212</v>
      </c>
      <c r="AP714" s="350">
        <v>34960287.029717103</v>
      </c>
      <c r="AQ714" s="350">
        <v>43566424.606420703</v>
      </c>
      <c r="AR714" s="348">
        <v>129504316.06745598</v>
      </c>
      <c r="AS714" s="369"/>
      <c r="AT714" s="350">
        <f t="shared" si="291"/>
        <v>1513573.589976809</v>
      </c>
      <c r="AU714" s="350">
        <f t="shared" si="274"/>
        <v>4473135.1723373979</v>
      </c>
      <c r="AV714" s="350">
        <f t="shared" si="275"/>
        <v>7164189.9457726032</v>
      </c>
      <c r="AW714" s="350">
        <f t="shared" si="276"/>
        <v>9581395.038784463</v>
      </c>
      <c r="AX714" s="350">
        <f t="shared" si="277"/>
        <v>11721564.623625882</v>
      </c>
      <c r="AY714" s="350">
        <f t="shared" si="278"/>
        <v>34453858.370497152</v>
      </c>
      <c r="AZ714" s="365"/>
      <c r="BA714" s="377">
        <f t="shared" si="279"/>
        <v>0</v>
      </c>
      <c r="BB714" s="377">
        <f t="shared" si="280"/>
        <v>0</v>
      </c>
      <c r="BC714" s="377">
        <f t="shared" si="281"/>
        <v>0</v>
      </c>
      <c r="BD714" s="377">
        <f t="shared" si="282"/>
        <v>0</v>
      </c>
      <c r="BE714" s="377">
        <f t="shared" si="283"/>
        <v>0</v>
      </c>
      <c r="BF714" s="377">
        <f t="shared" si="284"/>
        <v>0</v>
      </c>
      <c r="BG714" s="328"/>
    </row>
    <row r="715" spans="2:59">
      <c r="B715" s="332">
        <v>700</v>
      </c>
      <c r="C715" s="350">
        <v>6744824.4285624921</v>
      </c>
      <c r="D715" s="350">
        <v>12794638.326401044</v>
      </c>
      <c r="E715" s="350">
        <v>18890024.27622205</v>
      </c>
      <c r="F715" s="350">
        <v>25031378.187499255</v>
      </c>
      <c r="G715" s="350">
        <v>31219670.083999425</v>
      </c>
      <c r="H715" s="348">
        <v>94680535.302684262</v>
      </c>
      <c r="I715" s="369"/>
      <c r="J715" s="350">
        <v>7612708.3167276196</v>
      </c>
      <c r="K715" s="350">
        <v>15353613.424360339</v>
      </c>
      <c r="L715" s="350">
        <v>22892742.484712485</v>
      </c>
      <c r="M715" s="350">
        <v>30224551.85116462</v>
      </c>
      <c r="N715" s="350">
        <v>37345343.642363265</v>
      </c>
      <c r="O715" s="348">
        <v>113428959.71932833</v>
      </c>
      <c r="P715" s="369"/>
      <c r="Q715" s="350">
        <f t="shared" si="285"/>
        <v>867883.88816512749</v>
      </c>
      <c r="R715" s="350">
        <f t="shared" si="286"/>
        <v>2558975.0979592949</v>
      </c>
      <c r="S715" s="350">
        <f t="shared" si="287"/>
        <v>4002718.208490435</v>
      </c>
      <c r="T715" s="350">
        <f t="shared" si="288"/>
        <v>5193173.6636653654</v>
      </c>
      <c r="U715" s="350">
        <f t="shared" si="289"/>
        <v>6125673.55836384</v>
      </c>
      <c r="V715" s="350">
        <f t="shared" si="290"/>
        <v>18748424.416644067</v>
      </c>
      <c r="W715" s="365"/>
      <c r="X715" s="377">
        <f t="shared" si="268"/>
        <v>0</v>
      </c>
      <c r="Y715" s="377">
        <f t="shared" si="269"/>
        <v>0</v>
      </c>
      <c r="Z715" s="377">
        <f t="shared" si="270"/>
        <v>0</v>
      </c>
      <c r="AA715" s="377">
        <f t="shared" si="271"/>
        <v>0</v>
      </c>
      <c r="AB715" s="377">
        <f t="shared" si="272"/>
        <v>0</v>
      </c>
      <c r="AC715" s="377">
        <f t="shared" si="273"/>
        <v>0</v>
      </c>
      <c r="AD715" s="376"/>
      <c r="AE715" s="332">
        <v>700</v>
      </c>
      <c r="AF715" s="350">
        <v>7656705.2445730381</v>
      </c>
      <c r="AG715" s="350">
        <v>15373539.916725792</v>
      </c>
      <c r="AH715" s="350">
        <v>23148776.006251473</v>
      </c>
      <c r="AI715" s="350">
        <v>30982671.317806076</v>
      </c>
      <c r="AJ715" s="350">
        <v>38876355.609259598</v>
      </c>
      <c r="AK715" s="348">
        <v>116038048.09461597</v>
      </c>
      <c r="AL715" s="369"/>
      <c r="AM715" s="350">
        <v>8884789.4371969681</v>
      </c>
      <c r="AN715" s="350">
        <v>18996535.236037731</v>
      </c>
      <c r="AO715" s="350">
        <v>28820328.051782206</v>
      </c>
      <c r="AP715" s="350">
        <v>38350078.358641125</v>
      </c>
      <c r="AQ715" s="350">
        <v>47582399.036568932</v>
      </c>
      <c r="AR715" s="348">
        <v>142634130.12022698</v>
      </c>
      <c r="AS715" s="369"/>
      <c r="AT715" s="350">
        <f t="shared" si="291"/>
        <v>1228084.1926239301</v>
      </c>
      <c r="AU715" s="350">
        <f t="shared" si="274"/>
        <v>3622995.3193119392</v>
      </c>
      <c r="AV715" s="350">
        <f t="shared" si="275"/>
        <v>5671552.0455307327</v>
      </c>
      <c r="AW715" s="350">
        <f t="shared" si="276"/>
        <v>7367407.040835049</v>
      </c>
      <c r="AX715" s="350">
        <f t="shared" si="277"/>
        <v>8706043.4273093343</v>
      </c>
      <c r="AY715" s="350">
        <f t="shared" si="278"/>
        <v>26596082.025611013</v>
      </c>
      <c r="AZ715" s="365"/>
      <c r="BA715" s="377">
        <f t="shared" si="279"/>
        <v>0</v>
      </c>
      <c r="BB715" s="377">
        <f t="shared" si="280"/>
        <v>0</v>
      </c>
      <c r="BC715" s="377">
        <f t="shared" si="281"/>
        <v>0</v>
      </c>
      <c r="BD715" s="377">
        <f t="shared" si="282"/>
        <v>0</v>
      </c>
      <c r="BE715" s="377">
        <f t="shared" si="283"/>
        <v>0</v>
      </c>
      <c r="BF715" s="377">
        <f t="shared" si="284"/>
        <v>0</v>
      </c>
      <c r="BG715" s="328"/>
    </row>
    <row r="716" spans="2:59">
      <c r="B716" s="332">
        <v>701</v>
      </c>
      <c r="C716" s="350">
        <v>7358165.1002736054</v>
      </c>
      <c r="D716" s="350">
        <v>13714057.346756997</v>
      </c>
      <c r="E716" s="350">
        <v>20117749.082847077</v>
      </c>
      <c r="F716" s="350">
        <v>26569727.301289588</v>
      </c>
      <c r="G716" s="350">
        <v>33071042.017311573</v>
      </c>
      <c r="H716" s="348">
        <v>100830740.84847884</v>
      </c>
      <c r="I716" s="369"/>
      <c r="J716" s="350">
        <v>8585087.4416810926</v>
      </c>
      <c r="K716" s="350">
        <v>17337101.227131221</v>
      </c>
      <c r="L716" s="350">
        <v>25890704.837895531</v>
      </c>
      <c r="M716" s="350">
        <v>34239907.892079048</v>
      </c>
      <c r="N716" s="350">
        <v>42381021.10218662</v>
      </c>
      <c r="O716" s="348">
        <v>128433822.50097352</v>
      </c>
      <c r="P716" s="369"/>
      <c r="Q716" s="350">
        <f t="shared" si="285"/>
        <v>1226922.3414074872</v>
      </c>
      <c r="R716" s="350">
        <f t="shared" si="286"/>
        <v>3623043.8803742249</v>
      </c>
      <c r="S716" s="350">
        <f t="shared" si="287"/>
        <v>5772955.7550484538</v>
      </c>
      <c r="T716" s="350">
        <f t="shared" si="288"/>
        <v>7670180.5907894596</v>
      </c>
      <c r="U716" s="350">
        <f t="shared" si="289"/>
        <v>9309979.0848750472</v>
      </c>
      <c r="V716" s="350">
        <f t="shared" si="290"/>
        <v>27603081.652494684</v>
      </c>
      <c r="W716" s="365"/>
      <c r="X716" s="377">
        <f t="shared" si="268"/>
        <v>0</v>
      </c>
      <c r="Y716" s="377">
        <f t="shared" si="269"/>
        <v>0</v>
      </c>
      <c r="Z716" s="377">
        <f t="shared" si="270"/>
        <v>0</v>
      </c>
      <c r="AA716" s="377">
        <f t="shared" si="271"/>
        <v>0</v>
      </c>
      <c r="AB716" s="377">
        <f t="shared" si="272"/>
        <v>0</v>
      </c>
      <c r="AC716" s="377">
        <f t="shared" si="273"/>
        <v>0</v>
      </c>
      <c r="AD716" s="376"/>
      <c r="AE716" s="332">
        <v>701</v>
      </c>
      <c r="AF716" s="350">
        <v>7890901.9464194942</v>
      </c>
      <c r="AG716" s="350">
        <v>15843772.507532908</v>
      </c>
      <c r="AH716" s="350">
        <v>23856830.818246365</v>
      </c>
      <c r="AI716" s="350">
        <v>31930342.568722509</v>
      </c>
      <c r="AJ716" s="350">
        <v>40065472.072891496</v>
      </c>
      <c r="AK716" s="348">
        <v>119587319.91381279</v>
      </c>
      <c r="AL716" s="369"/>
      <c r="AM716" s="350">
        <v>9320417.0160602108</v>
      </c>
      <c r="AN716" s="350">
        <v>20063567.165164791</v>
      </c>
      <c r="AO716" s="350">
        <v>30514864.550668694</v>
      </c>
      <c r="AP716" s="350">
        <v>40667987.037865706</v>
      </c>
      <c r="AQ716" s="350">
        <v>50519609.863556132</v>
      </c>
      <c r="AR716" s="348">
        <v>151086445.63331553</v>
      </c>
      <c r="AS716" s="369"/>
      <c r="AT716" s="350">
        <f t="shared" si="291"/>
        <v>1429515.0696407165</v>
      </c>
      <c r="AU716" s="350">
        <f t="shared" si="274"/>
        <v>4219794.6576318834</v>
      </c>
      <c r="AV716" s="350">
        <f t="shared" si="275"/>
        <v>6658033.7324223295</v>
      </c>
      <c r="AW716" s="350">
        <f t="shared" si="276"/>
        <v>8737644.4691431969</v>
      </c>
      <c r="AX716" s="350">
        <f t="shared" si="277"/>
        <v>10454137.790664636</v>
      </c>
      <c r="AY716" s="350">
        <f t="shared" si="278"/>
        <v>31499125.719502747</v>
      </c>
      <c r="AZ716" s="365"/>
      <c r="BA716" s="377">
        <f t="shared" si="279"/>
        <v>0</v>
      </c>
      <c r="BB716" s="377">
        <f t="shared" si="280"/>
        <v>0</v>
      </c>
      <c r="BC716" s="377">
        <f t="shared" si="281"/>
        <v>0</v>
      </c>
      <c r="BD716" s="377">
        <f t="shared" si="282"/>
        <v>0</v>
      </c>
      <c r="BE716" s="377">
        <f t="shared" si="283"/>
        <v>0</v>
      </c>
      <c r="BF716" s="377">
        <f t="shared" si="284"/>
        <v>0</v>
      </c>
      <c r="BG716" s="328"/>
    </row>
    <row r="717" spans="2:59">
      <c r="B717" s="332">
        <v>702</v>
      </c>
      <c r="C717" s="350">
        <v>5496278.1442781836</v>
      </c>
      <c r="D717" s="350">
        <v>10213513.581745874</v>
      </c>
      <c r="E717" s="350">
        <v>14966214.882590994</v>
      </c>
      <c r="F717" s="350">
        <v>19754752.669194899</v>
      </c>
      <c r="G717" s="350">
        <v>24579910.241264362</v>
      </c>
      <c r="H717" s="348">
        <v>75010669.519074306</v>
      </c>
      <c r="I717" s="369"/>
      <c r="J717" s="350">
        <v>6620614.2300984981</v>
      </c>
      <c r="K717" s="350">
        <v>13536366.914792288</v>
      </c>
      <c r="L717" s="350">
        <v>20316431.847149923</v>
      </c>
      <c r="M717" s="350">
        <v>26956119.997494884</v>
      </c>
      <c r="N717" s="350">
        <v>33452714.118463241</v>
      </c>
      <c r="O717" s="348">
        <v>100882247.10799885</v>
      </c>
      <c r="P717" s="369"/>
      <c r="Q717" s="350">
        <f t="shared" si="285"/>
        <v>1124336.0858203145</v>
      </c>
      <c r="R717" s="350">
        <f t="shared" si="286"/>
        <v>3322853.333046414</v>
      </c>
      <c r="S717" s="350">
        <f t="shared" si="287"/>
        <v>5350216.9645589292</v>
      </c>
      <c r="T717" s="350">
        <f t="shared" si="288"/>
        <v>7201367.3282999843</v>
      </c>
      <c r="U717" s="350">
        <f t="shared" si="289"/>
        <v>8872803.8771988787</v>
      </c>
      <c r="V717" s="350">
        <f t="shared" si="290"/>
        <v>25871577.588924542</v>
      </c>
      <c r="W717" s="365"/>
      <c r="X717" s="377">
        <f t="shared" si="268"/>
        <v>0</v>
      </c>
      <c r="Y717" s="377">
        <f t="shared" si="269"/>
        <v>0</v>
      </c>
      <c r="Z717" s="377">
        <f t="shared" si="270"/>
        <v>0</v>
      </c>
      <c r="AA717" s="377">
        <f t="shared" si="271"/>
        <v>0</v>
      </c>
      <c r="AB717" s="377">
        <f t="shared" si="272"/>
        <v>0</v>
      </c>
      <c r="AC717" s="377">
        <f t="shared" si="273"/>
        <v>0</v>
      </c>
      <c r="AD717" s="376"/>
      <c r="AE717" s="332">
        <v>702</v>
      </c>
      <c r="AF717" s="350">
        <v>5284318.9646489667</v>
      </c>
      <c r="AG717" s="350">
        <v>10610136.598025998</v>
      </c>
      <c r="AH717" s="350">
        <v>15976260.303992789</v>
      </c>
      <c r="AI717" s="350">
        <v>21382868.007908788</v>
      </c>
      <c r="AJ717" s="350">
        <v>26830739.418636642</v>
      </c>
      <c r="AK717" s="348">
        <v>80084323.293213189</v>
      </c>
      <c r="AL717" s="369"/>
      <c r="AM717" s="350">
        <v>6173565.6056389511</v>
      </c>
      <c r="AN717" s="350">
        <v>13234170.206187336</v>
      </c>
      <c r="AO717" s="350">
        <v>20097290.655108549</v>
      </c>
      <c r="AP717" s="350">
        <v>26758712.443424765</v>
      </c>
      <c r="AQ717" s="350">
        <v>33216140.140181053</v>
      </c>
      <c r="AR717" s="348">
        <v>99479879.050540656</v>
      </c>
      <c r="AS717" s="369"/>
      <c r="AT717" s="350">
        <f t="shared" si="291"/>
        <v>889246.64098998439</v>
      </c>
      <c r="AU717" s="350">
        <f t="shared" si="274"/>
        <v>2624033.6081613377</v>
      </c>
      <c r="AV717" s="350">
        <f t="shared" si="275"/>
        <v>4121030.3511157595</v>
      </c>
      <c r="AW717" s="350">
        <f t="shared" si="276"/>
        <v>5375844.4355159774</v>
      </c>
      <c r="AX717" s="350">
        <f t="shared" si="277"/>
        <v>6385400.721544411</v>
      </c>
      <c r="AY717" s="350">
        <f t="shared" si="278"/>
        <v>19395555.757327467</v>
      </c>
      <c r="AZ717" s="365"/>
      <c r="BA717" s="377">
        <f t="shared" si="279"/>
        <v>0</v>
      </c>
      <c r="BB717" s="377">
        <f t="shared" si="280"/>
        <v>0</v>
      </c>
      <c r="BC717" s="377">
        <f t="shared" si="281"/>
        <v>0</v>
      </c>
      <c r="BD717" s="377">
        <f t="shared" si="282"/>
        <v>0</v>
      </c>
      <c r="BE717" s="377">
        <f t="shared" si="283"/>
        <v>0</v>
      </c>
      <c r="BF717" s="377">
        <f t="shared" si="284"/>
        <v>0</v>
      </c>
      <c r="BG717" s="328"/>
    </row>
    <row r="718" spans="2:59">
      <c r="B718" s="332">
        <v>703</v>
      </c>
      <c r="C718" s="350">
        <v>8140085.2867053775</v>
      </c>
      <c r="D718" s="350">
        <v>15442424.956148285</v>
      </c>
      <c r="E718" s="350">
        <v>22799772.038964622</v>
      </c>
      <c r="F718" s="350">
        <v>30212604.109862369</v>
      </c>
      <c r="G718" s="350">
        <v>37682091.890466303</v>
      </c>
      <c r="H718" s="348">
        <v>114276978.28214696</v>
      </c>
      <c r="I718" s="369"/>
      <c r="J718" s="350">
        <v>9002389.0201285072</v>
      </c>
      <c r="K718" s="350">
        <v>17981753.527895603</v>
      </c>
      <c r="L718" s="350">
        <v>26708114.93532902</v>
      </c>
      <c r="M718" s="350">
        <v>35174980.731656484</v>
      </c>
      <c r="N718" s="350">
        <v>43377852.354800805</v>
      </c>
      <c r="O718" s="348">
        <v>132245090.56981042</v>
      </c>
      <c r="P718" s="369"/>
      <c r="Q718" s="350">
        <f t="shared" si="285"/>
        <v>862303.73342312966</v>
      </c>
      <c r="R718" s="350">
        <f t="shared" si="286"/>
        <v>2539328.5717473179</v>
      </c>
      <c r="S718" s="350">
        <f t="shared" si="287"/>
        <v>3908342.8963643983</v>
      </c>
      <c r="T718" s="350">
        <f t="shared" si="288"/>
        <v>4962376.6217941158</v>
      </c>
      <c r="U718" s="350">
        <f t="shared" si="289"/>
        <v>5695760.4643345028</v>
      </c>
      <c r="V718" s="350">
        <f t="shared" si="290"/>
        <v>17968112.28766346</v>
      </c>
      <c r="W718" s="365"/>
      <c r="X718" s="377">
        <f t="shared" si="268"/>
        <v>0</v>
      </c>
      <c r="Y718" s="377">
        <f t="shared" si="269"/>
        <v>0</v>
      </c>
      <c r="Z718" s="377">
        <f t="shared" si="270"/>
        <v>0</v>
      </c>
      <c r="AA718" s="377">
        <f t="shared" si="271"/>
        <v>0</v>
      </c>
      <c r="AB718" s="377">
        <f t="shared" si="272"/>
        <v>0</v>
      </c>
      <c r="AC718" s="377">
        <f t="shared" si="273"/>
        <v>0</v>
      </c>
      <c r="AD718" s="376"/>
      <c r="AE718" s="332">
        <v>703</v>
      </c>
      <c r="AF718" s="350">
        <v>8232551.1085487716</v>
      </c>
      <c r="AG718" s="350">
        <v>16529753.861619011</v>
      </c>
      <c r="AH718" s="350">
        <v>24889750.288727451</v>
      </c>
      <c r="AI718" s="350">
        <v>33312817.583515316</v>
      </c>
      <c r="AJ718" s="350">
        <v>41800170.470737956</v>
      </c>
      <c r="AK718" s="348">
        <v>124765043.3131485</v>
      </c>
      <c r="AL718" s="369"/>
      <c r="AM718" s="350">
        <v>10219214.025389761</v>
      </c>
      <c r="AN718" s="350">
        <v>22401031.30196508</v>
      </c>
      <c r="AO718" s="350">
        <v>34293192.619866043</v>
      </c>
      <c r="AP718" s="350">
        <v>45888962.04109484</v>
      </c>
      <c r="AQ718" s="350">
        <v>57185372.428459629</v>
      </c>
      <c r="AR718" s="348">
        <v>169987772.41677535</v>
      </c>
      <c r="AS718" s="369"/>
      <c r="AT718" s="350">
        <f t="shared" si="291"/>
        <v>1986662.9168409891</v>
      </c>
      <c r="AU718" s="350">
        <f t="shared" si="274"/>
        <v>5871277.4403460696</v>
      </c>
      <c r="AV718" s="350">
        <f t="shared" si="275"/>
        <v>9403442.3311385922</v>
      </c>
      <c r="AW718" s="350">
        <f t="shared" si="276"/>
        <v>12576144.457579523</v>
      </c>
      <c r="AX718" s="350">
        <f t="shared" si="277"/>
        <v>15385201.957721673</v>
      </c>
      <c r="AY718" s="350">
        <f t="shared" si="278"/>
        <v>45222729.103626847</v>
      </c>
      <c r="AZ718" s="365"/>
      <c r="BA718" s="377">
        <f t="shared" si="279"/>
        <v>0</v>
      </c>
      <c r="BB718" s="377">
        <f t="shared" si="280"/>
        <v>0</v>
      </c>
      <c r="BC718" s="377">
        <f t="shared" si="281"/>
        <v>0</v>
      </c>
      <c r="BD718" s="377">
        <f t="shared" si="282"/>
        <v>0</v>
      </c>
      <c r="BE718" s="377">
        <f t="shared" si="283"/>
        <v>0</v>
      </c>
      <c r="BF718" s="377">
        <f t="shared" si="284"/>
        <v>0</v>
      </c>
      <c r="BG718" s="328"/>
    </row>
    <row r="719" spans="2:59">
      <c r="B719" s="332">
        <v>704</v>
      </c>
      <c r="C719" s="350">
        <v>6543374.6722525228</v>
      </c>
      <c r="D719" s="350">
        <v>12144604.303634977</v>
      </c>
      <c r="E719" s="350">
        <v>17787941.06558241</v>
      </c>
      <c r="F719" s="350">
        <v>23473829.502394214</v>
      </c>
      <c r="G719" s="350">
        <v>29203201.645774834</v>
      </c>
      <c r="H719" s="348">
        <v>89152951.189638957</v>
      </c>
      <c r="I719" s="369"/>
      <c r="J719" s="350">
        <v>7346836.1858657114</v>
      </c>
      <c r="K719" s="350">
        <v>14513645.192636821</v>
      </c>
      <c r="L719" s="350">
        <v>21492041.472152531</v>
      </c>
      <c r="M719" s="350">
        <v>28277047.886419944</v>
      </c>
      <c r="N719" s="350">
        <v>34865354.684304655</v>
      </c>
      <c r="O719" s="348">
        <v>106494925.42137966</v>
      </c>
      <c r="P719" s="369"/>
      <c r="Q719" s="350">
        <f t="shared" si="285"/>
        <v>803461.51361318864</v>
      </c>
      <c r="R719" s="350">
        <f t="shared" si="286"/>
        <v>2369040.8890018445</v>
      </c>
      <c r="S719" s="350">
        <f t="shared" si="287"/>
        <v>3704100.4065701216</v>
      </c>
      <c r="T719" s="350">
        <f t="shared" si="288"/>
        <v>4803218.3840257302</v>
      </c>
      <c r="U719" s="350">
        <f t="shared" si="289"/>
        <v>5662153.0385298207</v>
      </c>
      <c r="V719" s="350">
        <f t="shared" si="290"/>
        <v>17341974.231740698</v>
      </c>
      <c r="W719" s="365"/>
      <c r="X719" s="377">
        <f t="shared" si="268"/>
        <v>0</v>
      </c>
      <c r="Y719" s="377">
        <f t="shared" si="269"/>
        <v>0</v>
      </c>
      <c r="Z719" s="377">
        <f t="shared" si="270"/>
        <v>0</v>
      </c>
      <c r="AA719" s="377">
        <f t="shared" si="271"/>
        <v>0</v>
      </c>
      <c r="AB719" s="377">
        <f t="shared" si="272"/>
        <v>0</v>
      </c>
      <c r="AC719" s="377">
        <f t="shared" si="273"/>
        <v>0</v>
      </c>
      <c r="AD719" s="376"/>
      <c r="AE719" s="332">
        <v>704</v>
      </c>
      <c r="AF719" s="350">
        <v>5829930.398637061</v>
      </c>
      <c r="AG719" s="350">
        <v>11705644.246747781</v>
      </c>
      <c r="AH719" s="350">
        <v>17625825.811401106</v>
      </c>
      <c r="AI719" s="350">
        <v>23590671.388935059</v>
      </c>
      <c r="AJ719" s="350">
        <v>29601041.193964027</v>
      </c>
      <c r="AK719" s="348">
        <v>88353113.039685041</v>
      </c>
      <c r="AL719" s="369"/>
      <c r="AM719" s="350">
        <v>7033562.8146308353</v>
      </c>
      <c r="AN719" s="350">
        <v>15260689.714072712</v>
      </c>
      <c r="AO719" s="350">
        <v>23276608.06335333</v>
      </c>
      <c r="AP719" s="350">
        <v>31076605.249965928</v>
      </c>
      <c r="AQ719" s="350">
        <v>38658374.248687536</v>
      </c>
      <c r="AR719" s="348">
        <v>115305840.09071034</v>
      </c>
      <c r="AS719" s="369"/>
      <c r="AT719" s="350">
        <f t="shared" si="291"/>
        <v>1203632.4159937743</v>
      </c>
      <c r="AU719" s="350">
        <f t="shared" si="274"/>
        <v>3555045.4673249312</v>
      </c>
      <c r="AV719" s="350">
        <f t="shared" si="275"/>
        <v>5650782.2519522235</v>
      </c>
      <c r="AW719" s="350">
        <f t="shared" si="276"/>
        <v>7485933.8610308692</v>
      </c>
      <c r="AX719" s="350">
        <f t="shared" si="277"/>
        <v>9057333.0547235087</v>
      </c>
      <c r="AY719" s="350">
        <f t="shared" si="278"/>
        <v>26952727.051025301</v>
      </c>
      <c r="AZ719" s="365"/>
      <c r="BA719" s="377">
        <f t="shared" si="279"/>
        <v>0</v>
      </c>
      <c r="BB719" s="377">
        <f t="shared" si="280"/>
        <v>0</v>
      </c>
      <c r="BC719" s="377">
        <f t="shared" si="281"/>
        <v>0</v>
      </c>
      <c r="BD719" s="377">
        <f t="shared" si="282"/>
        <v>0</v>
      </c>
      <c r="BE719" s="377">
        <f t="shared" si="283"/>
        <v>0</v>
      </c>
      <c r="BF719" s="377">
        <f t="shared" si="284"/>
        <v>0</v>
      </c>
      <c r="BG719" s="328"/>
    </row>
    <row r="720" spans="2:59">
      <c r="B720" s="332">
        <v>705</v>
      </c>
      <c r="C720" s="350">
        <v>7327220.3645300753</v>
      </c>
      <c r="D720" s="350">
        <v>13623741.846941222</v>
      </c>
      <c r="E720" s="350">
        <v>19967605.462326687</v>
      </c>
      <c r="F720" s="350">
        <v>26359303.522017378</v>
      </c>
      <c r="G720" s="350">
        <v>32799880.526365519</v>
      </c>
      <c r="H720" s="348">
        <v>100077751.72218087</v>
      </c>
      <c r="I720" s="369"/>
      <c r="J720" s="350">
        <v>8348946.112179365</v>
      </c>
      <c r="K720" s="350">
        <v>16638394.144452484</v>
      </c>
      <c r="L720" s="350">
        <v>24730222.859051358</v>
      </c>
      <c r="M720" s="350">
        <v>32618386.917727627</v>
      </c>
      <c r="N720" s="350">
        <v>40298856.872908086</v>
      </c>
      <c r="O720" s="348">
        <v>122634806.90631893</v>
      </c>
      <c r="P720" s="369"/>
      <c r="Q720" s="350">
        <f t="shared" si="285"/>
        <v>1021725.7476492897</v>
      </c>
      <c r="R720" s="350">
        <f t="shared" si="286"/>
        <v>3014652.2975112628</v>
      </c>
      <c r="S720" s="350">
        <f t="shared" si="287"/>
        <v>4762617.3967246711</v>
      </c>
      <c r="T720" s="350">
        <f t="shared" si="288"/>
        <v>6259083.3957102485</v>
      </c>
      <c r="U720" s="350">
        <f t="shared" si="289"/>
        <v>7498976.346542567</v>
      </c>
      <c r="V720" s="350">
        <f t="shared" si="290"/>
        <v>22557055.18413806</v>
      </c>
      <c r="W720" s="365"/>
      <c r="X720" s="377">
        <f t="shared" ref="X720:X783" si="292">IF(Q720&lt;Q$8,1,0)</f>
        <v>0</v>
      </c>
      <c r="Y720" s="377">
        <f t="shared" ref="Y720:Y783" si="293">IF(R720&lt;R$8,1,0)</f>
        <v>0</v>
      </c>
      <c r="Z720" s="377">
        <f t="shared" ref="Z720:Z783" si="294">IF(S720&lt;S$8,1,0)</f>
        <v>0</v>
      </c>
      <c r="AA720" s="377">
        <f t="shared" ref="AA720:AA783" si="295">IF(T720&lt;T$8,1,0)</f>
        <v>0</v>
      </c>
      <c r="AB720" s="377">
        <f t="shared" ref="AB720:AB783" si="296">IF(U720&lt;U$8,1,0)</f>
        <v>0</v>
      </c>
      <c r="AC720" s="377">
        <f t="shared" ref="AC720:AC783" si="297">IF(V720&lt;V$8,1,0)</f>
        <v>0</v>
      </c>
      <c r="AD720" s="376"/>
      <c r="AE720" s="332">
        <v>705</v>
      </c>
      <c r="AF720" s="350">
        <v>5874803.7559942305</v>
      </c>
      <c r="AG720" s="350">
        <v>11795743.359681103</v>
      </c>
      <c r="AH720" s="350">
        <v>17761492.950846739</v>
      </c>
      <c r="AI720" s="350">
        <v>23772250.336734973</v>
      </c>
      <c r="AJ720" s="350">
        <v>29828882.353088602</v>
      </c>
      <c r="AK720" s="348">
        <v>89033172.756345659</v>
      </c>
      <c r="AL720" s="369"/>
      <c r="AM720" s="350">
        <v>7182148.4954344351</v>
      </c>
      <c r="AN720" s="350">
        <v>15658256.939326296</v>
      </c>
      <c r="AO720" s="350">
        <v>23924359.890931383</v>
      </c>
      <c r="AP720" s="350">
        <v>31975681.751089334</v>
      </c>
      <c r="AQ720" s="350">
        <v>39809993.390818894</v>
      </c>
      <c r="AR720" s="348">
        <v>118550440.46760035</v>
      </c>
      <c r="AS720" s="369"/>
      <c r="AT720" s="350">
        <f t="shared" si="291"/>
        <v>1307344.7394402046</v>
      </c>
      <c r="AU720" s="350">
        <f t="shared" ref="AU720:AU783" si="298">AN720-AG720</f>
        <v>3862513.5796451923</v>
      </c>
      <c r="AV720" s="350">
        <f t="shared" ref="AV720:AV783" si="299">AO720-AH720</f>
        <v>6162866.9400846437</v>
      </c>
      <c r="AW720" s="350">
        <f t="shared" ref="AW720:AW783" si="300">AP720-AI720</f>
        <v>8203431.4143543616</v>
      </c>
      <c r="AX720" s="350">
        <f t="shared" ref="AX720:AX783" si="301">AQ720-AJ720</f>
        <v>9981111.0377302915</v>
      </c>
      <c r="AY720" s="350">
        <f t="shared" ref="AY720:AY783" si="302">AR720-AK720</f>
        <v>29517267.711254686</v>
      </c>
      <c r="AZ720" s="365"/>
      <c r="BA720" s="377">
        <f t="shared" ref="BA720:BA783" si="303">IF(AT720&lt;AT$8,1,0)</f>
        <v>0</v>
      </c>
      <c r="BB720" s="377">
        <f t="shared" ref="BB720:BB783" si="304">IF(AU720&lt;AU$8,1,0)</f>
        <v>0</v>
      </c>
      <c r="BC720" s="377">
        <f t="shared" ref="BC720:BC783" si="305">IF(AV720&lt;AV$8,1,0)</f>
        <v>0</v>
      </c>
      <c r="BD720" s="377">
        <f t="shared" ref="BD720:BD783" si="306">IF(AW720&lt;AW$8,1,0)</f>
        <v>0</v>
      </c>
      <c r="BE720" s="377">
        <f t="shared" ref="BE720:BE783" si="307">IF(AX720&lt;AX$8,1,0)</f>
        <v>0</v>
      </c>
      <c r="BF720" s="377">
        <f t="shared" ref="BF720:BF783" si="308">IF(AY720&lt;AY$8,1,0)</f>
        <v>0</v>
      </c>
      <c r="BG720" s="328"/>
    </row>
    <row r="721" spans="2:59">
      <c r="B721" s="332">
        <v>706</v>
      </c>
      <c r="C721" s="350">
        <v>10491904.63277166</v>
      </c>
      <c r="D721" s="350">
        <v>19799006.227011245</v>
      </c>
      <c r="E721" s="350">
        <v>29176183.161419429</v>
      </c>
      <c r="F721" s="350">
        <v>38624074.691707306</v>
      </c>
      <c r="G721" s="350">
        <v>48144186.246381685</v>
      </c>
      <c r="H721" s="348">
        <v>146235354.95929134</v>
      </c>
      <c r="I721" s="369"/>
      <c r="J721" s="350">
        <v>11697377.040398769</v>
      </c>
      <c r="K721" s="350">
        <v>23351118.509165928</v>
      </c>
      <c r="L721" s="350">
        <v>34679711.413314357</v>
      </c>
      <c r="M721" s="350">
        <v>45675106.326243274</v>
      </c>
      <c r="N721" s="350">
        <v>56331924.731394306</v>
      </c>
      <c r="O721" s="348">
        <v>171735238.02051663</v>
      </c>
      <c r="P721" s="369"/>
      <c r="Q721" s="350">
        <f t="shared" ref="Q721:Q784" si="309">J721-C721</f>
        <v>1205472.4076271094</v>
      </c>
      <c r="R721" s="350">
        <f t="shared" ref="R721:R784" si="310">K721-D721</f>
        <v>3552112.282154683</v>
      </c>
      <c r="S721" s="350">
        <f t="shared" ref="S721:S784" si="311">L721-E721</f>
        <v>5503528.2518949285</v>
      </c>
      <c r="T721" s="350">
        <f t="shared" ref="T721:T784" si="312">M721-F721</f>
        <v>7051031.6345359683</v>
      </c>
      <c r="U721" s="350">
        <f t="shared" ref="U721:U784" si="313">N721-G721</f>
        <v>8187738.4850126207</v>
      </c>
      <c r="V721" s="350">
        <f t="shared" ref="V721:V784" si="314">O721-H721</f>
        <v>25499883.061225295</v>
      </c>
      <c r="W721" s="365"/>
      <c r="X721" s="377">
        <f t="shared" si="292"/>
        <v>0</v>
      </c>
      <c r="Y721" s="377">
        <f t="shared" si="293"/>
        <v>0</v>
      </c>
      <c r="Z721" s="377">
        <f t="shared" si="294"/>
        <v>0</v>
      </c>
      <c r="AA721" s="377">
        <f t="shared" si="295"/>
        <v>0</v>
      </c>
      <c r="AB721" s="377">
        <f t="shared" si="296"/>
        <v>0</v>
      </c>
      <c r="AC721" s="377">
        <f t="shared" si="297"/>
        <v>0</v>
      </c>
      <c r="AD721" s="376"/>
      <c r="AE721" s="332">
        <v>706</v>
      </c>
      <c r="AF721" s="350">
        <v>5852704.9615005767</v>
      </c>
      <c r="AG721" s="350">
        <v>11751372.225047117</v>
      </c>
      <c r="AH721" s="350">
        <v>17694680.917811461</v>
      </c>
      <c r="AI721" s="350">
        <v>23682828.102961257</v>
      </c>
      <c r="AJ721" s="350">
        <v>29716677.355530389</v>
      </c>
      <c r="AK721" s="348">
        <v>88698263.562850803</v>
      </c>
      <c r="AL721" s="369"/>
      <c r="AM721" s="350">
        <v>7108974.9793960601</v>
      </c>
      <c r="AN721" s="350">
        <v>15462468.425917421</v>
      </c>
      <c r="AO721" s="350">
        <v>23605363.925325133</v>
      </c>
      <c r="AP721" s="350">
        <v>31532916.897367716</v>
      </c>
      <c r="AQ721" s="350">
        <v>39242859.852001727</v>
      </c>
      <c r="AR721" s="348">
        <v>116952584.08000806</v>
      </c>
      <c r="AS721" s="369"/>
      <c r="AT721" s="350">
        <f t="shared" ref="AT721:AT784" si="315">AM721-AF721</f>
        <v>1256270.0178954834</v>
      </c>
      <c r="AU721" s="350">
        <f t="shared" si="298"/>
        <v>3711096.2008703034</v>
      </c>
      <c r="AV721" s="350">
        <f t="shared" si="299"/>
        <v>5910683.0075136721</v>
      </c>
      <c r="AW721" s="350">
        <f t="shared" si="300"/>
        <v>7850088.7944064587</v>
      </c>
      <c r="AX721" s="350">
        <f t="shared" si="301"/>
        <v>9526182.496471338</v>
      </c>
      <c r="AY721" s="350">
        <f t="shared" si="302"/>
        <v>28254320.517157257</v>
      </c>
      <c r="AZ721" s="365"/>
      <c r="BA721" s="377">
        <f t="shared" si="303"/>
        <v>0</v>
      </c>
      <c r="BB721" s="377">
        <f t="shared" si="304"/>
        <v>0</v>
      </c>
      <c r="BC721" s="377">
        <f t="shared" si="305"/>
        <v>0</v>
      </c>
      <c r="BD721" s="377">
        <f t="shared" si="306"/>
        <v>0</v>
      </c>
      <c r="BE721" s="377">
        <f t="shared" si="307"/>
        <v>0</v>
      </c>
      <c r="BF721" s="377">
        <f t="shared" si="308"/>
        <v>0</v>
      </c>
      <c r="BG721" s="328"/>
    </row>
    <row r="722" spans="2:59">
      <c r="B722" s="332">
        <v>707</v>
      </c>
      <c r="C722" s="350">
        <v>5733749.0789521812</v>
      </c>
      <c r="D722" s="350">
        <v>10700406.803903554</v>
      </c>
      <c r="E722" s="350">
        <v>15704420.909279492</v>
      </c>
      <c r="F722" s="350">
        <v>20746167.736843027</v>
      </c>
      <c r="G722" s="350">
        <v>25826465.965094168</v>
      </c>
      <c r="H722" s="348">
        <v>78711210.494072422</v>
      </c>
      <c r="I722" s="369"/>
      <c r="J722" s="350">
        <v>6484127.6871628854</v>
      </c>
      <c r="K722" s="350">
        <v>12913576.911731668</v>
      </c>
      <c r="L722" s="350">
        <v>19177945.97710149</v>
      </c>
      <c r="M722" s="350">
        <v>25272755.357190013</v>
      </c>
      <c r="N722" s="350">
        <v>31195061.883299571</v>
      </c>
      <c r="O722" s="348">
        <v>95043467.816485628</v>
      </c>
      <c r="P722" s="369"/>
      <c r="Q722" s="350">
        <f t="shared" si="309"/>
        <v>750378.60821070429</v>
      </c>
      <c r="R722" s="350">
        <f t="shared" si="310"/>
        <v>2213170.1078281142</v>
      </c>
      <c r="S722" s="350">
        <f t="shared" si="311"/>
        <v>3473525.0678219981</v>
      </c>
      <c r="T722" s="350">
        <f t="shared" si="312"/>
        <v>4526587.6203469858</v>
      </c>
      <c r="U722" s="350">
        <f t="shared" si="313"/>
        <v>5368595.9182054028</v>
      </c>
      <c r="V722" s="350">
        <f t="shared" si="314"/>
        <v>16332257.322413206</v>
      </c>
      <c r="W722" s="365"/>
      <c r="X722" s="377">
        <f t="shared" si="292"/>
        <v>0</v>
      </c>
      <c r="Y722" s="377">
        <f t="shared" si="293"/>
        <v>0</v>
      </c>
      <c r="Z722" s="377">
        <f t="shared" si="294"/>
        <v>0</v>
      </c>
      <c r="AA722" s="377">
        <f t="shared" si="295"/>
        <v>0</v>
      </c>
      <c r="AB722" s="377">
        <f t="shared" si="296"/>
        <v>0</v>
      </c>
      <c r="AC722" s="377">
        <f t="shared" si="297"/>
        <v>0</v>
      </c>
      <c r="AD722" s="376"/>
      <c r="AE722" s="332">
        <v>707</v>
      </c>
      <c r="AF722" s="350">
        <v>4738206.6687581418</v>
      </c>
      <c r="AG722" s="350">
        <v>9513623.2921437956</v>
      </c>
      <c r="AH722" s="350">
        <v>14325180.523848869</v>
      </c>
      <c r="AI722" s="350">
        <v>19173037.901389986</v>
      </c>
      <c r="AJ722" s="350">
        <v>24057894.553975169</v>
      </c>
      <c r="AK722" s="348">
        <v>71807942.940115958</v>
      </c>
      <c r="AL722" s="369"/>
      <c r="AM722" s="350">
        <v>5669611.0349055855</v>
      </c>
      <c r="AN722" s="350">
        <v>12264049.614040751</v>
      </c>
      <c r="AO722" s="350">
        <v>18685428.272808131</v>
      </c>
      <c r="AP722" s="350">
        <v>24929930.137654945</v>
      </c>
      <c r="AQ722" s="350">
        <v>30995632.769802589</v>
      </c>
      <c r="AR722" s="348">
        <v>92544651.829211995</v>
      </c>
      <c r="AS722" s="369"/>
      <c r="AT722" s="350">
        <f t="shared" si="315"/>
        <v>931404.36614744365</v>
      </c>
      <c r="AU722" s="350">
        <f t="shared" si="298"/>
        <v>2750426.3218969554</v>
      </c>
      <c r="AV722" s="350">
        <f t="shared" si="299"/>
        <v>4360247.7489592619</v>
      </c>
      <c r="AW722" s="350">
        <f t="shared" si="300"/>
        <v>5756892.236264959</v>
      </c>
      <c r="AX722" s="350">
        <f t="shared" si="301"/>
        <v>6937738.2158274204</v>
      </c>
      <c r="AY722" s="350">
        <f t="shared" si="302"/>
        <v>20736708.889096037</v>
      </c>
      <c r="AZ722" s="365"/>
      <c r="BA722" s="377">
        <f t="shared" si="303"/>
        <v>0</v>
      </c>
      <c r="BB722" s="377">
        <f t="shared" si="304"/>
        <v>0</v>
      </c>
      <c r="BC722" s="377">
        <f t="shared" si="305"/>
        <v>0</v>
      </c>
      <c r="BD722" s="377">
        <f t="shared" si="306"/>
        <v>0</v>
      </c>
      <c r="BE722" s="377">
        <f t="shared" si="307"/>
        <v>0</v>
      </c>
      <c r="BF722" s="377">
        <f t="shared" si="308"/>
        <v>0</v>
      </c>
      <c r="BG722" s="328"/>
    </row>
    <row r="723" spans="2:59">
      <c r="B723" s="332">
        <v>708</v>
      </c>
      <c r="C723" s="350">
        <v>9159820.7131102849</v>
      </c>
      <c r="D723" s="350">
        <v>17322071.969478928</v>
      </c>
      <c r="E723" s="350">
        <v>25545790.643976681</v>
      </c>
      <c r="F723" s="350">
        <v>33831526.523565806</v>
      </c>
      <c r="G723" s="350">
        <v>42180595.142322049</v>
      </c>
      <c r="H723" s="348">
        <v>128039804.99245374</v>
      </c>
      <c r="I723" s="369"/>
      <c r="J723" s="350">
        <v>10498762.073927928</v>
      </c>
      <c r="K723" s="350">
        <v>21272844.223957017</v>
      </c>
      <c r="L723" s="350">
        <v>31780053.106583767</v>
      </c>
      <c r="M723" s="350">
        <v>42012851.914207846</v>
      </c>
      <c r="N723" s="350">
        <v>51966402.212620325</v>
      </c>
      <c r="O723" s="348">
        <v>157530913.53129688</v>
      </c>
      <c r="P723" s="369"/>
      <c r="Q723" s="350">
        <f t="shared" si="309"/>
        <v>1338941.3608176429</v>
      </c>
      <c r="R723" s="350">
        <f t="shared" si="310"/>
        <v>3950772.2544780895</v>
      </c>
      <c r="S723" s="350">
        <f t="shared" si="311"/>
        <v>6234262.4626070857</v>
      </c>
      <c r="T723" s="350">
        <f t="shared" si="312"/>
        <v>8181325.3906420395</v>
      </c>
      <c r="U723" s="350">
        <f t="shared" si="313"/>
        <v>9785807.0702982768</v>
      </c>
      <c r="V723" s="350">
        <f t="shared" si="314"/>
        <v>29491108.53884314</v>
      </c>
      <c r="W723" s="365"/>
      <c r="X723" s="377">
        <f t="shared" si="292"/>
        <v>0</v>
      </c>
      <c r="Y723" s="377">
        <f t="shared" si="293"/>
        <v>0</v>
      </c>
      <c r="Z723" s="377">
        <f t="shared" si="294"/>
        <v>0</v>
      </c>
      <c r="AA723" s="377">
        <f t="shared" si="295"/>
        <v>0</v>
      </c>
      <c r="AB723" s="377">
        <f t="shared" si="296"/>
        <v>0</v>
      </c>
      <c r="AC723" s="377">
        <f t="shared" si="297"/>
        <v>0</v>
      </c>
      <c r="AD723" s="376"/>
      <c r="AE723" s="332">
        <v>708</v>
      </c>
      <c r="AF723" s="350">
        <v>7631415.4486063179</v>
      </c>
      <c r="AG723" s="350">
        <v>15322761.71966044</v>
      </c>
      <c r="AH723" s="350">
        <v>23072316.510505266</v>
      </c>
      <c r="AI723" s="350">
        <v>30880336.774278149</v>
      </c>
      <c r="AJ723" s="350">
        <v>38747948.537303329</v>
      </c>
      <c r="AK723" s="348">
        <v>115654778.99035349</v>
      </c>
      <c r="AL723" s="369"/>
      <c r="AM723" s="350">
        <v>8742563.8241617437</v>
      </c>
      <c r="AN723" s="350">
        <v>18599022.968808822</v>
      </c>
      <c r="AO723" s="350">
        <v>28165099.450999528</v>
      </c>
      <c r="AP723" s="350">
        <v>37434755.78491918</v>
      </c>
      <c r="AQ723" s="350">
        <v>46404501.71757219</v>
      </c>
      <c r="AR723" s="348">
        <v>139345943.74646145</v>
      </c>
      <c r="AS723" s="369"/>
      <c r="AT723" s="350">
        <f t="shared" si="315"/>
        <v>1111148.3755554259</v>
      </c>
      <c r="AU723" s="350">
        <f t="shared" si="298"/>
        <v>3276261.2491483819</v>
      </c>
      <c r="AV723" s="350">
        <f t="shared" si="299"/>
        <v>5092782.9404942617</v>
      </c>
      <c r="AW723" s="350">
        <f t="shared" si="300"/>
        <v>6554419.010641031</v>
      </c>
      <c r="AX723" s="350">
        <f t="shared" si="301"/>
        <v>7656553.1802688614</v>
      </c>
      <c r="AY723" s="350">
        <f t="shared" si="302"/>
        <v>23691164.756107956</v>
      </c>
      <c r="AZ723" s="365"/>
      <c r="BA723" s="377">
        <f t="shared" si="303"/>
        <v>0</v>
      </c>
      <c r="BB723" s="377">
        <f t="shared" si="304"/>
        <v>0</v>
      </c>
      <c r="BC723" s="377">
        <f t="shared" si="305"/>
        <v>0</v>
      </c>
      <c r="BD723" s="377">
        <f t="shared" si="306"/>
        <v>0</v>
      </c>
      <c r="BE723" s="377">
        <f t="shared" si="307"/>
        <v>0</v>
      </c>
      <c r="BF723" s="377">
        <f t="shared" si="308"/>
        <v>0</v>
      </c>
      <c r="BG723" s="328"/>
    </row>
    <row r="724" spans="2:59">
      <c r="B724" s="332">
        <v>709</v>
      </c>
      <c r="C724" s="350">
        <v>6285638.6295001386</v>
      </c>
      <c r="D724" s="350">
        <v>11818603.032175107</v>
      </c>
      <c r="E724" s="350">
        <v>17393212.529357024</v>
      </c>
      <c r="F724" s="350">
        <v>23009859.769574039</v>
      </c>
      <c r="G724" s="350">
        <v>28669445.202923544</v>
      </c>
      <c r="H724" s="348">
        <v>87176759.163529843</v>
      </c>
      <c r="I724" s="369"/>
      <c r="J724" s="350">
        <v>7163197.8958590692</v>
      </c>
      <c r="K724" s="350">
        <v>14407543.323522167</v>
      </c>
      <c r="L724" s="350">
        <v>21467901.732983544</v>
      </c>
      <c r="M724" s="350">
        <v>28339284.252776027</v>
      </c>
      <c r="N724" s="350">
        <v>35018484.365096286</v>
      </c>
      <c r="O724" s="348">
        <v>106396411.57023709</v>
      </c>
      <c r="P724" s="369"/>
      <c r="Q724" s="350">
        <f t="shared" si="309"/>
        <v>877559.26635893062</v>
      </c>
      <c r="R724" s="350">
        <f t="shared" si="310"/>
        <v>2588940.2913470604</v>
      </c>
      <c r="S724" s="350">
        <f t="shared" si="311"/>
        <v>4074689.2036265209</v>
      </c>
      <c r="T724" s="350">
        <f t="shared" si="312"/>
        <v>5329424.483201988</v>
      </c>
      <c r="U724" s="350">
        <f t="shared" si="313"/>
        <v>6349039.1621727422</v>
      </c>
      <c r="V724" s="350">
        <f t="shared" si="314"/>
        <v>19219652.406707242</v>
      </c>
      <c r="W724" s="365"/>
      <c r="X724" s="377">
        <f t="shared" si="292"/>
        <v>0</v>
      </c>
      <c r="Y724" s="377">
        <f t="shared" si="293"/>
        <v>0</v>
      </c>
      <c r="Z724" s="377">
        <f t="shared" si="294"/>
        <v>0</v>
      </c>
      <c r="AA724" s="377">
        <f t="shared" si="295"/>
        <v>0</v>
      </c>
      <c r="AB724" s="377">
        <f t="shared" si="296"/>
        <v>0</v>
      </c>
      <c r="AC724" s="377">
        <f t="shared" si="297"/>
        <v>0</v>
      </c>
      <c r="AD724" s="376"/>
      <c r="AE724" s="332">
        <v>709</v>
      </c>
      <c r="AF724" s="350">
        <v>7548913.9181782044</v>
      </c>
      <c r="AG724" s="350">
        <v>15157110.760048727</v>
      </c>
      <c r="AH724" s="350">
        <v>22822886.842384376</v>
      </c>
      <c r="AI724" s="350">
        <v>30546496.340459447</v>
      </c>
      <c r="AJ724" s="350">
        <v>38329053.107378714</v>
      </c>
      <c r="AK724" s="348">
        <v>114404460.96844947</v>
      </c>
      <c r="AL724" s="369"/>
      <c r="AM724" s="350">
        <v>8797467.3244259339</v>
      </c>
      <c r="AN724" s="350">
        <v>18841081.234400652</v>
      </c>
      <c r="AO724" s="350">
        <v>28601926.842614323</v>
      </c>
      <c r="AP724" s="350">
        <v>38073989.672379479</v>
      </c>
      <c r="AQ724" s="350">
        <v>47253968.527853161</v>
      </c>
      <c r="AR724" s="348">
        <v>141568433.60167354</v>
      </c>
      <c r="AS724" s="369"/>
      <c r="AT724" s="350">
        <f t="shared" si="315"/>
        <v>1248553.4062477294</v>
      </c>
      <c r="AU724" s="350">
        <f t="shared" si="298"/>
        <v>3683970.4743519258</v>
      </c>
      <c r="AV724" s="350">
        <f t="shared" si="299"/>
        <v>5779040.0002299473</v>
      </c>
      <c r="AW724" s="350">
        <f t="shared" si="300"/>
        <v>7527493.3319200315</v>
      </c>
      <c r="AX724" s="350">
        <f t="shared" si="301"/>
        <v>8924915.4204744473</v>
      </c>
      <c r="AY724" s="350">
        <f t="shared" si="302"/>
        <v>27163972.63322407</v>
      </c>
      <c r="AZ724" s="365"/>
      <c r="BA724" s="377">
        <f t="shared" si="303"/>
        <v>0</v>
      </c>
      <c r="BB724" s="377">
        <f t="shared" si="304"/>
        <v>0</v>
      </c>
      <c r="BC724" s="377">
        <f t="shared" si="305"/>
        <v>0</v>
      </c>
      <c r="BD724" s="377">
        <f t="shared" si="306"/>
        <v>0</v>
      </c>
      <c r="BE724" s="377">
        <f t="shared" si="307"/>
        <v>0</v>
      </c>
      <c r="BF724" s="377">
        <f t="shared" si="308"/>
        <v>0</v>
      </c>
      <c r="BG724" s="328"/>
    </row>
    <row r="725" spans="2:59">
      <c r="B725" s="332">
        <v>710</v>
      </c>
      <c r="C725" s="350">
        <v>4964643.6356963878</v>
      </c>
      <c r="D725" s="350">
        <v>9379209.9184618071</v>
      </c>
      <c r="E725" s="350">
        <v>13827017.921033436</v>
      </c>
      <c r="F725" s="350">
        <v>18308367.748935081</v>
      </c>
      <c r="G725" s="350">
        <v>22823972.108376764</v>
      </c>
      <c r="H725" s="348">
        <v>69303211.332503468</v>
      </c>
      <c r="I725" s="369"/>
      <c r="J725" s="350">
        <v>5542963.8919992037</v>
      </c>
      <c r="K725" s="350">
        <v>11083456.099613018</v>
      </c>
      <c r="L725" s="350">
        <v>16477748.011343444</v>
      </c>
      <c r="M725" s="350">
        <v>21721714.546827883</v>
      </c>
      <c r="N725" s="350">
        <v>26812495.761627987</v>
      </c>
      <c r="O725" s="348">
        <v>81638378.31141153</v>
      </c>
      <c r="P725" s="369"/>
      <c r="Q725" s="350">
        <f t="shared" si="309"/>
        <v>578320.25630281586</v>
      </c>
      <c r="R725" s="350">
        <f t="shared" si="310"/>
        <v>1704246.1811512113</v>
      </c>
      <c r="S725" s="350">
        <f t="shared" si="311"/>
        <v>2650730.0903100073</v>
      </c>
      <c r="T725" s="350">
        <f t="shared" si="312"/>
        <v>3413346.7978928015</v>
      </c>
      <c r="U725" s="350">
        <f t="shared" si="313"/>
        <v>3988523.6532512233</v>
      </c>
      <c r="V725" s="350">
        <f t="shared" si="314"/>
        <v>12335166.978908062</v>
      </c>
      <c r="W725" s="365"/>
      <c r="X725" s="377">
        <f t="shared" si="292"/>
        <v>0</v>
      </c>
      <c r="Y725" s="377">
        <f t="shared" si="293"/>
        <v>0</v>
      </c>
      <c r="Z725" s="377">
        <f t="shared" si="294"/>
        <v>0</v>
      </c>
      <c r="AA725" s="377">
        <f t="shared" si="295"/>
        <v>0</v>
      </c>
      <c r="AB725" s="377">
        <f t="shared" si="296"/>
        <v>0</v>
      </c>
      <c r="AC725" s="377">
        <f t="shared" si="297"/>
        <v>0</v>
      </c>
      <c r="AD725" s="376"/>
      <c r="AE725" s="332">
        <v>710</v>
      </c>
      <c r="AF725" s="350">
        <v>5406956.6822878681</v>
      </c>
      <c r="AG725" s="350">
        <v>10856375.128463633</v>
      </c>
      <c r="AH725" s="350">
        <v>16347035.064788632</v>
      </c>
      <c r="AI725" s="350">
        <v>21879118.545888569</v>
      </c>
      <c r="AJ725" s="350">
        <v>27453423.3759977</v>
      </c>
      <c r="AK725" s="348">
        <v>81942908.797426403</v>
      </c>
      <c r="AL725" s="369"/>
      <c r="AM725" s="350">
        <v>6547043.2646114537</v>
      </c>
      <c r="AN725" s="350">
        <v>14224019.747956941</v>
      </c>
      <c r="AO725" s="350">
        <v>21705823.531232901</v>
      </c>
      <c r="AP725" s="350">
        <v>28988077.185953803</v>
      </c>
      <c r="AQ725" s="350">
        <v>36068665.150229096</v>
      </c>
      <c r="AR725" s="348">
        <v>107533628.8799842</v>
      </c>
      <c r="AS725" s="369"/>
      <c r="AT725" s="350">
        <f t="shared" si="315"/>
        <v>1140086.5823235856</v>
      </c>
      <c r="AU725" s="350">
        <f t="shared" si="298"/>
        <v>3367644.6194933075</v>
      </c>
      <c r="AV725" s="350">
        <f t="shared" si="299"/>
        <v>5358788.4664442688</v>
      </c>
      <c r="AW725" s="350">
        <f t="shared" si="300"/>
        <v>7108958.6400652342</v>
      </c>
      <c r="AX725" s="350">
        <f t="shared" si="301"/>
        <v>8615241.7742313966</v>
      </c>
      <c r="AY725" s="350">
        <f t="shared" si="302"/>
        <v>25590720.082557797</v>
      </c>
      <c r="AZ725" s="365"/>
      <c r="BA725" s="377">
        <f t="shared" si="303"/>
        <v>0</v>
      </c>
      <c r="BB725" s="377">
        <f t="shared" si="304"/>
        <v>0</v>
      </c>
      <c r="BC725" s="377">
        <f t="shared" si="305"/>
        <v>0</v>
      </c>
      <c r="BD725" s="377">
        <f t="shared" si="306"/>
        <v>0</v>
      </c>
      <c r="BE725" s="377">
        <f t="shared" si="307"/>
        <v>0</v>
      </c>
      <c r="BF725" s="377">
        <f t="shared" si="308"/>
        <v>0</v>
      </c>
      <c r="BG725" s="328"/>
    </row>
    <row r="726" spans="2:59">
      <c r="B726" s="332">
        <v>711</v>
      </c>
      <c r="C726" s="350">
        <v>10626065.580146283</v>
      </c>
      <c r="D726" s="350">
        <v>20170990.63764248</v>
      </c>
      <c r="E726" s="350">
        <v>29787820.151757378</v>
      </c>
      <c r="F726" s="350">
        <v>39477174.738075368</v>
      </c>
      <c r="G726" s="350">
        <v>49240583.075631976</v>
      </c>
      <c r="H726" s="348">
        <v>149302634.1832535</v>
      </c>
      <c r="I726" s="369"/>
      <c r="J726" s="350">
        <v>12229544.279978381</v>
      </c>
      <c r="K726" s="350">
        <v>24902892.800397262</v>
      </c>
      <c r="L726" s="350">
        <v>37269713.101647064</v>
      </c>
      <c r="M726" s="350">
        <v>49320983.600685753</v>
      </c>
      <c r="N726" s="350">
        <v>61050892.84941259</v>
      </c>
      <c r="O726" s="348">
        <v>184774026.63212106</v>
      </c>
      <c r="P726" s="369"/>
      <c r="Q726" s="350">
        <f t="shared" si="309"/>
        <v>1603478.6998320986</v>
      </c>
      <c r="R726" s="350">
        <f t="shared" si="310"/>
        <v>4731902.1627547815</v>
      </c>
      <c r="S726" s="350">
        <f t="shared" si="311"/>
        <v>7481892.949889686</v>
      </c>
      <c r="T726" s="350">
        <f t="shared" si="312"/>
        <v>9843808.8626103848</v>
      </c>
      <c r="U726" s="350">
        <f t="shared" si="313"/>
        <v>11810309.773780614</v>
      </c>
      <c r="V726" s="350">
        <f t="shared" si="314"/>
        <v>35471392.448867559</v>
      </c>
      <c r="W726" s="365"/>
      <c r="X726" s="377">
        <f t="shared" si="292"/>
        <v>0</v>
      </c>
      <c r="Y726" s="377">
        <f t="shared" si="293"/>
        <v>0</v>
      </c>
      <c r="Z726" s="377">
        <f t="shared" si="294"/>
        <v>0</v>
      </c>
      <c r="AA726" s="377">
        <f t="shared" si="295"/>
        <v>0</v>
      </c>
      <c r="AB726" s="377">
        <f t="shared" si="296"/>
        <v>0</v>
      </c>
      <c r="AC726" s="377">
        <f t="shared" si="297"/>
        <v>0</v>
      </c>
      <c r="AD726" s="376"/>
      <c r="AE726" s="332">
        <v>711</v>
      </c>
      <c r="AF726" s="350">
        <v>7830331.7012622897</v>
      </c>
      <c r="AG726" s="350">
        <v>15722156.348630857</v>
      </c>
      <c r="AH726" s="350">
        <v>23673706.746860482</v>
      </c>
      <c r="AI726" s="350">
        <v>31685246.546686828</v>
      </c>
      <c r="AJ726" s="350">
        <v>39757931.124813274</v>
      </c>
      <c r="AK726" s="348">
        <v>118669372.46825373</v>
      </c>
      <c r="AL726" s="369"/>
      <c r="AM726" s="350">
        <v>9079849.0983217247</v>
      </c>
      <c r="AN726" s="350">
        <v>19408282.192191999</v>
      </c>
      <c r="AO726" s="350">
        <v>29442040.427259728</v>
      </c>
      <c r="AP726" s="350">
        <v>39174898.003745198</v>
      </c>
      <c r="AQ726" s="350">
        <v>48603384.496727392</v>
      </c>
      <c r="AR726" s="348">
        <v>145708454.21824604</v>
      </c>
      <c r="AS726" s="369"/>
      <c r="AT726" s="350">
        <f t="shared" si="315"/>
        <v>1249517.397059435</v>
      </c>
      <c r="AU726" s="350">
        <f t="shared" si="298"/>
        <v>3686125.8435611427</v>
      </c>
      <c r="AV726" s="350">
        <f t="shared" si="299"/>
        <v>5768333.6803992465</v>
      </c>
      <c r="AW726" s="350">
        <f t="shared" si="300"/>
        <v>7489651.4570583701</v>
      </c>
      <c r="AX726" s="350">
        <f t="shared" si="301"/>
        <v>8845453.3719141185</v>
      </c>
      <c r="AY726" s="350">
        <f t="shared" si="302"/>
        <v>27039081.749992311</v>
      </c>
      <c r="AZ726" s="365"/>
      <c r="BA726" s="377">
        <f t="shared" si="303"/>
        <v>0</v>
      </c>
      <c r="BB726" s="377">
        <f t="shared" si="304"/>
        <v>0</v>
      </c>
      <c r="BC726" s="377">
        <f t="shared" si="305"/>
        <v>0</v>
      </c>
      <c r="BD726" s="377">
        <f t="shared" si="306"/>
        <v>0</v>
      </c>
      <c r="BE726" s="377">
        <f t="shared" si="307"/>
        <v>0</v>
      </c>
      <c r="BF726" s="377">
        <f t="shared" si="308"/>
        <v>0</v>
      </c>
      <c r="BG726" s="328"/>
    </row>
    <row r="727" spans="2:59">
      <c r="B727" s="332">
        <v>712</v>
      </c>
      <c r="C727" s="350">
        <v>7792949.2468628353</v>
      </c>
      <c r="D727" s="350">
        <v>14804737.000011753</v>
      </c>
      <c r="E727" s="350">
        <v>21869350.164580677</v>
      </c>
      <c r="F727" s="350">
        <v>28987241.241569504</v>
      </c>
      <c r="G727" s="350">
        <v>36159531.729183257</v>
      </c>
      <c r="H727" s="348">
        <v>109613809.38220802</v>
      </c>
      <c r="I727" s="369"/>
      <c r="J727" s="350">
        <v>8742228.465275852</v>
      </c>
      <c r="K727" s="350">
        <v>17602734.592154633</v>
      </c>
      <c r="L727" s="350">
        <v>26223569.838486992</v>
      </c>
      <c r="M727" s="350">
        <v>34598482.211709231</v>
      </c>
      <c r="N727" s="350">
        <v>42723295.607509151</v>
      </c>
      <c r="O727" s="348">
        <v>129890310.71513586</v>
      </c>
      <c r="P727" s="369"/>
      <c r="Q727" s="350">
        <f t="shared" si="309"/>
        <v>949279.21841301676</v>
      </c>
      <c r="R727" s="350">
        <f t="shared" si="310"/>
        <v>2797997.59214288</v>
      </c>
      <c r="S727" s="350">
        <f t="shared" si="311"/>
        <v>4354219.6739063151</v>
      </c>
      <c r="T727" s="350">
        <f t="shared" si="312"/>
        <v>5611240.970139727</v>
      </c>
      <c r="U727" s="350">
        <f t="shared" si="313"/>
        <v>6563763.8783258945</v>
      </c>
      <c r="V727" s="350">
        <f t="shared" si="314"/>
        <v>20276501.332927838</v>
      </c>
      <c r="W727" s="365"/>
      <c r="X727" s="377">
        <f t="shared" si="292"/>
        <v>0</v>
      </c>
      <c r="Y727" s="377">
        <f t="shared" si="293"/>
        <v>0</v>
      </c>
      <c r="Z727" s="377">
        <f t="shared" si="294"/>
        <v>0</v>
      </c>
      <c r="AA727" s="377">
        <f t="shared" si="295"/>
        <v>0</v>
      </c>
      <c r="AB727" s="377">
        <f t="shared" si="296"/>
        <v>0</v>
      </c>
      <c r="AC727" s="377">
        <f t="shared" si="297"/>
        <v>0</v>
      </c>
      <c r="AD727" s="376"/>
      <c r="AE727" s="332">
        <v>712</v>
      </c>
      <c r="AF727" s="350">
        <v>7531173.9004905708</v>
      </c>
      <c r="AG727" s="350">
        <v>15121491.409253217</v>
      </c>
      <c r="AH727" s="350">
        <v>22769252.846732125</v>
      </c>
      <c r="AI727" s="350">
        <v>30474711.790887341</v>
      </c>
      <c r="AJ727" s="350">
        <v>38238979.477258518</v>
      </c>
      <c r="AK727" s="348">
        <v>114135609.42462178</v>
      </c>
      <c r="AL727" s="369"/>
      <c r="AM727" s="350">
        <v>8646549.0491653401</v>
      </c>
      <c r="AN727" s="350">
        <v>18410538.630131364</v>
      </c>
      <c r="AO727" s="350">
        <v>27888523.564231262</v>
      </c>
      <c r="AP727" s="350">
        <v>37074540.346729115</v>
      </c>
      <c r="AQ727" s="350">
        <v>45965163.632836953</v>
      </c>
      <c r="AR727" s="348">
        <v>137985315.22309405</v>
      </c>
      <c r="AS727" s="369"/>
      <c r="AT727" s="350">
        <f t="shared" si="315"/>
        <v>1115375.1486747693</v>
      </c>
      <c r="AU727" s="350">
        <f t="shared" si="298"/>
        <v>3289047.2208781466</v>
      </c>
      <c r="AV727" s="350">
        <f t="shared" si="299"/>
        <v>5119270.7174991369</v>
      </c>
      <c r="AW727" s="350">
        <f t="shared" si="300"/>
        <v>6599828.5558417737</v>
      </c>
      <c r="AX727" s="350">
        <f t="shared" si="301"/>
        <v>7726184.1555784345</v>
      </c>
      <c r="AY727" s="350">
        <f t="shared" si="302"/>
        <v>23849705.79847227</v>
      </c>
      <c r="AZ727" s="365"/>
      <c r="BA727" s="377">
        <f t="shared" si="303"/>
        <v>0</v>
      </c>
      <c r="BB727" s="377">
        <f t="shared" si="304"/>
        <v>0</v>
      </c>
      <c r="BC727" s="377">
        <f t="shared" si="305"/>
        <v>0</v>
      </c>
      <c r="BD727" s="377">
        <f t="shared" si="306"/>
        <v>0</v>
      </c>
      <c r="BE727" s="377">
        <f t="shared" si="307"/>
        <v>0</v>
      </c>
      <c r="BF727" s="377">
        <f t="shared" si="308"/>
        <v>0</v>
      </c>
      <c r="BG727" s="328"/>
    </row>
    <row r="728" spans="2:59">
      <c r="B728" s="332">
        <v>713</v>
      </c>
      <c r="C728" s="350">
        <v>7284169.9337899368</v>
      </c>
      <c r="D728" s="350">
        <v>13632434.239825848</v>
      </c>
      <c r="E728" s="350">
        <v>20028459.395053063</v>
      </c>
      <c r="F728" s="350">
        <v>26472714.791476615</v>
      </c>
      <c r="G728" s="350">
        <v>32966241.780410007</v>
      </c>
      <c r="H728" s="348">
        <v>100384020.14055546</v>
      </c>
      <c r="I728" s="369"/>
      <c r="J728" s="350">
        <v>8286943.818062773</v>
      </c>
      <c r="K728" s="350">
        <v>16590739.355719797</v>
      </c>
      <c r="L728" s="350">
        <v>24679929.908800311</v>
      </c>
      <c r="M728" s="350">
        <v>32548968.66392646</v>
      </c>
      <c r="N728" s="350">
        <v>40194343.422928169</v>
      </c>
      <c r="O728" s="348">
        <v>122300925.16943751</v>
      </c>
      <c r="P728" s="369"/>
      <c r="Q728" s="350">
        <f t="shared" si="309"/>
        <v>1002773.8842728361</v>
      </c>
      <c r="R728" s="350">
        <f t="shared" si="310"/>
        <v>2958305.1158939488</v>
      </c>
      <c r="S728" s="350">
        <f t="shared" si="311"/>
        <v>4651470.5137472488</v>
      </c>
      <c r="T728" s="350">
        <f t="shared" si="312"/>
        <v>6076253.8724498451</v>
      </c>
      <c r="U728" s="350">
        <f t="shared" si="313"/>
        <v>7228101.6425181627</v>
      </c>
      <c r="V728" s="350">
        <f t="shared" si="314"/>
        <v>21916905.028882056</v>
      </c>
      <c r="W728" s="365"/>
      <c r="X728" s="377">
        <f t="shared" si="292"/>
        <v>0</v>
      </c>
      <c r="Y728" s="377">
        <f t="shared" si="293"/>
        <v>0</v>
      </c>
      <c r="Z728" s="377">
        <f t="shared" si="294"/>
        <v>0</v>
      </c>
      <c r="AA728" s="377">
        <f t="shared" si="295"/>
        <v>0</v>
      </c>
      <c r="AB728" s="377">
        <f t="shared" si="296"/>
        <v>0</v>
      </c>
      <c r="AC728" s="377">
        <f t="shared" si="297"/>
        <v>0</v>
      </c>
      <c r="AD728" s="376"/>
      <c r="AE728" s="332">
        <v>713</v>
      </c>
      <c r="AF728" s="350">
        <v>6016548.8176373448</v>
      </c>
      <c r="AG728" s="350">
        <v>12080346.631396925</v>
      </c>
      <c r="AH728" s="350">
        <v>18190035.59120689</v>
      </c>
      <c r="AI728" s="350">
        <v>24345818.276930071</v>
      </c>
      <c r="AJ728" s="350">
        <v>30548582.438996948</v>
      </c>
      <c r="AK728" s="348">
        <v>91181331.756168187</v>
      </c>
      <c r="AL728" s="369"/>
      <c r="AM728" s="350">
        <v>7225943.2292276938</v>
      </c>
      <c r="AN728" s="350">
        <v>15652013.939575752</v>
      </c>
      <c r="AO728" s="350">
        <v>23859133.854172483</v>
      </c>
      <c r="AP728" s="350">
        <v>31842448.775543537</v>
      </c>
      <c r="AQ728" s="350">
        <v>39599544.644610941</v>
      </c>
      <c r="AR728" s="348">
        <v>118179084.4431304</v>
      </c>
      <c r="AS728" s="369"/>
      <c r="AT728" s="350">
        <f t="shared" si="315"/>
        <v>1209394.4115903489</v>
      </c>
      <c r="AU728" s="350">
        <f t="shared" si="298"/>
        <v>3571667.3081788272</v>
      </c>
      <c r="AV728" s="350">
        <f t="shared" si="299"/>
        <v>5669098.2629655935</v>
      </c>
      <c r="AW728" s="350">
        <f t="shared" si="300"/>
        <v>7496630.4986134656</v>
      </c>
      <c r="AX728" s="350">
        <f t="shared" si="301"/>
        <v>9050962.2056139931</v>
      </c>
      <c r="AY728" s="350">
        <f t="shared" si="302"/>
        <v>26997752.686962217</v>
      </c>
      <c r="AZ728" s="365"/>
      <c r="BA728" s="377">
        <f t="shared" si="303"/>
        <v>0</v>
      </c>
      <c r="BB728" s="377">
        <f t="shared" si="304"/>
        <v>0</v>
      </c>
      <c r="BC728" s="377">
        <f t="shared" si="305"/>
        <v>0</v>
      </c>
      <c r="BD728" s="377">
        <f t="shared" si="306"/>
        <v>0</v>
      </c>
      <c r="BE728" s="377">
        <f t="shared" si="307"/>
        <v>0</v>
      </c>
      <c r="BF728" s="377">
        <f t="shared" si="308"/>
        <v>0</v>
      </c>
      <c r="BG728" s="328"/>
    </row>
    <row r="729" spans="2:59">
      <c r="B729" s="332">
        <v>714</v>
      </c>
      <c r="C729" s="350">
        <v>6308192.4414061308</v>
      </c>
      <c r="D729" s="350">
        <v>11955196.907739516</v>
      </c>
      <c r="E729" s="350">
        <v>17644735.563856691</v>
      </c>
      <c r="F729" s="350">
        <v>23377181.210501283</v>
      </c>
      <c r="G729" s="350">
        <v>29153440.700037025</v>
      </c>
      <c r="H729" s="348">
        <v>88438746.823540658</v>
      </c>
      <c r="I729" s="369"/>
      <c r="J729" s="350">
        <v>7395466.5380997322</v>
      </c>
      <c r="K729" s="350">
        <v>15165807.50411755</v>
      </c>
      <c r="L729" s="350">
        <v>22752310.731398135</v>
      </c>
      <c r="M729" s="350">
        <v>30149873.812480733</v>
      </c>
      <c r="N729" s="350">
        <v>37355480.296355397</v>
      </c>
      <c r="O729" s="348">
        <v>112818938.88245155</v>
      </c>
      <c r="P729" s="369"/>
      <c r="Q729" s="350">
        <f t="shared" si="309"/>
        <v>1087274.0966936015</v>
      </c>
      <c r="R729" s="350">
        <f t="shared" si="310"/>
        <v>3210610.596378034</v>
      </c>
      <c r="S729" s="350">
        <f t="shared" si="311"/>
        <v>5107575.1675414443</v>
      </c>
      <c r="T729" s="350">
        <f t="shared" si="312"/>
        <v>6772692.6019794494</v>
      </c>
      <c r="U729" s="350">
        <f t="shared" si="313"/>
        <v>8202039.5963183716</v>
      </c>
      <c r="V729" s="350">
        <f t="shared" si="314"/>
        <v>24380192.058910891</v>
      </c>
      <c r="W729" s="365"/>
      <c r="X729" s="377">
        <f t="shared" si="292"/>
        <v>0</v>
      </c>
      <c r="Y729" s="377">
        <f t="shared" si="293"/>
        <v>0</v>
      </c>
      <c r="Z729" s="377">
        <f t="shared" si="294"/>
        <v>0</v>
      </c>
      <c r="AA729" s="377">
        <f t="shared" si="295"/>
        <v>0</v>
      </c>
      <c r="AB729" s="377">
        <f t="shared" si="296"/>
        <v>0</v>
      </c>
      <c r="AC729" s="377">
        <f t="shared" si="297"/>
        <v>0</v>
      </c>
      <c r="AD729" s="376"/>
      <c r="AE729" s="332">
        <v>714</v>
      </c>
      <c r="AF729" s="350">
        <v>5700448.4657456167</v>
      </c>
      <c r="AG729" s="350">
        <v>11445663.537001599</v>
      </c>
      <c r="AH729" s="350">
        <v>17234358.703079939</v>
      </c>
      <c r="AI729" s="350">
        <v>23066725.90060465</v>
      </c>
      <c r="AJ729" s="350">
        <v>28943606.238944709</v>
      </c>
      <c r="AK729" s="348">
        <v>86390802.845376521</v>
      </c>
      <c r="AL729" s="369"/>
      <c r="AM729" s="350">
        <v>6793473.7209078874</v>
      </c>
      <c r="AN729" s="350">
        <v>14673004.35046353</v>
      </c>
      <c r="AO729" s="350">
        <v>22343505.269650511</v>
      </c>
      <c r="AP729" s="350">
        <v>29800392.255285475</v>
      </c>
      <c r="AQ729" s="350">
        <v>37041324.575488724</v>
      </c>
      <c r="AR729" s="348">
        <v>110651700.17179611</v>
      </c>
      <c r="AS729" s="369"/>
      <c r="AT729" s="350">
        <f t="shared" si="315"/>
        <v>1093025.2551622707</v>
      </c>
      <c r="AU729" s="350">
        <f t="shared" si="298"/>
        <v>3227340.8134619314</v>
      </c>
      <c r="AV729" s="350">
        <f t="shared" si="299"/>
        <v>5109146.5665705726</v>
      </c>
      <c r="AW729" s="350">
        <f t="shared" si="300"/>
        <v>6733666.354680825</v>
      </c>
      <c r="AX729" s="350">
        <f t="shared" si="301"/>
        <v>8097718.3365440145</v>
      </c>
      <c r="AY729" s="350">
        <f t="shared" si="302"/>
        <v>24260897.326419592</v>
      </c>
      <c r="AZ729" s="365"/>
      <c r="BA729" s="377">
        <f t="shared" si="303"/>
        <v>0</v>
      </c>
      <c r="BB729" s="377">
        <f t="shared" si="304"/>
        <v>0</v>
      </c>
      <c r="BC729" s="377">
        <f t="shared" si="305"/>
        <v>0</v>
      </c>
      <c r="BD729" s="377">
        <f t="shared" si="306"/>
        <v>0</v>
      </c>
      <c r="BE729" s="377">
        <f t="shared" si="307"/>
        <v>0</v>
      </c>
      <c r="BF729" s="377">
        <f t="shared" si="308"/>
        <v>0</v>
      </c>
      <c r="BG729" s="328"/>
    </row>
    <row r="730" spans="2:59">
      <c r="B730" s="332">
        <v>715</v>
      </c>
      <c r="C730" s="350">
        <v>5528303.4601120288</v>
      </c>
      <c r="D730" s="350">
        <v>10434038.031243134</v>
      </c>
      <c r="E730" s="350">
        <v>15376709.579240177</v>
      </c>
      <c r="F730" s="350">
        <v>20356654.547620989</v>
      </c>
      <c r="G730" s="350">
        <v>25374666.221548352</v>
      </c>
      <c r="H730" s="348">
        <v>77070371.839764684</v>
      </c>
      <c r="I730" s="369"/>
      <c r="J730" s="350">
        <v>6328672.5789290946</v>
      </c>
      <c r="K730" s="350">
        <v>12795600.580933489</v>
      </c>
      <c r="L730" s="350">
        <v>19101026.098215725</v>
      </c>
      <c r="M730" s="350">
        <v>25240468.98644191</v>
      </c>
      <c r="N730" s="350">
        <v>31211063.404934525</v>
      </c>
      <c r="O730" s="348">
        <v>94676831.649454743</v>
      </c>
      <c r="P730" s="369"/>
      <c r="Q730" s="350">
        <f t="shared" si="309"/>
        <v>800369.11881706584</v>
      </c>
      <c r="R730" s="350">
        <f t="shared" si="310"/>
        <v>2361562.5496903546</v>
      </c>
      <c r="S730" s="350">
        <f t="shared" si="311"/>
        <v>3724316.5189755484</v>
      </c>
      <c r="T730" s="350">
        <f t="shared" si="312"/>
        <v>4883814.4388209209</v>
      </c>
      <c r="U730" s="350">
        <f t="shared" si="313"/>
        <v>5836397.1833861731</v>
      </c>
      <c r="V730" s="350">
        <f t="shared" si="314"/>
        <v>17606459.809690058</v>
      </c>
      <c r="W730" s="365"/>
      <c r="X730" s="377">
        <f t="shared" si="292"/>
        <v>0</v>
      </c>
      <c r="Y730" s="377">
        <f t="shared" si="293"/>
        <v>0</v>
      </c>
      <c r="Z730" s="377">
        <f t="shared" si="294"/>
        <v>0</v>
      </c>
      <c r="AA730" s="377">
        <f t="shared" si="295"/>
        <v>0</v>
      </c>
      <c r="AB730" s="377">
        <f t="shared" si="296"/>
        <v>0</v>
      </c>
      <c r="AC730" s="377">
        <f t="shared" si="297"/>
        <v>0</v>
      </c>
      <c r="AD730" s="376"/>
      <c r="AE730" s="332">
        <v>715</v>
      </c>
      <c r="AF730" s="350">
        <v>8337812.2026828229</v>
      </c>
      <c r="AG730" s="350">
        <v>16741102.683423929</v>
      </c>
      <c r="AH730" s="350">
        <v>25207989.715798143</v>
      </c>
      <c r="AI730" s="350">
        <v>33738754.037634335</v>
      </c>
      <c r="AJ730" s="350">
        <v>42334625.905113667</v>
      </c>
      <c r="AK730" s="348">
        <v>126360284.54465291</v>
      </c>
      <c r="AL730" s="369"/>
      <c r="AM730" s="350">
        <v>9916229.5151851028</v>
      </c>
      <c r="AN730" s="350">
        <v>21401380.391874358</v>
      </c>
      <c r="AO730" s="350">
        <v>32580183.915002331</v>
      </c>
      <c r="AP730" s="350">
        <v>43445940.672574967</v>
      </c>
      <c r="AQ730" s="350">
        <v>53995206.406941243</v>
      </c>
      <c r="AR730" s="348">
        <v>161338940.90157801</v>
      </c>
      <c r="AS730" s="369"/>
      <c r="AT730" s="350">
        <f t="shared" si="315"/>
        <v>1578417.3125022799</v>
      </c>
      <c r="AU730" s="350">
        <f t="shared" si="298"/>
        <v>4660277.7084504291</v>
      </c>
      <c r="AV730" s="350">
        <f t="shared" si="299"/>
        <v>7372194.1992041878</v>
      </c>
      <c r="AW730" s="350">
        <f t="shared" si="300"/>
        <v>9707186.6349406317</v>
      </c>
      <c r="AX730" s="350">
        <f t="shared" si="301"/>
        <v>11660580.501827575</v>
      </c>
      <c r="AY730" s="350">
        <f t="shared" si="302"/>
        <v>34978656.3569251</v>
      </c>
      <c r="AZ730" s="365"/>
      <c r="BA730" s="377">
        <f t="shared" si="303"/>
        <v>0</v>
      </c>
      <c r="BB730" s="377">
        <f t="shared" si="304"/>
        <v>0</v>
      </c>
      <c r="BC730" s="377">
        <f t="shared" si="305"/>
        <v>0</v>
      </c>
      <c r="BD730" s="377">
        <f t="shared" si="306"/>
        <v>0</v>
      </c>
      <c r="BE730" s="377">
        <f t="shared" si="307"/>
        <v>0</v>
      </c>
      <c r="BF730" s="377">
        <f t="shared" si="308"/>
        <v>0</v>
      </c>
      <c r="BG730" s="328"/>
    </row>
    <row r="731" spans="2:59">
      <c r="B731" s="332">
        <v>716</v>
      </c>
      <c r="C731" s="350">
        <v>9549015.5098102465</v>
      </c>
      <c r="D731" s="350">
        <v>17903000.466105949</v>
      </c>
      <c r="E731" s="350">
        <v>26319846.720049966</v>
      </c>
      <c r="F731" s="350">
        <v>34800162.416935116</v>
      </c>
      <c r="G731" s="350">
        <v>43345313.765575737</v>
      </c>
      <c r="H731" s="348">
        <v>131917338.87847701</v>
      </c>
      <c r="I731" s="369"/>
      <c r="J731" s="350">
        <v>11016772.042277867</v>
      </c>
      <c r="K731" s="350">
        <v>22235361.14091723</v>
      </c>
      <c r="L731" s="350">
        <v>33183685.001697771</v>
      </c>
      <c r="M731" s="350">
        <v>43854078.040823214</v>
      </c>
      <c r="N731" s="350">
        <v>54241737.408343695</v>
      </c>
      <c r="O731" s="348">
        <v>164531633.63405979</v>
      </c>
      <c r="P731" s="369"/>
      <c r="Q731" s="350">
        <f t="shared" si="309"/>
        <v>1467756.5324676204</v>
      </c>
      <c r="R731" s="350">
        <f t="shared" si="310"/>
        <v>4332360.6748112813</v>
      </c>
      <c r="S731" s="350">
        <f t="shared" si="311"/>
        <v>6863838.2816478051</v>
      </c>
      <c r="T731" s="350">
        <f t="shared" si="312"/>
        <v>9053915.6238880977</v>
      </c>
      <c r="U731" s="350">
        <f t="shared" si="313"/>
        <v>10896423.642767958</v>
      </c>
      <c r="V731" s="350">
        <f t="shared" si="314"/>
        <v>32614294.75558278</v>
      </c>
      <c r="W731" s="365"/>
      <c r="X731" s="377">
        <f t="shared" si="292"/>
        <v>0</v>
      </c>
      <c r="Y731" s="377">
        <f t="shared" si="293"/>
        <v>0</v>
      </c>
      <c r="Z731" s="377">
        <f t="shared" si="294"/>
        <v>0</v>
      </c>
      <c r="AA731" s="377">
        <f t="shared" si="295"/>
        <v>0</v>
      </c>
      <c r="AB731" s="377">
        <f t="shared" si="296"/>
        <v>0</v>
      </c>
      <c r="AC731" s="377">
        <f t="shared" si="297"/>
        <v>0</v>
      </c>
      <c r="AD731" s="376"/>
      <c r="AE731" s="332">
        <v>716</v>
      </c>
      <c r="AF731" s="350">
        <v>5019226.7660806431</v>
      </c>
      <c r="AG731" s="350">
        <v>10077870.386107847</v>
      </c>
      <c r="AH731" s="350">
        <v>15174798.091507547</v>
      </c>
      <c r="AI731" s="350">
        <v>20310178.88186748</v>
      </c>
      <c r="AJ731" s="350">
        <v>25484753.351315163</v>
      </c>
      <c r="AK731" s="348">
        <v>76066827.476878673</v>
      </c>
      <c r="AL731" s="369"/>
      <c r="AM731" s="350">
        <v>5969226.6663582223</v>
      </c>
      <c r="AN731" s="350">
        <v>12882743.051322391</v>
      </c>
      <c r="AO731" s="350">
        <v>19611837.895721216</v>
      </c>
      <c r="AP731" s="350">
        <v>26152478.314301297</v>
      </c>
      <c r="AQ731" s="350">
        <v>32502590.736351788</v>
      </c>
      <c r="AR731" s="348">
        <v>97118876.664054915</v>
      </c>
      <c r="AS731" s="369"/>
      <c r="AT731" s="350">
        <f t="shared" si="315"/>
        <v>949999.9002775792</v>
      </c>
      <c r="AU731" s="350">
        <f t="shared" si="298"/>
        <v>2804872.6652145442</v>
      </c>
      <c r="AV731" s="350">
        <f t="shared" si="299"/>
        <v>4437039.8042136692</v>
      </c>
      <c r="AW731" s="350">
        <f t="shared" si="300"/>
        <v>5842299.4324338175</v>
      </c>
      <c r="AX731" s="350">
        <f t="shared" si="301"/>
        <v>7017837.385036625</v>
      </c>
      <c r="AY731" s="350">
        <f t="shared" si="302"/>
        <v>21052049.187176242</v>
      </c>
      <c r="AZ731" s="365"/>
      <c r="BA731" s="377">
        <f t="shared" si="303"/>
        <v>0</v>
      </c>
      <c r="BB731" s="377">
        <f t="shared" si="304"/>
        <v>0</v>
      </c>
      <c r="BC731" s="377">
        <f t="shared" si="305"/>
        <v>0</v>
      </c>
      <c r="BD731" s="377">
        <f t="shared" si="306"/>
        <v>0</v>
      </c>
      <c r="BE731" s="377">
        <f t="shared" si="307"/>
        <v>0</v>
      </c>
      <c r="BF731" s="377">
        <f t="shared" si="308"/>
        <v>0</v>
      </c>
      <c r="BG731" s="328"/>
    </row>
    <row r="732" spans="2:59">
      <c r="B732" s="332">
        <v>717</v>
      </c>
      <c r="C732" s="350">
        <v>11405579.803772487</v>
      </c>
      <c r="D732" s="350">
        <v>21555401.107073963</v>
      </c>
      <c r="E732" s="350">
        <v>31781653.221799374</v>
      </c>
      <c r="F732" s="350">
        <v>42085023.800505057</v>
      </c>
      <c r="G732" s="350">
        <v>52467150.455087647</v>
      </c>
      <c r="H732" s="348">
        <v>159294808.38823855</v>
      </c>
      <c r="I732" s="369"/>
      <c r="J732" s="350">
        <v>13115194.9478493</v>
      </c>
      <c r="K732" s="350">
        <v>26600591.017412744</v>
      </c>
      <c r="L732" s="350">
        <v>39755228.629829906</v>
      </c>
      <c r="M732" s="350">
        <v>52569746.275889471</v>
      </c>
      <c r="N732" s="350">
        <v>65038193.993208304</v>
      </c>
      <c r="O732" s="348">
        <v>197078954.86418971</v>
      </c>
      <c r="P732" s="369"/>
      <c r="Q732" s="350">
        <f t="shared" si="309"/>
        <v>1709615.144076813</v>
      </c>
      <c r="R732" s="350">
        <f t="shared" si="310"/>
        <v>5045189.9103387818</v>
      </c>
      <c r="S732" s="350">
        <f t="shared" si="311"/>
        <v>7973575.4080305323</v>
      </c>
      <c r="T732" s="350">
        <f t="shared" si="312"/>
        <v>10484722.475384414</v>
      </c>
      <c r="U732" s="350">
        <f t="shared" si="313"/>
        <v>12571043.538120657</v>
      </c>
      <c r="V732" s="350">
        <f t="shared" si="314"/>
        <v>37784146.475951165</v>
      </c>
      <c r="W732" s="365"/>
      <c r="X732" s="377">
        <f t="shared" si="292"/>
        <v>0</v>
      </c>
      <c r="Y732" s="377">
        <f t="shared" si="293"/>
        <v>0</v>
      </c>
      <c r="Z732" s="377">
        <f t="shared" si="294"/>
        <v>0</v>
      </c>
      <c r="AA732" s="377">
        <f t="shared" si="295"/>
        <v>0</v>
      </c>
      <c r="AB732" s="377">
        <f t="shared" si="296"/>
        <v>0</v>
      </c>
      <c r="AC732" s="377">
        <f t="shared" si="297"/>
        <v>0</v>
      </c>
      <c r="AD732" s="376"/>
      <c r="AE732" s="332">
        <v>717</v>
      </c>
      <c r="AF732" s="350">
        <v>6105727.6461437503</v>
      </c>
      <c r="AG732" s="350">
        <v>12259404.625139311</v>
      </c>
      <c r="AH732" s="350">
        <v>18459652.960513078</v>
      </c>
      <c r="AI732" s="350">
        <v>24706678.234818526</v>
      </c>
      <c r="AJ732" s="350">
        <v>31001381.356950529</v>
      </c>
      <c r="AK732" s="348">
        <v>92532844.823565185</v>
      </c>
      <c r="AL732" s="369"/>
      <c r="AM732" s="350">
        <v>7143838.0182031393</v>
      </c>
      <c r="AN732" s="350">
        <v>15322870.823389743</v>
      </c>
      <c r="AO732" s="350">
        <v>23274040.58903826</v>
      </c>
      <c r="AP732" s="350">
        <v>30992474.683119982</v>
      </c>
      <c r="AQ732" s="350">
        <v>38475531.639388323</v>
      </c>
      <c r="AR732" s="348">
        <v>115208755.75313945</v>
      </c>
      <c r="AS732" s="369"/>
      <c r="AT732" s="350">
        <f t="shared" si="315"/>
        <v>1038110.372059389</v>
      </c>
      <c r="AU732" s="350">
        <f t="shared" si="298"/>
        <v>3063466.1982504316</v>
      </c>
      <c r="AV732" s="350">
        <f t="shared" si="299"/>
        <v>4814387.6285251826</v>
      </c>
      <c r="AW732" s="350">
        <f t="shared" si="300"/>
        <v>6285796.4483014569</v>
      </c>
      <c r="AX732" s="350">
        <f t="shared" si="301"/>
        <v>7474150.2824377939</v>
      </c>
      <c r="AY732" s="350">
        <f t="shared" si="302"/>
        <v>22675910.929574266</v>
      </c>
      <c r="AZ732" s="365"/>
      <c r="BA732" s="377">
        <f t="shared" si="303"/>
        <v>0</v>
      </c>
      <c r="BB732" s="377">
        <f t="shared" si="304"/>
        <v>0</v>
      </c>
      <c r="BC732" s="377">
        <f t="shared" si="305"/>
        <v>0</v>
      </c>
      <c r="BD732" s="377">
        <f t="shared" si="306"/>
        <v>0</v>
      </c>
      <c r="BE732" s="377">
        <f t="shared" si="307"/>
        <v>0</v>
      </c>
      <c r="BF732" s="377">
        <f t="shared" si="308"/>
        <v>0</v>
      </c>
      <c r="BG732" s="328"/>
    </row>
    <row r="733" spans="2:59">
      <c r="B733" s="332">
        <v>718</v>
      </c>
      <c r="C733" s="350">
        <v>7075844.9404950971</v>
      </c>
      <c r="D733" s="350">
        <v>13178764.122590687</v>
      </c>
      <c r="E733" s="350">
        <v>19327577.280174304</v>
      </c>
      <c r="F733" s="350">
        <v>25522754.776551891</v>
      </c>
      <c r="G733" s="350">
        <v>31765306.03298565</v>
      </c>
      <c r="H733" s="348">
        <v>96870247.152797639</v>
      </c>
      <c r="I733" s="369"/>
      <c r="J733" s="350">
        <v>8271188.2056641597</v>
      </c>
      <c r="K733" s="350">
        <v>16708760.163793355</v>
      </c>
      <c r="L733" s="350">
        <v>24952601.237438735</v>
      </c>
      <c r="M733" s="350">
        <v>32997091.355462961</v>
      </c>
      <c r="N733" s="350">
        <v>40838846.287794873</v>
      </c>
      <c r="O733" s="348">
        <v>123768487.25015409</v>
      </c>
      <c r="P733" s="369"/>
      <c r="Q733" s="350">
        <f t="shared" si="309"/>
        <v>1195343.2651690627</v>
      </c>
      <c r="R733" s="350">
        <f t="shared" si="310"/>
        <v>3529996.0412026681</v>
      </c>
      <c r="S733" s="350">
        <f t="shared" si="311"/>
        <v>5625023.9572644308</v>
      </c>
      <c r="T733" s="350">
        <f t="shared" si="312"/>
        <v>7474336.5789110698</v>
      </c>
      <c r="U733" s="350">
        <f t="shared" si="313"/>
        <v>9073540.2548092231</v>
      </c>
      <c r="V733" s="350">
        <f t="shared" si="314"/>
        <v>26898240.097356454</v>
      </c>
      <c r="W733" s="365"/>
      <c r="X733" s="377">
        <f t="shared" si="292"/>
        <v>0</v>
      </c>
      <c r="Y733" s="377">
        <f t="shared" si="293"/>
        <v>0</v>
      </c>
      <c r="Z733" s="377">
        <f t="shared" si="294"/>
        <v>0</v>
      </c>
      <c r="AA733" s="377">
        <f t="shared" si="295"/>
        <v>0</v>
      </c>
      <c r="AB733" s="377">
        <f t="shared" si="296"/>
        <v>0</v>
      </c>
      <c r="AC733" s="377">
        <f t="shared" si="297"/>
        <v>0</v>
      </c>
      <c r="AD733" s="376"/>
      <c r="AE733" s="332">
        <v>718</v>
      </c>
      <c r="AF733" s="350">
        <v>9183423.3514634613</v>
      </c>
      <c r="AG733" s="350">
        <v>18438965.711261094</v>
      </c>
      <c r="AH733" s="350">
        <v>27764554.510477468</v>
      </c>
      <c r="AI733" s="350">
        <v>37160498.959043264</v>
      </c>
      <c r="AJ733" s="350">
        <v>46628154.084280737</v>
      </c>
      <c r="AK733" s="348">
        <v>139175596.61652601</v>
      </c>
      <c r="AL733" s="369"/>
      <c r="AM733" s="350">
        <v>10630965.317269489</v>
      </c>
      <c r="AN733" s="350">
        <v>22708991.545720909</v>
      </c>
      <c r="AO733" s="350">
        <v>34440886.789395638</v>
      </c>
      <c r="AP733" s="350">
        <v>45819354.483095229</v>
      </c>
      <c r="AQ733" s="350">
        <v>56840306.385783762</v>
      </c>
      <c r="AR733" s="348">
        <v>170440504.52126503</v>
      </c>
      <c r="AS733" s="369"/>
      <c r="AT733" s="350">
        <f t="shared" si="315"/>
        <v>1447541.9658060279</v>
      </c>
      <c r="AU733" s="350">
        <f t="shared" si="298"/>
        <v>4270025.8344598152</v>
      </c>
      <c r="AV733" s="350">
        <f t="shared" si="299"/>
        <v>6676332.2789181694</v>
      </c>
      <c r="AW733" s="350">
        <f t="shared" si="300"/>
        <v>8658855.5240519643</v>
      </c>
      <c r="AX733" s="350">
        <f t="shared" si="301"/>
        <v>10212152.301503025</v>
      </c>
      <c r="AY733" s="350">
        <f t="shared" si="302"/>
        <v>31264907.904739022</v>
      </c>
      <c r="AZ733" s="365"/>
      <c r="BA733" s="377">
        <f t="shared" si="303"/>
        <v>0</v>
      </c>
      <c r="BB733" s="377">
        <f t="shared" si="304"/>
        <v>0</v>
      </c>
      <c r="BC733" s="377">
        <f t="shared" si="305"/>
        <v>0</v>
      </c>
      <c r="BD733" s="377">
        <f t="shared" si="306"/>
        <v>0</v>
      </c>
      <c r="BE733" s="377">
        <f t="shared" si="307"/>
        <v>0</v>
      </c>
      <c r="BF733" s="377">
        <f t="shared" si="308"/>
        <v>0</v>
      </c>
      <c r="BG733" s="328"/>
    </row>
    <row r="734" spans="2:59">
      <c r="B734" s="332">
        <v>719</v>
      </c>
      <c r="C734" s="350">
        <v>6321713.7266797181</v>
      </c>
      <c r="D734" s="350">
        <v>11731927.773466088</v>
      </c>
      <c r="E734" s="350">
        <v>17182812.568557248</v>
      </c>
      <c r="F734" s="350">
        <v>22674797.883744556</v>
      </c>
      <c r="G734" s="350">
        <v>28208784.134795591</v>
      </c>
      <c r="H734" s="348">
        <v>86120036.087243199</v>
      </c>
      <c r="I734" s="369"/>
      <c r="J734" s="350">
        <v>7324670.1073900526</v>
      </c>
      <c r="K734" s="350">
        <v>14693095.632658724</v>
      </c>
      <c r="L734" s="350">
        <v>21892183.219863705</v>
      </c>
      <c r="M734" s="350">
        <v>28916840.545995545</v>
      </c>
      <c r="N734" s="350">
        <v>35763870.692906849</v>
      </c>
      <c r="O734" s="348">
        <v>108590660.19881487</v>
      </c>
      <c r="P734" s="369"/>
      <c r="Q734" s="350">
        <f t="shared" si="309"/>
        <v>1002956.3807103345</v>
      </c>
      <c r="R734" s="350">
        <f t="shared" si="310"/>
        <v>2961167.8591926359</v>
      </c>
      <c r="S734" s="350">
        <f t="shared" si="311"/>
        <v>4709370.6513064578</v>
      </c>
      <c r="T734" s="350">
        <f t="shared" si="312"/>
        <v>6242042.6622509882</v>
      </c>
      <c r="U734" s="350">
        <f t="shared" si="313"/>
        <v>7555086.5581112579</v>
      </c>
      <c r="V734" s="350">
        <f t="shared" si="314"/>
        <v>22470624.11157167</v>
      </c>
      <c r="W734" s="365"/>
      <c r="X734" s="377">
        <f t="shared" si="292"/>
        <v>0</v>
      </c>
      <c r="Y734" s="377">
        <f t="shared" si="293"/>
        <v>0</v>
      </c>
      <c r="Z734" s="377">
        <f t="shared" si="294"/>
        <v>0</v>
      </c>
      <c r="AA734" s="377">
        <f t="shared" si="295"/>
        <v>0</v>
      </c>
      <c r="AB734" s="377">
        <f t="shared" si="296"/>
        <v>0</v>
      </c>
      <c r="AC734" s="377">
        <f t="shared" si="297"/>
        <v>0</v>
      </c>
      <c r="AD734" s="376"/>
      <c r="AE734" s="332">
        <v>719</v>
      </c>
      <c r="AF734" s="350">
        <v>9837653.0520618223</v>
      </c>
      <c r="AG734" s="350">
        <v>19752562.891195025</v>
      </c>
      <c r="AH734" s="350">
        <v>29742509.298083112</v>
      </c>
      <c r="AI734" s="350">
        <v>39807823.510860473</v>
      </c>
      <c r="AJ734" s="350">
        <v>49949957.089382537</v>
      </c>
      <c r="AK734" s="348">
        <v>149090505.84158295</v>
      </c>
      <c r="AL734" s="369"/>
      <c r="AM734" s="350">
        <v>11224993.047658108</v>
      </c>
      <c r="AN734" s="350">
        <v>23842411.786362745</v>
      </c>
      <c r="AO734" s="350">
        <v>36084149.426708221</v>
      </c>
      <c r="AP734" s="350">
        <v>47942435.788554356</v>
      </c>
      <c r="AQ734" s="350">
        <v>59412725.973194331</v>
      </c>
      <c r="AR734" s="348">
        <v>178506716.02247775</v>
      </c>
      <c r="AS734" s="369"/>
      <c r="AT734" s="350">
        <f t="shared" si="315"/>
        <v>1387339.9955962859</v>
      </c>
      <c r="AU734" s="350">
        <f t="shared" si="298"/>
        <v>4089848.8951677196</v>
      </c>
      <c r="AV734" s="350">
        <f t="shared" si="299"/>
        <v>6341640.1286251098</v>
      </c>
      <c r="AW734" s="350">
        <f t="shared" si="300"/>
        <v>8134612.2776938826</v>
      </c>
      <c r="AX734" s="350">
        <f t="shared" si="301"/>
        <v>9462768.8838117942</v>
      </c>
      <c r="AY734" s="350">
        <f t="shared" si="302"/>
        <v>29416210.180894792</v>
      </c>
      <c r="AZ734" s="365"/>
      <c r="BA734" s="377">
        <f t="shared" si="303"/>
        <v>0</v>
      </c>
      <c r="BB734" s="377">
        <f t="shared" si="304"/>
        <v>0</v>
      </c>
      <c r="BC734" s="377">
        <f t="shared" si="305"/>
        <v>0</v>
      </c>
      <c r="BD734" s="377">
        <f t="shared" si="306"/>
        <v>0</v>
      </c>
      <c r="BE734" s="377">
        <f t="shared" si="307"/>
        <v>0</v>
      </c>
      <c r="BF734" s="377">
        <f t="shared" si="308"/>
        <v>0</v>
      </c>
      <c r="BG734" s="328"/>
    </row>
    <row r="735" spans="2:59">
      <c r="B735" s="332">
        <v>720</v>
      </c>
      <c r="C735" s="350">
        <v>7242740.8722681152</v>
      </c>
      <c r="D735" s="350">
        <v>13501927.694949161</v>
      </c>
      <c r="E735" s="350">
        <v>19808187.73095312</v>
      </c>
      <c r="F735" s="350">
        <v>26161999.65749906</v>
      </c>
      <c r="G735" s="350">
        <v>32564397.119594075</v>
      </c>
      <c r="H735" s="348">
        <v>99279253.07526353</v>
      </c>
      <c r="I735" s="369"/>
      <c r="J735" s="350">
        <v>8258710.8358626012</v>
      </c>
      <c r="K735" s="350">
        <v>16499590.876794685</v>
      </c>
      <c r="L735" s="350">
        <v>24542893.206888594</v>
      </c>
      <c r="M735" s="350">
        <v>32382633.352776289</v>
      </c>
      <c r="N735" s="350">
        <v>40014838.837678134</v>
      </c>
      <c r="O735" s="348">
        <v>121698667.11000031</v>
      </c>
      <c r="P735" s="369"/>
      <c r="Q735" s="350">
        <f t="shared" si="309"/>
        <v>1015969.963594486</v>
      </c>
      <c r="R735" s="350">
        <f t="shared" si="310"/>
        <v>2997663.1818455234</v>
      </c>
      <c r="S735" s="350">
        <f t="shared" si="311"/>
        <v>4734705.475935474</v>
      </c>
      <c r="T735" s="350">
        <f t="shared" si="312"/>
        <v>6220633.695277229</v>
      </c>
      <c r="U735" s="350">
        <f t="shared" si="313"/>
        <v>7450441.7180840597</v>
      </c>
      <c r="V735" s="350">
        <f t="shared" si="314"/>
        <v>22419414.034736782</v>
      </c>
      <c r="W735" s="365"/>
      <c r="X735" s="377">
        <f t="shared" si="292"/>
        <v>0</v>
      </c>
      <c r="Y735" s="377">
        <f t="shared" si="293"/>
        <v>0</v>
      </c>
      <c r="Z735" s="377">
        <f t="shared" si="294"/>
        <v>0</v>
      </c>
      <c r="AA735" s="377">
        <f t="shared" si="295"/>
        <v>0</v>
      </c>
      <c r="AB735" s="377">
        <f t="shared" si="296"/>
        <v>0</v>
      </c>
      <c r="AC735" s="377">
        <f t="shared" si="297"/>
        <v>0</v>
      </c>
      <c r="AD735" s="376"/>
      <c r="AE735" s="332">
        <v>720</v>
      </c>
      <c r="AF735" s="350">
        <v>8235983.9960999731</v>
      </c>
      <c r="AG735" s="350">
        <v>16536646.595779752</v>
      </c>
      <c r="AH735" s="350">
        <v>24900129.053801857</v>
      </c>
      <c r="AI735" s="350">
        <v>33326708.679394346</v>
      </c>
      <c r="AJ735" s="350">
        <v>41817600.703840069</v>
      </c>
      <c r="AK735" s="348">
        <v>124817069.028916</v>
      </c>
      <c r="AL735" s="369"/>
      <c r="AM735" s="350">
        <v>9974513.9477861151</v>
      </c>
      <c r="AN735" s="350">
        <v>21672025.94471034</v>
      </c>
      <c r="AO735" s="350">
        <v>33072304.727525882</v>
      </c>
      <c r="AP735" s="350">
        <v>44168681.964933276</v>
      </c>
      <c r="AQ735" s="350">
        <v>54957937.142959662</v>
      </c>
      <c r="AR735" s="348">
        <v>163845463.72791529</v>
      </c>
      <c r="AS735" s="369"/>
      <c r="AT735" s="350">
        <f t="shared" si="315"/>
        <v>1738529.951686142</v>
      </c>
      <c r="AU735" s="350">
        <f t="shared" si="298"/>
        <v>5135379.348930588</v>
      </c>
      <c r="AV735" s="350">
        <f t="shared" si="299"/>
        <v>8172175.6737240255</v>
      </c>
      <c r="AW735" s="350">
        <f t="shared" si="300"/>
        <v>10841973.28553893</v>
      </c>
      <c r="AX735" s="350">
        <f t="shared" si="301"/>
        <v>13140336.439119592</v>
      </c>
      <c r="AY735" s="350">
        <f t="shared" si="302"/>
        <v>39028394.698999286</v>
      </c>
      <c r="AZ735" s="365"/>
      <c r="BA735" s="377">
        <f t="shared" si="303"/>
        <v>0</v>
      </c>
      <c r="BB735" s="377">
        <f t="shared" si="304"/>
        <v>0</v>
      </c>
      <c r="BC735" s="377">
        <f t="shared" si="305"/>
        <v>0</v>
      </c>
      <c r="BD735" s="377">
        <f t="shared" si="306"/>
        <v>0</v>
      </c>
      <c r="BE735" s="377">
        <f t="shared" si="307"/>
        <v>0</v>
      </c>
      <c r="BF735" s="377">
        <f t="shared" si="308"/>
        <v>0</v>
      </c>
      <c r="BG735" s="328"/>
    </row>
    <row r="736" spans="2:59">
      <c r="B736" s="332">
        <v>721</v>
      </c>
      <c r="C736" s="350">
        <v>8118356.0462220218</v>
      </c>
      <c r="D736" s="350">
        <v>15138129.67464276</v>
      </c>
      <c r="E736" s="350">
        <v>22210697.920630489</v>
      </c>
      <c r="F736" s="350">
        <v>29336596.45592925</v>
      </c>
      <c r="G736" s="350">
        <v>36516984.019238189</v>
      </c>
      <c r="H736" s="348">
        <v>111320764.11666271</v>
      </c>
      <c r="I736" s="369"/>
      <c r="J736" s="350">
        <v>9545472.2594466656</v>
      </c>
      <c r="K736" s="350">
        <v>19353255.69183699</v>
      </c>
      <c r="L736" s="350">
        <v>28947892.5987591</v>
      </c>
      <c r="M736" s="350">
        <v>38322592.032970712</v>
      </c>
      <c r="N736" s="350">
        <v>47473193.137836725</v>
      </c>
      <c r="O736" s="348">
        <v>143642405.7208502</v>
      </c>
      <c r="P736" s="369"/>
      <c r="Q736" s="350">
        <f t="shared" si="309"/>
        <v>1427116.2132246438</v>
      </c>
      <c r="R736" s="350">
        <f t="shared" si="310"/>
        <v>4215126.0171942301</v>
      </c>
      <c r="S736" s="350">
        <f t="shared" si="311"/>
        <v>6737194.6781286113</v>
      </c>
      <c r="T736" s="350">
        <f t="shared" si="312"/>
        <v>8985995.5770414621</v>
      </c>
      <c r="U736" s="350">
        <f t="shared" si="313"/>
        <v>10956209.118598536</v>
      </c>
      <c r="V736" s="350">
        <f t="shared" si="314"/>
        <v>32321641.604187489</v>
      </c>
      <c r="W736" s="365"/>
      <c r="X736" s="377">
        <f t="shared" si="292"/>
        <v>0</v>
      </c>
      <c r="Y736" s="377">
        <f t="shared" si="293"/>
        <v>0</v>
      </c>
      <c r="Z736" s="377">
        <f t="shared" si="294"/>
        <v>0</v>
      </c>
      <c r="AA736" s="377">
        <f t="shared" si="295"/>
        <v>0</v>
      </c>
      <c r="AB736" s="377">
        <f t="shared" si="296"/>
        <v>0</v>
      </c>
      <c r="AC736" s="377">
        <f t="shared" si="297"/>
        <v>0</v>
      </c>
      <c r="AD736" s="376"/>
      <c r="AE736" s="332">
        <v>721</v>
      </c>
      <c r="AF736" s="350">
        <v>6222331.7937635537</v>
      </c>
      <c r="AG736" s="350">
        <v>12493528.632872198</v>
      </c>
      <c r="AH736" s="350">
        <v>18812186.224943481</v>
      </c>
      <c r="AI736" s="350">
        <v>25178514.078644164</v>
      </c>
      <c r="AJ736" s="350">
        <v>31593430.307978794</v>
      </c>
      <c r="AK736" s="348">
        <v>94299991.038202196</v>
      </c>
      <c r="AL736" s="369"/>
      <c r="AM736" s="350">
        <v>7172577.9538080217</v>
      </c>
      <c r="AN736" s="350">
        <v>15296123.869670745</v>
      </c>
      <c r="AO736" s="350">
        <v>23184229.795774814</v>
      </c>
      <c r="AP736" s="350">
        <v>30831960.50358317</v>
      </c>
      <c r="AQ736" s="350">
        <v>38236515.017196506</v>
      </c>
      <c r="AR736" s="348">
        <v>114721407.14003325</v>
      </c>
      <c r="AS736" s="369"/>
      <c r="AT736" s="350">
        <f t="shared" si="315"/>
        <v>950246.16004446801</v>
      </c>
      <c r="AU736" s="350">
        <f t="shared" si="298"/>
        <v>2802595.2367985472</v>
      </c>
      <c r="AV736" s="350">
        <f t="shared" si="299"/>
        <v>4372043.5708313324</v>
      </c>
      <c r="AW736" s="350">
        <f t="shared" si="300"/>
        <v>5653446.4249390066</v>
      </c>
      <c r="AX736" s="350">
        <f t="shared" si="301"/>
        <v>6643084.7092177123</v>
      </c>
      <c r="AY736" s="350">
        <f t="shared" si="302"/>
        <v>20421416.101831049</v>
      </c>
      <c r="AZ736" s="365"/>
      <c r="BA736" s="377">
        <f t="shared" si="303"/>
        <v>0</v>
      </c>
      <c r="BB736" s="377">
        <f t="shared" si="304"/>
        <v>0</v>
      </c>
      <c r="BC736" s="377">
        <f t="shared" si="305"/>
        <v>0</v>
      </c>
      <c r="BD736" s="377">
        <f t="shared" si="306"/>
        <v>0</v>
      </c>
      <c r="BE736" s="377">
        <f t="shared" si="307"/>
        <v>0</v>
      </c>
      <c r="BF736" s="377">
        <f t="shared" si="308"/>
        <v>0</v>
      </c>
      <c r="BG736" s="328"/>
    </row>
    <row r="737" spans="2:59">
      <c r="B737" s="332">
        <v>722</v>
      </c>
      <c r="C737" s="350">
        <v>9468667.1234470308</v>
      </c>
      <c r="D737" s="350">
        <v>17956858.638410777</v>
      </c>
      <c r="E737" s="350">
        <v>26508988.487054728</v>
      </c>
      <c r="F737" s="350">
        <v>35125613.544880435</v>
      </c>
      <c r="G737" s="350">
        <v>43808095.410587966</v>
      </c>
      <c r="H737" s="348">
        <v>132868223.20438093</v>
      </c>
      <c r="I737" s="369"/>
      <c r="J737" s="350">
        <v>10524033.366773318</v>
      </c>
      <c r="K737" s="350">
        <v>21065833.418387756</v>
      </c>
      <c r="L737" s="350">
        <v>31316033.523054413</v>
      </c>
      <c r="M737" s="350">
        <v>41267041.566606477</v>
      </c>
      <c r="N737" s="350">
        <v>50913649.575288773</v>
      </c>
      <c r="O737" s="348">
        <v>155086591.45011073</v>
      </c>
      <c r="P737" s="369"/>
      <c r="Q737" s="350">
        <f t="shared" si="309"/>
        <v>1055366.2433262877</v>
      </c>
      <c r="R737" s="350">
        <f t="shared" si="310"/>
        <v>3108974.7799769789</v>
      </c>
      <c r="S737" s="350">
        <f t="shared" si="311"/>
        <v>4807045.0359996855</v>
      </c>
      <c r="T737" s="350">
        <f t="shared" si="312"/>
        <v>6141428.021726042</v>
      </c>
      <c r="U737" s="350">
        <f t="shared" si="313"/>
        <v>7105554.1647008061</v>
      </c>
      <c r="V737" s="350">
        <f t="shared" si="314"/>
        <v>22218368.245729804</v>
      </c>
      <c r="W737" s="365"/>
      <c r="X737" s="377">
        <f t="shared" si="292"/>
        <v>0</v>
      </c>
      <c r="Y737" s="377">
        <f t="shared" si="293"/>
        <v>0</v>
      </c>
      <c r="Z737" s="377">
        <f t="shared" si="294"/>
        <v>0</v>
      </c>
      <c r="AA737" s="377">
        <f t="shared" si="295"/>
        <v>0</v>
      </c>
      <c r="AB737" s="377">
        <f t="shared" si="296"/>
        <v>0</v>
      </c>
      <c r="AC737" s="377">
        <f t="shared" si="297"/>
        <v>0</v>
      </c>
      <c r="AD737" s="376"/>
      <c r="AE737" s="332">
        <v>722</v>
      </c>
      <c r="AF737" s="350">
        <v>5619856.3524283683</v>
      </c>
      <c r="AG737" s="350">
        <v>11283846.406593688</v>
      </c>
      <c r="AH737" s="350">
        <v>16990701.840309396</v>
      </c>
      <c r="AI737" s="350">
        <v>22740611.876627363</v>
      </c>
      <c r="AJ737" s="350">
        <v>28534405.733434349</v>
      </c>
      <c r="AK737" s="348">
        <v>85169422.209393173</v>
      </c>
      <c r="AL737" s="369"/>
      <c r="AM737" s="350">
        <v>6462581.769384915</v>
      </c>
      <c r="AN737" s="350">
        <v>13769072.881986216</v>
      </c>
      <c r="AO737" s="350">
        <v>20862455.780034721</v>
      </c>
      <c r="AP737" s="350">
        <v>27738277.47481731</v>
      </c>
      <c r="AQ737" s="350">
        <v>34393992.482623629</v>
      </c>
      <c r="AR737" s="348">
        <v>103226380.38884678</v>
      </c>
      <c r="AS737" s="369"/>
      <c r="AT737" s="350">
        <f t="shared" si="315"/>
        <v>842725.41695654672</v>
      </c>
      <c r="AU737" s="350">
        <f t="shared" si="298"/>
        <v>2485226.4753925279</v>
      </c>
      <c r="AV737" s="350">
        <f t="shared" si="299"/>
        <v>3871753.9397253245</v>
      </c>
      <c r="AW737" s="350">
        <f t="shared" si="300"/>
        <v>4997665.5981899463</v>
      </c>
      <c r="AX737" s="350">
        <f t="shared" si="301"/>
        <v>5859586.74918928</v>
      </c>
      <c r="AY737" s="350">
        <f t="shared" si="302"/>
        <v>18056958.179453611</v>
      </c>
      <c r="AZ737" s="365"/>
      <c r="BA737" s="377">
        <f t="shared" si="303"/>
        <v>0</v>
      </c>
      <c r="BB737" s="377">
        <f t="shared" si="304"/>
        <v>0</v>
      </c>
      <c r="BC737" s="377">
        <f t="shared" si="305"/>
        <v>0</v>
      </c>
      <c r="BD737" s="377">
        <f t="shared" si="306"/>
        <v>0</v>
      </c>
      <c r="BE737" s="377">
        <f t="shared" si="307"/>
        <v>0</v>
      </c>
      <c r="BF737" s="377">
        <f t="shared" si="308"/>
        <v>0</v>
      </c>
      <c r="BG737" s="328"/>
    </row>
    <row r="738" spans="2:59">
      <c r="B738" s="332">
        <v>723</v>
      </c>
      <c r="C738" s="350">
        <v>7746557.5361514837</v>
      </c>
      <c r="D738" s="350">
        <v>14417091.488115314</v>
      </c>
      <c r="E738" s="350">
        <v>21137784.257547453</v>
      </c>
      <c r="F738" s="350">
        <v>27909153.247404277</v>
      </c>
      <c r="G738" s="350">
        <v>34732303.194856912</v>
      </c>
      <c r="H738" s="348">
        <v>105942889.72407544</v>
      </c>
      <c r="I738" s="369"/>
      <c r="J738" s="350">
        <v>9066271.9173979945</v>
      </c>
      <c r="K738" s="350">
        <v>18314556.247856736</v>
      </c>
      <c r="L738" s="350">
        <v>27350872.85217854</v>
      </c>
      <c r="M738" s="350">
        <v>36169120.368364297</v>
      </c>
      <c r="N738" s="350">
        <v>44765657.70261918</v>
      </c>
      <c r="O738" s="348">
        <v>135666479.08841676</v>
      </c>
      <c r="P738" s="369"/>
      <c r="Q738" s="350">
        <f t="shared" si="309"/>
        <v>1319714.3812465109</v>
      </c>
      <c r="R738" s="350">
        <f t="shared" si="310"/>
        <v>3897464.7597414218</v>
      </c>
      <c r="S738" s="350">
        <f t="shared" si="311"/>
        <v>6213088.594631087</v>
      </c>
      <c r="T738" s="350">
        <f t="shared" si="312"/>
        <v>8259967.1209600195</v>
      </c>
      <c r="U738" s="350">
        <f t="shared" si="313"/>
        <v>10033354.507762268</v>
      </c>
      <c r="V738" s="350">
        <f t="shared" si="314"/>
        <v>29723589.364341319</v>
      </c>
      <c r="W738" s="365"/>
      <c r="X738" s="377">
        <f t="shared" si="292"/>
        <v>0</v>
      </c>
      <c r="Y738" s="377">
        <f t="shared" si="293"/>
        <v>0</v>
      </c>
      <c r="Z738" s="377">
        <f t="shared" si="294"/>
        <v>0</v>
      </c>
      <c r="AA738" s="377">
        <f t="shared" si="295"/>
        <v>0</v>
      </c>
      <c r="AB738" s="377">
        <f t="shared" si="296"/>
        <v>0</v>
      </c>
      <c r="AC738" s="377">
        <f t="shared" si="297"/>
        <v>0</v>
      </c>
      <c r="AD738" s="376"/>
      <c r="AE738" s="332">
        <v>723</v>
      </c>
      <c r="AF738" s="350">
        <v>5374426.2495132517</v>
      </c>
      <c r="AG738" s="350">
        <v>10791058.795812141</v>
      </c>
      <c r="AH738" s="350">
        <v>16248684.706817128</v>
      </c>
      <c r="AI738" s="350">
        <v>21747484.941839837</v>
      </c>
      <c r="AJ738" s="350">
        <v>27288252.505202387</v>
      </c>
      <c r="AK738" s="348">
        <v>81449907.199184746</v>
      </c>
      <c r="AL738" s="369"/>
      <c r="AM738" s="350">
        <v>6486846.2655596565</v>
      </c>
      <c r="AN738" s="350">
        <v>14076733.830231085</v>
      </c>
      <c r="AO738" s="350">
        <v>21471999.74597827</v>
      </c>
      <c r="AP738" s="350">
        <v>28668298.805780575</v>
      </c>
      <c r="AQ738" s="350">
        <v>35663507.102858298</v>
      </c>
      <c r="AR738" s="348">
        <v>106367385.75040787</v>
      </c>
      <c r="AS738" s="369"/>
      <c r="AT738" s="350">
        <f t="shared" si="315"/>
        <v>1112420.0160464048</v>
      </c>
      <c r="AU738" s="350">
        <f t="shared" si="298"/>
        <v>3285675.0344189443</v>
      </c>
      <c r="AV738" s="350">
        <f t="shared" si="299"/>
        <v>5223315.039161142</v>
      </c>
      <c r="AW738" s="350">
        <f t="shared" si="300"/>
        <v>6920813.8639407381</v>
      </c>
      <c r="AX738" s="350">
        <f t="shared" si="301"/>
        <v>8375254.597655911</v>
      </c>
      <c r="AY738" s="350">
        <f t="shared" si="302"/>
        <v>24917478.551223129</v>
      </c>
      <c r="AZ738" s="365"/>
      <c r="BA738" s="377">
        <f t="shared" si="303"/>
        <v>0</v>
      </c>
      <c r="BB738" s="377">
        <f t="shared" si="304"/>
        <v>0</v>
      </c>
      <c r="BC738" s="377">
        <f t="shared" si="305"/>
        <v>0</v>
      </c>
      <c r="BD738" s="377">
        <f t="shared" si="306"/>
        <v>0</v>
      </c>
      <c r="BE738" s="377">
        <f t="shared" si="307"/>
        <v>0</v>
      </c>
      <c r="BF738" s="377">
        <f t="shared" si="308"/>
        <v>0</v>
      </c>
      <c r="BG738" s="328"/>
    </row>
    <row r="739" spans="2:59">
      <c r="B739" s="332">
        <v>724</v>
      </c>
      <c r="C739" s="350">
        <v>8809318.2728255857</v>
      </c>
      <c r="D739" s="350">
        <v>16478941.323371254</v>
      </c>
      <c r="E739" s="350">
        <v>24206263.817482006</v>
      </c>
      <c r="F739" s="350">
        <v>31991855.195112146</v>
      </c>
      <c r="G739" s="350">
        <v>39836974.580440626</v>
      </c>
      <c r="H739" s="348">
        <v>121323353.18923162</v>
      </c>
      <c r="I739" s="369"/>
      <c r="J739" s="350">
        <v>10266161.784142766</v>
      </c>
      <c r="K739" s="350">
        <v>20780631.654179938</v>
      </c>
      <c r="L739" s="350">
        <v>31054701.289837822</v>
      </c>
      <c r="M739" s="350">
        <v>41081143.734631434</v>
      </c>
      <c r="N739" s="350">
        <v>50855488.83897388</v>
      </c>
      <c r="O739" s="348">
        <v>154038127.30176586</v>
      </c>
      <c r="P739" s="369"/>
      <c r="Q739" s="350">
        <f t="shared" si="309"/>
        <v>1456843.5113171805</v>
      </c>
      <c r="R739" s="350">
        <f t="shared" si="310"/>
        <v>4301690.3308086842</v>
      </c>
      <c r="S739" s="350">
        <f t="shared" si="311"/>
        <v>6848437.4723558165</v>
      </c>
      <c r="T739" s="350">
        <f t="shared" si="312"/>
        <v>9089288.5395192876</v>
      </c>
      <c r="U739" s="350">
        <f t="shared" si="313"/>
        <v>11018514.258533254</v>
      </c>
      <c r="V739" s="350">
        <f t="shared" si="314"/>
        <v>32714774.11253424</v>
      </c>
      <c r="W739" s="365"/>
      <c r="X739" s="377">
        <f t="shared" si="292"/>
        <v>0</v>
      </c>
      <c r="Y739" s="377">
        <f t="shared" si="293"/>
        <v>0</v>
      </c>
      <c r="Z739" s="377">
        <f t="shared" si="294"/>
        <v>0</v>
      </c>
      <c r="AA739" s="377">
        <f t="shared" si="295"/>
        <v>0</v>
      </c>
      <c r="AB739" s="377">
        <f t="shared" si="296"/>
        <v>0</v>
      </c>
      <c r="AC739" s="377">
        <f t="shared" si="297"/>
        <v>0</v>
      </c>
      <c r="AD739" s="376"/>
      <c r="AE739" s="332">
        <v>724</v>
      </c>
      <c r="AF739" s="350">
        <v>7335827.0834395681</v>
      </c>
      <c r="AG739" s="350">
        <v>14729263.682886511</v>
      </c>
      <c r="AH739" s="350">
        <v>22178654.205801941</v>
      </c>
      <c r="AI739" s="350">
        <v>29684245.652732078</v>
      </c>
      <c r="AJ739" s="350">
        <v>37247120.435512781</v>
      </c>
      <c r="AK739" s="348">
        <v>111175111.06037287</v>
      </c>
      <c r="AL739" s="369"/>
      <c r="AM739" s="350">
        <v>8521096.6075512338</v>
      </c>
      <c r="AN739" s="350">
        <v>18226085.463529654</v>
      </c>
      <c r="AO739" s="350">
        <v>27655448.03729653</v>
      </c>
      <c r="AP739" s="350">
        <v>36803347.556553937</v>
      </c>
      <c r="AQ739" s="350">
        <v>45666547.611592501</v>
      </c>
      <c r="AR739" s="348">
        <v>136872525.27652386</v>
      </c>
      <c r="AS739" s="369"/>
      <c r="AT739" s="350">
        <f t="shared" si="315"/>
        <v>1185269.5241116658</v>
      </c>
      <c r="AU739" s="350">
        <f t="shared" si="298"/>
        <v>3496821.7806431428</v>
      </c>
      <c r="AV739" s="350">
        <f t="shared" si="299"/>
        <v>5476793.8314945884</v>
      </c>
      <c r="AW739" s="350">
        <f t="shared" si="300"/>
        <v>7119101.9038218595</v>
      </c>
      <c r="AX739" s="350">
        <f t="shared" si="301"/>
        <v>8419427.1760797203</v>
      </c>
      <c r="AY739" s="350">
        <f t="shared" si="302"/>
        <v>25697414.216150984</v>
      </c>
      <c r="AZ739" s="365"/>
      <c r="BA739" s="377">
        <f t="shared" si="303"/>
        <v>0</v>
      </c>
      <c r="BB739" s="377">
        <f t="shared" si="304"/>
        <v>0</v>
      </c>
      <c r="BC739" s="377">
        <f t="shared" si="305"/>
        <v>0</v>
      </c>
      <c r="BD739" s="377">
        <f t="shared" si="306"/>
        <v>0</v>
      </c>
      <c r="BE739" s="377">
        <f t="shared" si="307"/>
        <v>0</v>
      </c>
      <c r="BF739" s="377">
        <f t="shared" si="308"/>
        <v>0</v>
      </c>
      <c r="BG739" s="328"/>
    </row>
    <row r="740" spans="2:59">
      <c r="B740" s="332">
        <v>725</v>
      </c>
      <c r="C740" s="350">
        <v>7785377.0543850865</v>
      </c>
      <c r="D740" s="350">
        <v>14673423.466554798</v>
      </c>
      <c r="E740" s="350">
        <v>21613325.703971688</v>
      </c>
      <c r="F740" s="350">
        <v>28605562.216991685</v>
      </c>
      <c r="G740" s="350">
        <v>35651249.477067478</v>
      </c>
      <c r="H740" s="348">
        <v>108328937.91897073</v>
      </c>
      <c r="I740" s="369"/>
      <c r="J740" s="350">
        <v>9014233.9603283443</v>
      </c>
      <c r="K740" s="350">
        <v>18300877.162187956</v>
      </c>
      <c r="L740" s="350">
        <v>27369252.802857339</v>
      </c>
      <c r="M740" s="350">
        <v>36212842.860640794</v>
      </c>
      <c r="N740" s="350">
        <v>44827520.501908705</v>
      </c>
      <c r="O740" s="348">
        <v>135724727.28792316</v>
      </c>
      <c r="P740" s="369"/>
      <c r="Q740" s="350">
        <f t="shared" si="309"/>
        <v>1228856.9059432577</v>
      </c>
      <c r="R740" s="350">
        <f t="shared" si="310"/>
        <v>3627453.6956331581</v>
      </c>
      <c r="S740" s="350">
        <f t="shared" si="311"/>
        <v>5755927.0988856517</v>
      </c>
      <c r="T740" s="350">
        <f t="shared" si="312"/>
        <v>7607280.6436491087</v>
      </c>
      <c r="U740" s="350">
        <f t="shared" si="313"/>
        <v>9176271.0248412266</v>
      </c>
      <c r="V740" s="350">
        <f t="shared" si="314"/>
        <v>27395789.368952423</v>
      </c>
      <c r="W740" s="365"/>
      <c r="X740" s="377">
        <f t="shared" si="292"/>
        <v>0</v>
      </c>
      <c r="Y740" s="377">
        <f t="shared" si="293"/>
        <v>0</v>
      </c>
      <c r="Z740" s="377">
        <f t="shared" si="294"/>
        <v>0</v>
      </c>
      <c r="AA740" s="377">
        <f t="shared" si="295"/>
        <v>0</v>
      </c>
      <c r="AB740" s="377">
        <f t="shared" si="296"/>
        <v>0</v>
      </c>
      <c r="AC740" s="377">
        <f t="shared" si="297"/>
        <v>0</v>
      </c>
      <c r="AD740" s="376"/>
      <c r="AE740" s="332">
        <v>725</v>
      </c>
      <c r="AF740" s="350">
        <v>6147888.5243589282</v>
      </c>
      <c r="AG740" s="350">
        <v>12344057.478221867</v>
      </c>
      <c r="AH740" s="350">
        <v>18587119.370000605</v>
      </c>
      <c r="AI740" s="350">
        <v>24877281.201824054</v>
      </c>
      <c r="AJ740" s="350">
        <v>31215450.103485309</v>
      </c>
      <c r="AK740" s="348">
        <v>93171796.677890763</v>
      </c>
      <c r="AL740" s="369"/>
      <c r="AM740" s="350">
        <v>7395196.5173879694</v>
      </c>
      <c r="AN740" s="350">
        <v>16027836.986173367</v>
      </c>
      <c r="AO740" s="350">
        <v>24437091.832291603</v>
      </c>
      <c r="AP740" s="350">
        <v>32617997.636140421</v>
      </c>
      <c r="AQ740" s="350">
        <v>40568099.30013708</v>
      </c>
      <c r="AR740" s="348">
        <v>121046222.27213043</v>
      </c>
      <c r="AS740" s="369"/>
      <c r="AT740" s="350">
        <f t="shared" si="315"/>
        <v>1247307.9930290412</v>
      </c>
      <c r="AU740" s="350">
        <f t="shared" si="298"/>
        <v>3683779.5079514999</v>
      </c>
      <c r="AV740" s="350">
        <f t="shared" si="299"/>
        <v>5849972.4622909985</v>
      </c>
      <c r="AW740" s="350">
        <f t="shared" si="300"/>
        <v>7740716.4343163669</v>
      </c>
      <c r="AX740" s="350">
        <f t="shared" si="301"/>
        <v>9352649.1966517717</v>
      </c>
      <c r="AY740" s="350">
        <f t="shared" si="302"/>
        <v>27874425.594239667</v>
      </c>
      <c r="AZ740" s="365"/>
      <c r="BA740" s="377">
        <f t="shared" si="303"/>
        <v>0</v>
      </c>
      <c r="BB740" s="377">
        <f t="shared" si="304"/>
        <v>0</v>
      </c>
      <c r="BC740" s="377">
        <f t="shared" si="305"/>
        <v>0</v>
      </c>
      <c r="BD740" s="377">
        <f t="shared" si="306"/>
        <v>0</v>
      </c>
      <c r="BE740" s="377">
        <f t="shared" si="307"/>
        <v>0</v>
      </c>
      <c r="BF740" s="377">
        <f t="shared" si="308"/>
        <v>0</v>
      </c>
      <c r="BG740" s="328"/>
    </row>
    <row r="741" spans="2:59">
      <c r="B741" s="332">
        <v>726</v>
      </c>
      <c r="C741" s="350">
        <v>7719003.915102642</v>
      </c>
      <c r="D741" s="350">
        <v>14397365.818866743</v>
      </c>
      <c r="E741" s="350">
        <v>21125955.932114217</v>
      </c>
      <c r="F741" s="350">
        <v>27905282.696103014</v>
      </c>
      <c r="G741" s="350">
        <v>34736447.981026784</v>
      </c>
      <c r="H741" s="348">
        <v>105884056.34321339</v>
      </c>
      <c r="I741" s="369"/>
      <c r="J741" s="350">
        <v>8871842.4011035822</v>
      </c>
      <c r="K741" s="350">
        <v>17799909.09839629</v>
      </c>
      <c r="L741" s="350">
        <v>26511268.101338416</v>
      </c>
      <c r="M741" s="350">
        <v>34999829.602627859</v>
      </c>
      <c r="N741" s="350">
        <v>43261753.342094213</v>
      </c>
      <c r="O741" s="348">
        <v>131444602.54556036</v>
      </c>
      <c r="P741" s="369"/>
      <c r="Q741" s="350">
        <f t="shared" si="309"/>
        <v>1152838.4860009402</v>
      </c>
      <c r="R741" s="350">
        <f t="shared" si="310"/>
        <v>3402543.2795295473</v>
      </c>
      <c r="S741" s="350">
        <f t="shared" si="311"/>
        <v>5385312.1692241989</v>
      </c>
      <c r="T741" s="350">
        <f t="shared" si="312"/>
        <v>7094546.9065248445</v>
      </c>
      <c r="U741" s="350">
        <f t="shared" si="313"/>
        <v>8525305.3610674292</v>
      </c>
      <c r="V741" s="350">
        <f t="shared" si="314"/>
        <v>25560546.202346966</v>
      </c>
      <c r="W741" s="365"/>
      <c r="X741" s="377">
        <f t="shared" si="292"/>
        <v>0</v>
      </c>
      <c r="Y741" s="377">
        <f t="shared" si="293"/>
        <v>0</v>
      </c>
      <c r="Z741" s="377">
        <f t="shared" si="294"/>
        <v>0</v>
      </c>
      <c r="AA741" s="377">
        <f t="shared" si="295"/>
        <v>0</v>
      </c>
      <c r="AB741" s="377">
        <f t="shared" si="296"/>
        <v>0</v>
      </c>
      <c r="AC741" s="377">
        <f t="shared" si="297"/>
        <v>0</v>
      </c>
      <c r="AD741" s="376"/>
      <c r="AE741" s="332">
        <v>726</v>
      </c>
      <c r="AF741" s="350">
        <v>9780317.3389653042</v>
      </c>
      <c r="AG741" s="350">
        <v>19637441.197752796</v>
      </c>
      <c r="AH741" s="350">
        <v>29569164.296906434</v>
      </c>
      <c r="AI741" s="350">
        <v>39575815.944041759</v>
      </c>
      <c r="AJ741" s="350">
        <v>49658839.239047289</v>
      </c>
      <c r="AK741" s="348">
        <v>148221578.01671359</v>
      </c>
      <c r="AL741" s="369"/>
      <c r="AM741" s="350">
        <v>11368848.654312491</v>
      </c>
      <c r="AN741" s="350">
        <v>24324107.805774353</v>
      </c>
      <c r="AO741" s="350">
        <v>36912143.311960116</v>
      </c>
      <c r="AP741" s="350">
        <v>49125171.087518558</v>
      </c>
      <c r="AQ741" s="350">
        <v>60958884.670817629</v>
      </c>
      <c r="AR741" s="348">
        <v>182689155.53038314</v>
      </c>
      <c r="AS741" s="369"/>
      <c r="AT741" s="350">
        <f t="shared" si="315"/>
        <v>1588531.3153471872</v>
      </c>
      <c r="AU741" s="350">
        <f t="shared" si="298"/>
        <v>4686666.6080215573</v>
      </c>
      <c r="AV741" s="350">
        <f t="shared" si="299"/>
        <v>7342979.015053682</v>
      </c>
      <c r="AW741" s="350">
        <f t="shared" si="300"/>
        <v>9549355.1434767991</v>
      </c>
      <c r="AX741" s="350">
        <f t="shared" si="301"/>
        <v>11300045.43177034</v>
      </c>
      <c r="AY741" s="350">
        <f t="shared" si="302"/>
        <v>34467577.51366955</v>
      </c>
      <c r="AZ741" s="365"/>
      <c r="BA741" s="377">
        <f t="shared" si="303"/>
        <v>0</v>
      </c>
      <c r="BB741" s="377">
        <f t="shared" si="304"/>
        <v>0</v>
      </c>
      <c r="BC741" s="377">
        <f t="shared" si="305"/>
        <v>0</v>
      </c>
      <c r="BD741" s="377">
        <f t="shared" si="306"/>
        <v>0</v>
      </c>
      <c r="BE741" s="377">
        <f t="shared" si="307"/>
        <v>0</v>
      </c>
      <c r="BF741" s="377">
        <f t="shared" si="308"/>
        <v>0</v>
      </c>
      <c r="BG741" s="328"/>
    </row>
    <row r="742" spans="2:59">
      <c r="B742" s="332">
        <v>727</v>
      </c>
      <c r="C742" s="350">
        <v>7123020.0027363785</v>
      </c>
      <c r="D742" s="350">
        <v>13407110.140474705</v>
      </c>
      <c r="E742" s="350">
        <v>19738503.464339226</v>
      </c>
      <c r="F742" s="350">
        <v>26117641.768671684</v>
      </c>
      <c r="G742" s="350">
        <v>32545545.934709594</v>
      </c>
      <c r="H742" s="348">
        <v>98931821.310931593</v>
      </c>
      <c r="I742" s="369"/>
      <c r="J742" s="350">
        <v>8024035.8819605578</v>
      </c>
      <c r="K742" s="350">
        <v>16063777.368736388</v>
      </c>
      <c r="L742" s="350">
        <v>23891995.087085783</v>
      </c>
      <c r="M742" s="350">
        <v>31503045.958078165</v>
      </c>
      <c r="N742" s="350">
        <v>38893189.348391615</v>
      </c>
      <c r="O742" s="348">
        <v>118376043.64425251</v>
      </c>
      <c r="P742" s="369"/>
      <c r="Q742" s="350">
        <f t="shared" si="309"/>
        <v>901015.87922417931</v>
      </c>
      <c r="R742" s="350">
        <f t="shared" si="310"/>
        <v>2656667.2282616831</v>
      </c>
      <c r="S742" s="350">
        <f t="shared" si="311"/>
        <v>4153491.622746557</v>
      </c>
      <c r="T742" s="350">
        <f t="shared" si="312"/>
        <v>5385404.1894064806</v>
      </c>
      <c r="U742" s="350">
        <f t="shared" si="313"/>
        <v>6347643.4136820212</v>
      </c>
      <c r="V742" s="350">
        <f t="shared" si="314"/>
        <v>19444222.333320916</v>
      </c>
      <c r="W742" s="365"/>
      <c r="X742" s="377">
        <f t="shared" si="292"/>
        <v>0</v>
      </c>
      <c r="Y742" s="377">
        <f t="shared" si="293"/>
        <v>0</v>
      </c>
      <c r="Z742" s="377">
        <f t="shared" si="294"/>
        <v>0</v>
      </c>
      <c r="AA742" s="377">
        <f t="shared" si="295"/>
        <v>0</v>
      </c>
      <c r="AB742" s="377">
        <f t="shared" si="296"/>
        <v>0</v>
      </c>
      <c r="AC742" s="377">
        <f t="shared" si="297"/>
        <v>0</v>
      </c>
      <c r="AD742" s="376"/>
      <c r="AE742" s="332">
        <v>727</v>
      </c>
      <c r="AF742" s="350">
        <v>6867523.1137693254</v>
      </c>
      <c r="AG742" s="350">
        <v>13788978.071658429</v>
      </c>
      <c r="AH742" s="350">
        <v>20762814.970718607</v>
      </c>
      <c r="AI742" s="350">
        <v>27789265.043494057</v>
      </c>
      <c r="AJ742" s="350">
        <v>34869341.602896444</v>
      </c>
      <c r="AK742" s="348">
        <v>104077922.80253688</v>
      </c>
      <c r="AL742" s="369"/>
      <c r="AM742" s="350">
        <v>7767527.8417730974</v>
      </c>
      <c r="AN742" s="350">
        <v>16440958.996365257</v>
      </c>
      <c r="AO742" s="350">
        <v>24850081.70267766</v>
      </c>
      <c r="AP742" s="350">
        <v>32989491.078393079</v>
      </c>
      <c r="AQ742" s="350">
        <v>40855945.044169202</v>
      </c>
      <c r="AR742" s="348">
        <v>122904004.66337828</v>
      </c>
      <c r="AS742" s="369"/>
      <c r="AT742" s="350">
        <f t="shared" si="315"/>
        <v>900004.72800377198</v>
      </c>
      <c r="AU742" s="350">
        <f t="shared" si="298"/>
        <v>2651980.9247068278</v>
      </c>
      <c r="AV742" s="350">
        <f t="shared" si="299"/>
        <v>4087266.7319590524</v>
      </c>
      <c r="AW742" s="350">
        <f t="shared" si="300"/>
        <v>5200226.0348990224</v>
      </c>
      <c r="AX742" s="350">
        <f t="shared" si="301"/>
        <v>5986603.4412727579</v>
      </c>
      <c r="AY742" s="350">
        <f t="shared" si="302"/>
        <v>18826081.860841408</v>
      </c>
      <c r="AZ742" s="365"/>
      <c r="BA742" s="377">
        <f t="shared" si="303"/>
        <v>0</v>
      </c>
      <c r="BB742" s="377">
        <f t="shared" si="304"/>
        <v>0</v>
      </c>
      <c r="BC742" s="377">
        <f t="shared" si="305"/>
        <v>0</v>
      </c>
      <c r="BD742" s="377">
        <f t="shared" si="306"/>
        <v>0</v>
      </c>
      <c r="BE742" s="377">
        <f t="shared" si="307"/>
        <v>0</v>
      </c>
      <c r="BF742" s="377">
        <f t="shared" si="308"/>
        <v>0</v>
      </c>
      <c r="BG742" s="328"/>
    </row>
    <row r="743" spans="2:59">
      <c r="B743" s="332">
        <v>728</v>
      </c>
      <c r="C743" s="350">
        <v>11190160.160965938</v>
      </c>
      <c r="D743" s="350">
        <v>21014403.130268209</v>
      </c>
      <c r="E743" s="350">
        <v>30912581.990752604</v>
      </c>
      <c r="F743" s="350">
        <v>40885401.621162057</v>
      </c>
      <c r="G743" s="350">
        <v>50934464.195784412</v>
      </c>
      <c r="H743" s="348">
        <v>154937011.09893322</v>
      </c>
      <c r="I743" s="369"/>
      <c r="J743" s="350">
        <v>13343559.466262175</v>
      </c>
      <c r="K743" s="350">
        <v>27376541.77835907</v>
      </c>
      <c r="L743" s="350">
        <v>41107303.505854763</v>
      </c>
      <c r="M743" s="350">
        <v>54526572.479514584</v>
      </c>
      <c r="N743" s="350">
        <v>67628997.962915435</v>
      </c>
      <c r="O743" s="348">
        <v>203982975.19290602</v>
      </c>
      <c r="P743" s="369"/>
      <c r="Q743" s="350">
        <f t="shared" si="309"/>
        <v>2153399.3052962366</v>
      </c>
      <c r="R743" s="350">
        <f t="shared" si="310"/>
        <v>6362138.6480908617</v>
      </c>
      <c r="S743" s="350">
        <f t="shared" si="311"/>
        <v>10194721.515102159</v>
      </c>
      <c r="T743" s="350">
        <f t="shared" si="312"/>
        <v>13641170.858352527</v>
      </c>
      <c r="U743" s="350">
        <f t="shared" si="313"/>
        <v>16694533.767131023</v>
      </c>
      <c r="V743" s="350">
        <f t="shared" si="314"/>
        <v>49045964.093972802</v>
      </c>
      <c r="W743" s="365"/>
      <c r="X743" s="377">
        <f t="shared" si="292"/>
        <v>0</v>
      </c>
      <c r="Y743" s="377">
        <f t="shared" si="293"/>
        <v>0</v>
      </c>
      <c r="Z743" s="377">
        <f t="shared" si="294"/>
        <v>0</v>
      </c>
      <c r="AA743" s="377">
        <f t="shared" si="295"/>
        <v>0</v>
      </c>
      <c r="AB743" s="377">
        <f t="shared" si="296"/>
        <v>0</v>
      </c>
      <c r="AC743" s="377">
        <f t="shared" si="297"/>
        <v>0</v>
      </c>
      <c r="AD743" s="376"/>
      <c r="AE743" s="332">
        <v>728</v>
      </c>
      <c r="AF743" s="350">
        <v>6980886.7611336838</v>
      </c>
      <c r="AG743" s="350">
        <v>14016595.630672714</v>
      </c>
      <c r="AH743" s="350">
        <v>21105551.121094674</v>
      </c>
      <c r="AI743" s="350">
        <v>28247988.281947967</v>
      </c>
      <c r="AJ743" s="350">
        <v>35444937.153113455</v>
      </c>
      <c r="AK743" s="348">
        <v>105795958.94796249</v>
      </c>
      <c r="AL743" s="369"/>
      <c r="AM743" s="350">
        <v>8273673.2417261265</v>
      </c>
      <c r="AN743" s="350">
        <v>17833168.482166152</v>
      </c>
      <c r="AO743" s="350">
        <v>27135311.257718988</v>
      </c>
      <c r="AP743" s="350">
        <v>36174500.575277992</v>
      </c>
      <c r="AQ743" s="350">
        <v>44947823.587430403</v>
      </c>
      <c r="AR743" s="348">
        <v>134364477.14431965</v>
      </c>
      <c r="AS743" s="369"/>
      <c r="AT743" s="350">
        <f t="shared" si="315"/>
        <v>1292786.4805924427</v>
      </c>
      <c r="AU743" s="350">
        <f t="shared" si="298"/>
        <v>3816572.8514934387</v>
      </c>
      <c r="AV743" s="350">
        <f t="shared" si="299"/>
        <v>6029760.1366243139</v>
      </c>
      <c r="AW743" s="350">
        <f t="shared" si="300"/>
        <v>7926512.2933300249</v>
      </c>
      <c r="AX743" s="350">
        <f t="shared" si="301"/>
        <v>9502886.4343169481</v>
      </c>
      <c r="AY743" s="350">
        <f t="shared" si="302"/>
        <v>28568518.196357161</v>
      </c>
      <c r="AZ743" s="365"/>
      <c r="BA743" s="377">
        <f t="shared" si="303"/>
        <v>0</v>
      </c>
      <c r="BB743" s="377">
        <f t="shared" si="304"/>
        <v>0</v>
      </c>
      <c r="BC743" s="377">
        <f t="shared" si="305"/>
        <v>0</v>
      </c>
      <c r="BD743" s="377">
        <f t="shared" si="306"/>
        <v>0</v>
      </c>
      <c r="BE743" s="377">
        <f t="shared" si="307"/>
        <v>0</v>
      </c>
      <c r="BF743" s="377">
        <f t="shared" si="308"/>
        <v>0</v>
      </c>
      <c r="BG743" s="328"/>
    </row>
    <row r="744" spans="2:59">
      <c r="B744" s="332">
        <v>729</v>
      </c>
      <c r="C744" s="350">
        <v>8867783.2376440838</v>
      </c>
      <c r="D744" s="350">
        <v>16858932.173365183</v>
      </c>
      <c r="E744" s="350">
        <v>24910288.750525787</v>
      </c>
      <c r="F744" s="350">
        <v>33022365.112108387</v>
      </c>
      <c r="G744" s="350">
        <v>41196437.850799963</v>
      </c>
      <c r="H744" s="348">
        <v>124855807.1244434</v>
      </c>
      <c r="I744" s="369"/>
      <c r="J744" s="350">
        <v>10149321.244177427</v>
      </c>
      <c r="K744" s="350">
        <v>20639900.999982554</v>
      </c>
      <c r="L744" s="350">
        <v>30869162.8346055</v>
      </c>
      <c r="M744" s="350">
        <v>40829691.773223713</v>
      </c>
      <c r="N744" s="350">
        <v>50516690.37672428</v>
      </c>
      <c r="O744" s="348">
        <v>153004767.22871348</v>
      </c>
      <c r="P744" s="369"/>
      <c r="Q744" s="350">
        <f t="shared" si="309"/>
        <v>1281538.0065333433</v>
      </c>
      <c r="R744" s="350">
        <f t="shared" si="310"/>
        <v>3780968.8266173713</v>
      </c>
      <c r="S744" s="350">
        <f t="shared" si="311"/>
        <v>5958874.0840797126</v>
      </c>
      <c r="T744" s="350">
        <f t="shared" si="312"/>
        <v>7807326.661115326</v>
      </c>
      <c r="U744" s="350">
        <f t="shared" si="313"/>
        <v>9320252.5259243175</v>
      </c>
      <c r="V744" s="350">
        <f t="shared" si="314"/>
        <v>28148960.104270086</v>
      </c>
      <c r="W744" s="365"/>
      <c r="X744" s="377">
        <f t="shared" si="292"/>
        <v>0</v>
      </c>
      <c r="Y744" s="377">
        <f t="shared" si="293"/>
        <v>0</v>
      </c>
      <c r="Z744" s="377">
        <f t="shared" si="294"/>
        <v>0</v>
      </c>
      <c r="AA744" s="377">
        <f t="shared" si="295"/>
        <v>0</v>
      </c>
      <c r="AB744" s="377">
        <f t="shared" si="296"/>
        <v>0</v>
      </c>
      <c r="AC744" s="377">
        <f t="shared" si="297"/>
        <v>0</v>
      </c>
      <c r="AD744" s="376"/>
      <c r="AE744" s="332">
        <v>729</v>
      </c>
      <c r="AF744" s="350">
        <v>4833726.73811277</v>
      </c>
      <c r="AG744" s="350">
        <v>9705413.5664413013</v>
      </c>
      <c r="AH744" s="350">
        <v>14613969.581147261</v>
      </c>
      <c r="AI744" s="350">
        <v>19559557.535950311</v>
      </c>
      <c r="AJ744" s="350">
        <v>24542890.654182069</v>
      </c>
      <c r="AK744" s="348">
        <v>73255558.075833708</v>
      </c>
      <c r="AL744" s="369"/>
      <c r="AM744" s="350">
        <v>5876245.2762609441</v>
      </c>
      <c r="AN744" s="350">
        <v>12785133.093101727</v>
      </c>
      <c r="AO744" s="350">
        <v>19520237.717983037</v>
      </c>
      <c r="AP744" s="350">
        <v>26077639.2144683</v>
      </c>
      <c r="AQ744" s="350">
        <v>32455469.904524766</v>
      </c>
      <c r="AR744" s="348">
        <v>96714725.206338763</v>
      </c>
      <c r="AS744" s="369"/>
      <c r="AT744" s="350">
        <f t="shared" si="315"/>
        <v>1042518.5381481741</v>
      </c>
      <c r="AU744" s="350">
        <f t="shared" si="298"/>
        <v>3079719.5266604256</v>
      </c>
      <c r="AV744" s="350">
        <f t="shared" si="299"/>
        <v>4906268.1368357763</v>
      </c>
      <c r="AW744" s="350">
        <f t="shared" si="300"/>
        <v>6518081.6785179898</v>
      </c>
      <c r="AX744" s="350">
        <f t="shared" si="301"/>
        <v>7912579.2503426969</v>
      </c>
      <c r="AY744" s="350">
        <f t="shared" si="302"/>
        <v>23459167.130505055</v>
      </c>
      <c r="AZ744" s="365"/>
      <c r="BA744" s="377">
        <f t="shared" si="303"/>
        <v>0</v>
      </c>
      <c r="BB744" s="377">
        <f t="shared" si="304"/>
        <v>0</v>
      </c>
      <c r="BC744" s="377">
        <f t="shared" si="305"/>
        <v>0</v>
      </c>
      <c r="BD744" s="377">
        <f t="shared" si="306"/>
        <v>0</v>
      </c>
      <c r="BE744" s="377">
        <f t="shared" si="307"/>
        <v>0</v>
      </c>
      <c r="BF744" s="377">
        <f t="shared" si="308"/>
        <v>0</v>
      </c>
      <c r="BG744" s="328"/>
    </row>
    <row r="745" spans="2:59">
      <c r="B745" s="332">
        <v>730</v>
      </c>
      <c r="C745" s="350">
        <v>11245200.035543401</v>
      </c>
      <c r="D745" s="350">
        <v>21210956.286739931</v>
      </c>
      <c r="E745" s="350">
        <v>31251743.94118296</v>
      </c>
      <c r="F745" s="350">
        <v>41368250.312555872</v>
      </c>
      <c r="G745" s="350">
        <v>51562088.593403436</v>
      </c>
      <c r="H745" s="348">
        <v>156638239.16942561</v>
      </c>
      <c r="I745" s="369"/>
      <c r="J745" s="350">
        <v>12805187.9655666</v>
      </c>
      <c r="K745" s="350">
        <v>25812840.65238037</v>
      </c>
      <c r="L745" s="350">
        <v>38489101.080335304</v>
      </c>
      <c r="M745" s="350">
        <v>50824937.441148907</v>
      </c>
      <c r="N745" s="350">
        <v>62814511.680272132</v>
      </c>
      <c r="O745" s="348">
        <v>190746578.81970331</v>
      </c>
      <c r="P745" s="369"/>
      <c r="Q745" s="350">
        <f t="shared" si="309"/>
        <v>1559987.9300231989</v>
      </c>
      <c r="R745" s="350">
        <f t="shared" si="310"/>
        <v>4601884.3656404391</v>
      </c>
      <c r="S745" s="350">
        <f t="shared" si="311"/>
        <v>7237357.1391523443</v>
      </c>
      <c r="T745" s="350">
        <f t="shared" si="312"/>
        <v>9456687.128593035</v>
      </c>
      <c r="U745" s="350">
        <f t="shared" si="313"/>
        <v>11252423.086868696</v>
      </c>
      <c r="V745" s="350">
        <f t="shared" si="314"/>
        <v>34108339.650277704</v>
      </c>
      <c r="W745" s="365"/>
      <c r="X745" s="377">
        <f t="shared" si="292"/>
        <v>0</v>
      </c>
      <c r="Y745" s="377">
        <f t="shared" si="293"/>
        <v>0</v>
      </c>
      <c r="Z745" s="377">
        <f t="shared" si="294"/>
        <v>0</v>
      </c>
      <c r="AA745" s="377">
        <f t="shared" si="295"/>
        <v>0</v>
      </c>
      <c r="AB745" s="377">
        <f t="shared" si="296"/>
        <v>0</v>
      </c>
      <c r="AC745" s="377">
        <f t="shared" si="297"/>
        <v>0</v>
      </c>
      <c r="AD745" s="376"/>
      <c r="AE745" s="332">
        <v>730</v>
      </c>
      <c r="AF745" s="350">
        <v>5278378.8842647355</v>
      </c>
      <c r="AG745" s="350">
        <v>10598209.788781216</v>
      </c>
      <c r="AH745" s="350">
        <v>15958301.458003365</v>
      </c>
      <c r="AI745" s="350">
        <v>21358831.617285494</v>
      </c>
      <c r="AJ745" s="350">
        <v>26800579.099022847</v>
      </c>
      <c r="AK745" s="348">
        <v>79994300.847357661</v>
      </c>
      <c r="AL745" s="369"/>
      <c r="AM745" s="350">
        <v>6585102.0289494619</v>
      </c>
      <c r="AN745" s="350">
        <v>14460370.963095304</v>
      </c>
      <c r="AO745" s="350">
        <v>22150911.227945995</v>
      </c>
      <c r="AP745" s="350">
        <v>29652394.691470765</v>
      </c>
      <c r="AQ745" s="350">
        <v>36962952.321185537</v>
      </c>
      <c r="AR745" s="348">
        <v>109811731.23264706</v>
      </c>
      <c r="AS745" s="369"/>
      <c r="AT745" s="350">
        <f t="shared" si="315"/>
        <v>1306723.1446847264</v>
      </c>
      <c r="AU745" s="350">
        <f t="shared" si="298"/>
        <v>3862161.1743140873</v>
      </c>
      <c r="AV745" s="350">
        <f t="shared" si="299"/>
        <v>6192609.7699426301</v>
      </c>
      <c r="AW745" s="350">
        <f t="shared" si="300"/>
        <v>8293563.0741852708</v>
      </c>
      <c r="AX745" s="350">
        <f t="shared" si="301"/>
        <v>10162373.22216269</v>
      </c>
      <c r="AY745" s="350">
        <f t="shared" si="302"/>
        <v>29817430.385289401</v>
      </c>
      <c r="AZ745" s="365"/>
      <c r="BA745" s="377">
        <f t="shared" si="303"/>
        <v>0</v>
      </c>
      <c r="BB745" s="377">
        <f t="shared" si="304"/>
        <v>0</v>
      </c>
      <c r="BC745" s="377">
        <f t="shared" si="305"/>
        <v>0</v>
      </c>
      <c r="BD745" s="377">
        <f t="shared" si="306"/>
        <v>0</v>
      </c>
      <c r="BE745" s="377">
        <f t="shared" si="307"/>
        <v>0</v>
      </c>
      <c r="BF745" s="377">
        <f t="shared" si="308"/>
        <v>0</v>
      </c>
      <c r="BG745" s="328"/>
    </row>
    <row r="746" spans="2:59">
      <c r="B746" s="332">
        <v>731</v>
      </c>
      <c r="C746" s="350">
        <v>8861168.3870975077</v>
      </c>
      <c r="D746" s="350">
        <v>16683842.971457874</v>
      </c>
      <c r="E746" s="350">
        <v>24565404.039934896</v>
      </c>
      <c r="F746" s="350">
        <v>32506400.030465037</v>
      </c>
      <c r="G746" s="350">
        <v>40508101.111572579</v>
      </c>
      <c r="H746" s="348">
        <v>123124916.5405279</v>
      </c>
      <c r="I746" s="369"/>
      <c r="J746" s="350">
        <v>9913259.5210827701</v>
      </c>
      <c r="K746" s="350">
        <v>19784748.052464411</v>
      </c>
      <c r="L746" s="350">
        <v>29387900.930391293</v>
      </c>
      <c r="M746" s="350">
        <v>38715813.869941153</v>
      </c>
      <c r="N746" s="350">
        <v>47763865.910582379</v>
      </c>
      <c r="O746" s="348">
        <v>145565588.284462</v>
      </c>
      <c r="P746" s="369"/>
      <c r="Q746" s="350">
        <f t="shared" si="309"/>
        <v>1052091.1339852624</v>
      </c>
      <c r="R746" s="350">
        <f t="shared" si="310"/>
        <v>3100905.0810065363</v>
      </c>
      <c r="S746" s="350">
        <f t="shared" si="311"/>
        <v>4822496.8904563971</v>
      </c>
      <c r="T746" s="350">
        <f t="shared" si="312"/>
        <v>6209413.839476116</v>
      </c>
      <c r="U746" s="350">
        <f t="shared" si="313"/>
        <v>7255764.7990098</v>
      </c>
      <c r="V746" s="350">
        <f t="shared" si="314"/>
        <v>22440671.74393411</v>
      </c>
      <c r="W746" s="365"/>
      <c r="X746" s="377">
        <f t="shared" si="292"/>
        <v>0</v>
      </c>
      <c r="Y746" s="377">
        <f t="shared" si="293"/>
        <v>0</v>
      </c>
      <c r="Z746" s="377">
        <f t="shared" si="294"/>
        <v>0</v>
      </c>
      <c r="AA746" s="377">
        <f t="shared" si="295"/>
        <v>0</v>
      </c>
      <c r="AB746" s="377">
        <f t="shared" si="296"/>
        <v>0</v>
      </c>
      <c r="AC746" s="377">
        <f t="shared" si="297"/>
        <v>0</v>
      </c>
      <c r="AD746" s="376"/>
      <c r="AE746" s="332">
        <v>731</v>
      </c>
      <c r="AF746" s="350">
        <v>6416539.5424763057</v>
      </c>
      <c r="AG746" s="350">
        <v>12883469.277262177</v>
      </c>
      <c r="AH746" s="350">
        <v>19399341.082029872</v>
      </c>
      <c r="AI746" s="350">
        <v>25964371.004507035</v>
      </c>
      <c r="AJ746" s="350">
        <v>32579505.814330839</v>
      </c>
      <c r="AK746" s="348">
        <v>97243226.720606238</v>
      </c>
      <c r="AL746" s="369"/>
      <c r="AM746" s="350">
        <v>7184051.1360237105</v>
      </c>
      <c r="AN746" s="350">
        <v>15143641.931353318</v>
      </c>
      <c r="AO746" s="350">
        <v>22854083.082873337</v>
      </c>
      <c r="AP746" s="350">
        <v>30310345.399249442</v>
      </c>
      <c r="AQ746" s="350">
        <v>37509325.37776801</v>
      </c>
      <c r="AR746" s="348">
        <v>113001446.92726782</v>
      </c>
      <c r="AS746" s="369"/>
      <c r="AT746" s="350">
        <f t="shared" si="315"/>
        <v>767511.59354740474</v>
      </c>
      <c r="AU746" s="350">
        <f t="shared" si="298"/>
        <v>2260172.6540911403</v>
      </c>
      <c r="AV746" s="350">
        <f t="shared" si="299"/>
        <v>3454742.0008434653</v>
      </c>
      <c r="AW746" s="350">
        <f t="shared" si="300"/>
        <v>4345974.3947424069</v>
      </c>
      <c r="AX746" s="350">
        <f t="shared" si="301"/>
        <v>4929819.5634371713</v>
      </c>
      <c r="AY746" s="350">
        <f t="shared" si="302"/>
        <v>15758220.206661582</v>
      </c>
      <c r="AZ746" s="365"/>
      <c r="BA746" s="377">
        <f t="shared" si="303"/>
        <v>0</v>
      </c>
      <c r="BB746" s="377">
        <f t="shared" si="304"/>
        <v>0</v>
      </c>
      <c r="BC746" s="377">
        <f t="shared" si="305"/>
        <v>0</v>
      </c>
      <c r="BD746" s="377">
        <f t="shared" si="306"/>
        <v>0</v>
      </c>
      <c r="BE746" s="377">
        <f t="shared" si="307"/>
        <v>0</v>
      </c>
      <c r="BF746" s="377">
        <f t="shared" si="308"/>
        <v>0</v>
      </c>
      <c r="BG746" s="328"/>
    </row>
    <row r="747" spans="2:59">
      <c r="B747" s="332">
        <v>732</v>
      </c>
      <c r="C747" s="350">
        <v>6521566.4087588238</v>
      </c>
      <c r="D747" s="350">
        <v>12163092.382436331</v>
      </c>
      <c r="E747" s="350">
        <v>17847048.207591854</v>
      </c>
      <c r="F747" s="350">
        <v>23573863.63944684</v>
      </c>
      <c r="G747" s="350">
        <v>29344469.588721208</v>
      </c>
      <c r="H747" s="348">
        <v>89450040.226955056</v>
      </c>
      <c r="I747" s="369"/>
      <c r="J747" s="350">
        <v>7457512.7766305143</v>
      </c>
      <c r="K747" s="350">
        <v>14924943.510014525</v>
      </c>
      <c r="L747" s="350">
        <v>22206071.125817325</v>
      </c>
      <c r="M747" s="350">
        <v>29295840.945792679</v>
      </c>
      <c r="N747" s="350">
        <v>36191052.504837766</v>
      </c>
      <c r="O747" s="348">
        <v>110075420.86309281</v>
      </c>
      <c r="P747" s="369"/>
      <c r="Q747" s="350">
        <f t="shared" si="309"/>
        <v>935946.36787169054</v>
      </c>
      <c r="R747" s="350">
        <f t="shared" si="310"/>
        <v>2761851.1275781933</v>
      </c>
      <c r="S747" s="350">
        <f t="shared" si="311"/>
        <v>4359022.9182254709</v>
      </c>
      <c r="T747" s="350">
        <f t="shared" si="312"/>
        <v>5721977.3063458391</v>
      </c>
      <c r="U747" s="350">
        <f t="shared" si="313"/>
        <v>6846582.916116558</v>
      </c>
      <c r="V747" s="350">
        <f t="shared" si="314"/>
        <v>20625380.636137754</v>
      </c>
      <c r="W747" s="365"/>
      <c r="X747" s="377">
        <f t="shared" si="292"/>
        <v>0</v>
      </c>
      <c r="Y747" s="377">
        <f t="shared" si="293"/>
        <v>0</v>
      </c>
      <c r="Z747" s="377">
        <f t="shared" si="294"/>
        <v>0</v>
      </c>
      <c r="AA747" s="377">
        <f t="shared" si="295"/>
        <v>0</v>
      </c>
      <c r="AB747" s="377">
        <f t="shared" si="296"/>
        <v>0</v>
      </c>
      <c r="AC747" s="377">
        <f t="shared" si="297"/>
        <v>0</v>
      </c>
      <c r="AD747" s="376"/>
      <c r="AE747" s="332">
        <v>732</v>
      </c>
      <c r="AF747" s="350">
        <v>9857911.8241881616</v>
      </c>
      <c r="AG747" s="350">
        <v>19793239.531081207</v>
      </c>
      <c r="AH747" s="350">
        <v>29803758.329243958</v>
      </c>
      <c r="AI747" s="350">
        <v>39889800.138932645</v>
      </c>
      <c r="AJ747" s="350">
        <v>50052819.509213656</v>
      </c>
      <c r="AK747" s="348">
        <v>149397529.33265963</v>
      </c>
      <c r="AL747" s="369"/>
      <c r="AM747" s="350">
        <v>11097819.911519304</v>
      </c>
      <c r="AN747" s="350">
        <v>23445798.033501487</v>
      </c>
      <c r="AO747" s="350">
        <v>35412820.214403421</v>
      </c>
      <c r="AP747" s="350">
        <v>46991142.780146763</v>
      </c>
      <c r="AQ747" s="350">
        <v>58176059.265278436</v>
      </c>
      <c r="AR747" s="348">
        <v>175123640.20484942</v>
      </c>
      <c r="AS747" s="369"/>
      <c r="AT747" s="350">
        <f t="shared" si="315"/>
        <v>1239908.0873311423</v>
      </c>
      <c r="AU747" s="350">
        <f t="shared" si="298"/>
        <v>3652558.5024202801</v>
      </c>
      <c r="AV747" s="350">
        <f t="shared" si="299"/>
        <v>5609061.8851594627</v>
      </c>
      <c r="AW747" s="350">
        <f t="shared" si="300"/>
        <v>7101342.6412141174</v>
      </c>
      <c r="AX747" s="350">
        <f t="shared" si="301"/>
        <v>8123239.7560647801</v>
      </c>
      <c r="AY747" s="350">
        <f t="shared" si="302"/>
        <v>25726110.87218979</v>
      </c>
      <c r="AZ747" s="365"/>
      <c r="BA747" s="377">
        <f t="shared" si="303"/>
        <v>0</v>
      </c>
      <c r="BB747" s="377">
        <f t="shared" si="304"/>
        <v>0</v>
      </c>
      <c r="BC747" s="377">
        <f t="shared" si="305"/>
        <v>0</v>
      </c>
      <c r="BD747" s="377">
        <f t="shared" si="306"/>
        <v>0</v>
      </c>
      <c r="BE747" s="377">
        <f t="shared" si="307"/>
        <v>0</v>
      </c>
      <c r="BF747" s="377">
        <f t="shared" si="308"/>
        <v>0</v>
      </c>
      <c r="BG747" s="328"/>
    </row>
    <row r="748" spans="2:59">
      <c r="B748" s="332">
        <v>733</v>
      </c>
      <c r="C748" s="350">
        <v>8141742.0408191252</v>
      </c>
      <c r="D748" s="350">
        <v>15349774.411866855</v>
      </c>
      <c r="E748" s="350">
        <v>22612073.108717527</v>
      </c>
      <c r="F748" s="350">
        <v>29929137.422530077</v>
      </c>
      <c r="G748" s="350">
        <v>37302135.087795518</v>
      </c>
      <c r="H748" s="348">
        <v>113334862.07172912</v>
      </c>
      <c r="I748" s="369"/>
      <c r="J748" s="350">
        <v>9505201.5436673872</v>
      </c>
      <c r="K748" s="350">
        <v>19375645.549156308</v>
      </c>
      <c r="L748" s="350">
        <v>29019873.459093899</v>
      </c>
      <c r="M748" s="350">
        <v>38431059.203591868</v>
      </c>
      <c r="N748" s="350">
        <v>47604980.617179908</v>
      </c>
      <c r="O748" s="348">
        <v>143936760.37268937</v>
      </c>
      <c r="P748" s="369"/>
      <c r="Q748" s="350">
        <f t="shared" si="309"/>
        <v>1363459.502848262</v>
      </c>
      <c r="R748" s="350">
        <f t="shared" si="310"/>
        <v>4025871.1372894533</v>
      </c>
      <c r="S748" s="350">
        <f t="shared" si="311"/>
        <v>6407800.3503763713</v>
      </c>
      <c r="T748" s="350">
        <f t="shared" si="312"/>
        <v>8501921.7810617909</v>
      </c>
      <c r="U748" s="350">
        <f t="shared" si="313"/>
        <v>10302845.52938439</v>
      </c>
      <c r="V748" s="350">
        <f t="shared" si="314"/>
        <v>30601898.300960243</v>
      </c>
      <c r="W748" s="365"/>
      <c r="X748" s="377">
        <f t="shared" si="292"/>
        <v>0</v>
      </c>
      <c r="Y748" s="377">
        <f t="shared" si="293"/>
        <v>0</v>
      </c>
      <c r="Z748" s="377">
        <f t="shared" si="294"/>
        <v>0</v>
      </c>
      <c r="AA748" s="377">
        <f t="shared" si="295"/>
        <v>0</v>
      </c>
      <c r="AB748" s="377">
        <f t="shared" si="296"/>
        <v>0</v>
      </c>
      <c r="AC748" s="377">
        <f t="shared" si="297"/>
        <v>0</v>
      </c>
      <c r="AD748" s="376"/>
      <c r="AE748" s="332">
        <v>733</v>
      </c>
      <c r="AF748" s="350">
        <v>10310667.417131986</v>
      </c>
      <c r="AG748" s="350">
        <v>20702306.284770884</v>
      </c>
      <c r="AH748" s="350">
        <v>31172589.630940307</v>
      </c>
      <c r="AI748" s="350">
        <v>41721864.620377779</v>
      </c>
      <c r="AJ748" s="350">
        <v>52351652.60688854</v>
      </c>
      <c r="AK748" s="348">
        <v>156259080.5601095</v>
      </c>
      <c r="AL748" s="369"/>
      <c r="AM748" s="350">
        <v>11508356.485674061</v>
      </c>
      <c r="AN748" s="350">
        <v>24228523.686300732</v>
      </c>
      <c r="AO748" s="350">
        <v>36547268.302693501</v>
      </c>
      <c r="AP748" s="350">
        <v>48456519.055933721</v>
      </c>
      <c r="AQ748" s="350">
        <v>59951252.889743507</v>
      </c>
      <c r="AR748" s="348">
        <v>180691920.42034552</v>
      </c>
      <c r="AS748" s="369"/>
      <c r="AT748" s="350">
        <f t="shared" si="315"/>
        <v>1197689.0685420744</v>
      </c>
      <c r="AU748" s="350">
        <f t="shared" si="298"/>
        <v>3526217.4015298486</v>
      </c>
      <c r="AV748" s="350">
        <f t="shared" si="299"/>
        <v>5374678.6717531942</v>
      </c>
      <c r="AW748" s="350">
        <f t="shared" si="300"/>
        <v>6734654.4355559424</v>
      </c>
      <c r="AX748" s="350">
        <f t="shared" si="301"/>
        <v>7599600.2828549668</v>
      </c>
      <c r="AY748" s="350">
        <f t="shared" si="302"/>
        <v>24432839.860236019</v>
      </c>
      <c r="AZ748" s="365"/>
      <c r="BA748" s="377">
        <f t="shared" si="303"/>
        <v>0</v>
      </c>
      <c r="BB748" s="377">
        <f t="shared" si="304"/>
        <v>0</v>
      </c>
      <c r="BC748" s="377">
        <f t="shared" si="305"/>
        <v>0</v>
      </c>
      <c r="BD748" s="377">
        <f t="shared" si="306"/>
        <v>0</v>
      </c>
      <c r="BE748" s="377">
        <f t="shared" si="307"/>
        <v>0</v>
      </c>
      <c r="BF748" s="377">
        <f t="shared" si="308"/>
        <v>0</v>
      </c>
      <c r="BG748" s="328"/>
    </row>
    <row r="749" spans="2:59">
      <c r="B749" s="332">
        <v>734</v>
      </c>
      <c r="C749" s="350">
        <v>7221418.6947117476</v>
      </c>
      <c r="D749" s="350">
        <v>13416034.657958671</v>
      </c>
      <c r="E749" s="350">
        <v>19657222.875528984</v>
      </c>
      <c r="F749" s="350">
        <v>25945471.029540736</v>
      </c>
      <c r="G749" s="350">
        <v>32281808.168318804</v>
      </c>
      <c r="H749" s="348">
        <v>98521955.426058948</v>
      </c>
      <c r="I749" s="369"/>
      <c r="J749" s="350">
        <v>8349893.8626543619</v>
      </c>
      <c r="K749" s="350">
        <v>16747506.917831946</v>
      </c>
      <c r="L749" s="350">
        <v>24946309.794491049</v>
      </c>
      <c r="M749" s="350">
        <v>32940629.122716598</v>
      </c>
      <c r="N749" s="350">
        <v>40726944.883818209</v>
      </c>
      <c r="O749" s="348">
        <v>123711284.58151215</v>
      </c>
      <c r="P749" s="369"/>
      <c r="Q749" s="350">
        <f t="shared" si="309"/>
        <v>1128475.1679426143</v>
      </c>
      <c r="R749" s="350">
        <f t="shared" si="310"/>
        <v>3331472.2598732747</v>
      </c>
      <c r="S749" s="350">
        <f t="shared" si="311"/>
        <v>5289086.9189620651</v>
      </c>
      <c r="T749" s="350">
        <f t="shared" si="312"/>
        <v>6995158.093175862</v>
      </c>
      <c r="U749" s="350">
        <f t="shared" si="313"/>
        <v>8445136.7154994048</v>
      </c>
      <c r="V749" s="350">
        <f t="shared" si="314"/>
        <v>25189329.155453205</v>
      </c>
      <c r="W749" s="365"/>
      <c r="X749" s="377">
        <f t="shared" si="292"/>
        <v>0</v>
      </c>
      <c r="Y749" s="377">
        <f t="shared" si="293"/>
        <v>0</v>
      </c>
      <c r="Z749" s="377">
        <f t="shared" si="294"/>
        <v>0</v>
      </c>
      <c r="AA749" s="377">
        <f t="shared" si="295"/>
        <v>0</v>
      </c>
      <c r="AB749" s="377">
        <f t="shared" si="296"/>
        <v>0</v>
      </c>
      <c r="AC749" s="377">
        <f t="shared" si="297"/>
        <v>0</v>
      </c>
      <c r="AD749" s="376"/>
      <c r="AE749" s="332">
        <v>734</v>
      </c>
      <c r="AF749" s="350">
        <v>6936915.1219908725</v>
      </c>
      <c r="AG749" s="350">
        <v>13928307.035516854</v>
      </c>
      <c r="AH749" s="350">
        <v>20972610.176833291</v>
      </c>
      <c r="AI749" s="350">
        <v>28070058.114944018</v>
      </c>
      <c r="AJ749" s="350">
        <v>35221674.401651323</v>
      </c>
      <c r="AK749" s="348">
        <v>105129564.85093635</v>
      </c>
      <c r="AL749" s="369"/>
      <c r="AM749" s="350">
        <v>7781080.5112395249</v>
      </c>
      <c r="AN749" s="350">
        <v>16414511.398948994</v>
      </c>
      <c r="AO749" s="350">
        <v>24779018.394042928</v>
      </c>
      <c r="AP749" s="350">
        <v>32869160.366814449</v>
      </c>
      <c r="AQ749" s="350">
        <v>40681596.716513589</v>
      </c>
      <c r="AR749" s="348">
        <v>122525367.38755949</v>
      </c>
      <c r="AS749" s="369"/>
      <c r="AT749" s="350">
        <f t="shared" si="315"/>
        <v>844165.38924865238</v>
      </c>
      <c r="AU749" s="350">
        <f t="shared" si="298"/>
        <v>2486204.3634321392</v>
      </c>
      <c r="AV749" s="350">
        <f t="shared" si="299"/>
        <v>3806408.2172096372</v>
      </c>
      <c r="AW749" s="350">
        <f t="shared" si="300"/>
        <v>4799102.251870431</v>
      </c>
      <c r="AX749" s="350">
        <f t="shared" si="301"/>
        <v>5459922.3148622662</v>
      </c>
      <c r="AY749" s="350">
        <f t="shared" si="302"/>
        <v>17395802.536623135</v>
      </c>
      <c r="AZ749" s="365"/>
      <c r="BA749" s="377">
        <f t="shared" si="303"/>
        <v>0</v>
      </c>
      <c r="BB749" s="377">
        <f t="shared" si="304"/>
        <v>0</v>
      </c>
      <c r="BC749" s="377">
        <f t="shared" si="305"/>
        <v>0</v>
      </c>
      <c r="BD749" s="377">
        <f t="shared" si="306"/>
        <v>0</v>
      </c>
      <c r="BE749" s="377">
        <f t="shared" si="307"/>
        <v>0</v>
      </c>
      <c r="BF749" s="377">
        <f t="shared" si="308"/>
        <v>0</v>
      </c>
      <c r="BG749" s="328"/>
    </row>
    <row r="750" spans="2:59">
      <c r="B750" s="332">
        <v>735</v>
      </c>
      <c r="C750" s="350">
        <v>6341321.3612621203</v>
      </c>
      <c r="D750" s="350">
        <v>12014420.800069425</v>
      </c>
      <c r="E750" s="350">
        <v>17730249.837115962</v>
      </c>
      <c r="F750" s="350">
        <v>23489184.034789369</v>
      </c>
      <c r="G750" s="350">
        <v>29292134.888077065</v>
      </c>
      <c r="H750" s="348">
        <v>88867310.921313941</v>
      </c>
      <c r="I750" s="369"/>
      <c r="J750" s="350">
        <v>7074658.5191166606</v>
      </c>
      <c r="K750" s="350">
        <v>14175303.13090324</v>
      </c>
      <c r="L750" s="350">
        <v>21083442.888334934</v>
      </c>
      <c r="M750" s="350">
        <v>27793945.645771123</v>
      </c>
      <c r="N750" s="350">
        <v>34303304.786433853</v>
      </c>
      <c r="O750" s="348">
        <v>104430654.97055981</v>
      </c>
      <c r="P750" s="369"/>
      <c r="Q750" s="350">
        <f t="shared" si="309"/>
        <v>733337.15785454027</v>
      </c>
      <c r="R750" s="350">
        <f t="shared" si="310"/>
        <v>2160882.330833815</v>
      </c>
      <c r="S750" s="350">
        <f t="shared" si="311"/>
        <v>3353193.0512189716</v>
      </c>
      <c r="T750" s="350">
        <f t="shared" si="312"/>
        <v>4304761.610981755</v>
      </c>
      <c r="U750" s="350">
        <f t="shared" si="313"/>
        <v>5011169.8983567879</v>
      </c>
      <c r="V750" s="350">
        <f t="shared" si="314"/>
        <v>15563344.049245864</v>
      </c>
      <c r="W750" s="365"/>
      <c r="X750" s="377">
        <f t="shared" si="292"/>
        <v>0</v>
      </c>
      <c r="Y750" s="377">
        <f t="shared" si="293"/>
        <v>0</v>
      </c>
      <c r="Z750" s="377">
        <f t="shared" si="294"/>
        <v>0</v>
      </c>
      <c r="AA750" s="377">
        <f t="shared" si="295"/>
        <v>0</v>
      </c>
      <c r="AB750" s="377">
        <f t="shared" si="296"/>
        <v>0</v>
      </c>
      <c r="AC750" s="377">
        <f t="shared" si="297"/>
        <v>0</v>
      </c>
      <c r="AD750" s="376"/>
      <c r="AE750" s="332">
        <v>735</v>
      </c>
      <c r="AF750" s="350">
        <v>7069889.0320268255</v>
      </c>
      <c r="AG750" s="350">
        <v>14195299.122651169</v>
      </c>
      <c r="AH750" s="350">
        <v>21374634.697795417</v>
      </c>
      <c r="AI750" s="350">
        <v>28608133.803753842</v>
      </c>
      <c r="AJ750" s="350">
        <v>35896839.612820372</v>
      </c>
      <c r="AK750" s="348">
        <v>107144796.26904762</v>
      </c>
      <c r="AL750" s="369"/>
      <c r="AM750" s="350">
        <v>8450816.2049813103</v>
      </c>
      <c r="AN750" s="350">
        <v>18273048.879069969</v>
      </c>
      <c r="AO750" s="350">
        <v>27836794.185147926</v>
      </c>
      <c r="AP750" s="350">
        <v>37136359.453027099</v>
      </c>
      <c r="AQ750" s="350">
        <v>46168867.271346271</v>
      </c>
      <c r="AR750" s="348">
        <v>137865885.99357259</v>
      </c>
      <c r="AS750" s="369"/>
      <c r="AT750" s="350">
        <f t="shared" si="315"/>
        <v>1380927.1729544848</v>
      </c>
      <c r="AU750" s="350">
        <f t="shared" si="298"/>
        <v>4077749.7564188</v>
      </c>
      <c r="AV750" s="350">
        <f t="shared" si="299"/>
        <v>6462159.4873525091</v>
      </c>
      <c r="AW750" s="350">
        <f t="shared" si="300"/>
        <v>8528225.6492732577</v>
      </c>
      <c r="AX750" s="350">
        <f t="shared" si="301"/>
        <v>10272027.658525899</v>
      </c>
      <c r="AY750" s="350">
        <f t="shared" si="302"/>
        <v>30721089.724524975</v>
      </c>
      <c r="AZ750" s="365"/>
      <c r="BA750" s="377">
        <f t="shared" si="303"/>
        <v>0</v>
      </c>
      <c r="BB750" s="377">
        <f t="shared" si="304"/>
        <v>0</v>
      </c>
      <c r="BC750" s="377">
        <f t="shared" si="305"/>
        <v>0</v>
      </c>
      <c r="BD750" s="377">
        <f t="shared" si="306"/>
        <v>0</v>
      </c>
      <c r="BE750" s="377">
        <f t="shared" si="307"/>
        <v>0</v>
      </c>
      <c r="BF750" s="377">
        <f t="shared" si="308"/>
        <v>0</v>
      </c>
      <c r="BG750" s="328"/>
    </row>
    <row r="751" spans="2:59">
      <c r="B751" s="332">
        <v>736</v>
      </c>
      <c r="C751" s="350">
        <v>9387795.7300166488</v>
      </c>
      <c r="D751" s="350">
        <v>17805224.115057789</v>
      </c>
      <c r="E751" s="350">
        <v>26286058.357765894</v>
      </c>
      <c r="F751" s="350">
        <v>34830850.186042197</v>
      </c>
      <c r="G751" s="350">
        <v>43440949.627630077</v>
      </c>
      <c r="H751" s="348">
        <v>131750878.0165126</v>
      </c>
      <c r="I751" s="369"/>
      <c r="J751" s="350">
        <v>10669510.88490421</v>
      </c>
      <c r="K751" s="350">
        <v>21585647.268158503</v>
      </c>
      <c r="L751" s="350">
        <v>32217494.858664554</v>
      </c>
      <c r="M751" s="350">
        <v>42557534.535461545</v>
      </c>
      <c r="N751" s="350">
        <v>52600919.576705337</v>
      </c>
      <c r="O751" s="348">
        <v>159631107.12389416</v>
      </c>
      <c r="P751" s="369"/>
      <c r="Q751" s="350">
        <f t="shared" si="309"/>
        <v>1281715.1548875608</v>
      </c>
      <c r="R751" s="350">
        <f t="shared" si="310"/>
        <v>3780423.1531007141</v>
      </c>
      <c r="S751" s="350">
        <f t="shared" si="311"/>
        <v>5931436.5008986592</v>
      </c>
      <c r="T751" s="350">
        <f t="shared" si="312"/>
        <v>7726684.3494193479</v>
      </c>
      <c r="U751" s="350">
        <f t="shared" si="313"/>
        <v>9159969.9490752593</v>
      </c>
      <c r="V751" s="350">
        <f t="shared" si="314"/>
        <v>27880229.107381552</v>
      </c>
      <c r="W751" s="365"/>
      <c r="X751" s="377">
        <f t="shared" si="292"/>
        <v>0</v>
      </c>
      <c r="Y751" s="377">
        <f t="shared" si="293"/>
        <v>0</v>
      </c>
      <c r="Z751" s="377">
        <f t="shared" si="294"/>
        <v>0</v>
      </c>
      <c r="AA751" s="377">
        <f t="shared" si="295"/>
        <v>0</v>
      </c>
      <c r="AB751" s="377">
        <f t="shared" si="296"/>
        <v>0</v>
      </c>
      <c r="AC751" s="377">
        <f t="shared" si="297"/>
        <v>0</v>
      </c>
      <c r="AD751" s="376"/>
      <c r="AE751" s="332">
        <v>736</v>
      </c>
      <c r="AF751" s="350">
        <v>6229865.2267214814</v>
      </c>
      <c r="AG751" s="350">
        <v>12508654.660137095</v>
      </c>
      <c r="AH751" s="350">
        <v>18834962.307674997</v>
      </c>
      <c r="AI751" s="350">
        <v>25208997.931655966</v>
      </c>
      <c r="AJ751" s="350">
        <v>31631680.757653423</v>
      </c>
      <c r="AK751" s="348">
        <v>94414160.88384296</v>
      </c>
      <c r="AL751" s="369"/>
      <c r="AM751" s="350">
        <v>7361778.4955021534</v>
      </c>
      <c r="AN751" s="350">
        <v>15850002.360434329</v>
      </c>
      <c r="AO751" s="350">
        <v>24107907.71651591</v>
      </c>
      <c r="AP751" s="350">
        <v>32130502.303283311</v>
      </c>
      <c r="AQ751" s="350">
        <v>39915164.574704945</v>
      </c>
      <c r="AR751" s="348">
        <v>119365355.45044065</v>
      </c>
      <c r="AS751" s="369"/>
      <c r="AT751" s="350">
        <f t="shared" si="315"/>
        <v>1131913.268780672</v>
      </c>
      <c r="AU751" s="350">
        <f t="shared" si="298"/>
        <v>3341347.7002972346</v>
      </c>
      <c r="AV751" s="350">
        <f t="shared" si="299"/>
        <v>5272945.4088409133</v>
      </c>
      <c r="AW751" s="350">
        <f t="shared" si="300"/>
        <v>6921504.3716273457</v>
      </c>
      <c r="AX751" s="350">
        <f t="shared" si="301"/>
        <v>8283483.8170515224</v>
      </c>
      <c r="AY751" s="350">
        <f t="shared" si="302"/>
        <v>24951194.566597685</v>
      </c>
      <c r="AZ751" s="365"/>
      <c r="BA751" s="377">
        <f t="shared" si="303"/>
        <v>0</v>
      </c>
      <c r="BB751" s="377">
        <f t="shared" si="304"/>
        <v>0</v>
      </c>
      <c r="BC751" s="377">
        <f t="shared" si="305"/>
        <v>0</v>
      </c>
      <c r="BD751" s="377">
        <f t="shared" si="306"/>
        <v>0</v>
      </c>
      <c r="BE751" s="377">
        <f t="shared" si="307"/>
        <v>0</v>
      </c>
      <c r="BF751" s="377">
        <f t="shared" si="308"/>
        <v>0</v>
      </c>
      <c r="BG751" s="328"/>
    </row>
    <row r="752" spans="2:59">
      <c r="B752" s="332">
        <v>737</v>
      </c>
      <c r="C752" s="350">
        <v>6760137.3568934575</v>
      </c>
      <c r="D752" s="350">
        <v>12490070.906342238</v>
      </c>
      <c r="E752" s="350">
        <v>18263060.031901397</v>
      </c>
      <c r="F752" s="350">
        <v>24079576.834164873</v>
      </c>
      <c r="G752" s="350">
        <v>29940582.306188948</v>
      </c>
      <c r="H752" s="348">
        <v>91533427.435490906</v>
      </c>
      <c r="I752" s="369"/>
      <c r="J752" s="350">
        <v>7796539.6188281029</v>
      </c>
      <c r="K752" s="350">
        <v>15549624.438105676</v>
      </c>
      <c r="L752" s="350">
        <v>23127164.465724118</v>
      </c>
      <c r="M752" s="350">
        <v>30523591.163856979</v>
      </c>
      <c r="N752" s="350">
        <v>37735292.991265163</v>
      </c>
      <c r="O752" s="348">
        <v>114732212.67778005</v>
      </c>
      <c r="P752" s="369"/>
      <c r="Q752" s="350">
        <f t="shared" si="309"/>
        <v>1036402.2619346455</v>
      </c>
      <c r="R752" s="350">
        <f t="shared" si="310"/>
        <v>3059553.5317634381</v>
      </c>
      <c r="S752" s="350">
        <f t="shared" si="311"/>
        <v>4864104.4338227212</v>
      </c>
      <c r="T752" s="350">
        <f t="shared" si="312"/>
        <v>6444014.3296921067</v>
      </c>
      <c r="U752" s="350">
        <f t="shared" si="313"/>
        <v>7794710.6850762144</v>
      </c>
      <c r="V752" s="350">
        <f t="shared" si="314"/>
        <v>23198785.242289141</v>
      </c>
      <c r="W752" s="365"/>
      <c r="X752" s="377">
        <f t="shared" si="292"/>
        <v>0</v>
      </c>
      <c r="Y752" s="377">
        <f t="shared" si="293"/>
        <v>0</v>
      </c>
      <c r="Z752" s="377">
        <f t="shared" si="294"/>
        <v>0</v>
      </c>
      <c r="AA752" s="377">
        <f t="shared" si="295"/>
        <v>0</v>
      </c>
      <c r="AB752" s="377">
        <f t="shared" si="296"/>
        <v>0</v>
      </c>
      <c r="AC752" s="377">
        <f t="shared" si="297"/>
        <v>0</v>
      </c>
      <c r="AD752" s="376"/>
      <c r="AE752" s="332">
        <v>737</v>
      </c>
      <c r="AF752" s="350">
        <v>6559664.9988544146</v>
      </c>
      <c r="AG752" s="350">
        <v>13170844.178926053</v>
      </c>
      <c r="AH752" s="350">
        <v>19832057.116493609</v>
      </c>
      <c r="AI752" s="350">
        <v>26543524.678382229</v>
      </c>
      <c r="AJ752" s="350">
        <v>33306214.752595995</v>
      </c>
      <c r="AK752" s="348">
        <v>99412305.725252301</v>
      </c>
      <c r="AL752" s="369"/>
      <c r="AM752" s="350">
        <v>7733792.5170374457</v>
      </c>
      <c r="AN752" s="350">
        <v>16636562.447100591</v>
      </c>
      <c r="AO752" s="350">
        <v>25296290.803291161</v>
      </c>
      <c r="AP752" s="350">
        <v>33707726.050675631</v>
      </c>
      <c r="AQ752" s="350">
        <v>41868089.9288885</v>
      </c>
      <c r="AR752" s="348">
        <v>125242461.74699333</v>
      </c>
      <c r="AS752" s="369"/>
      <c r="AT752" s="350">
        <f t="shared" si="315"/>
        <v>1174127.5181830311</v>
      </c>
      <c r="AU752" s="350">
        <f t="shared" si="298"/>
        <v>3465718.2681745384</v>
      </c>
      <c r="AV752" s="350">
        <f t="shared" si="299"/>
        <v>5464233.6867975518</v>
      </c>
      <c r="AW752" s="350">
        <f t="shared" si="300"/>
        <v>7164201.3722934015</v>
      </c>
      <c r="AX752" s="350">
        <f t="shared" si="301"/>
        <v>8561875.1762925051</v>
      </c>
      <c r="AY752" s="350">
        <f t="shared" si="302"/>
        <v>25830156.021741033</v>
      </c>
      <c r="AZ752" s="365"/>
      <c r="BA752" s="377">
        <f t="shared" si="303"/>
        <v>0</v>
      </c>
      <c r="BB752" s="377">
        <f t="shared" si="304"/>
        <v>0</v>
      </c>
      <c r="BC752" s="377">
        <f t="shared" si="305"/>
        <v>0</v>
      </c>
      <c r="BD752" s="377">
        <f t="shared" si="306"/>
        <v>0</v>
      </c>
      <c r="BE752" s="377">
        <f t="shared" si="307"/>
        <v>0</v>
      </c>
      <c r="BF752" s="377">
        <f t="shared" si="308"/>
        <v>0</v>
      </c>
      <c r="BG752" s="328"/>
    </row>
    <row r="753" spans="2:59">
      <c r="B753" s="332">
        <v>738</v>
      </c>
      <c r="C753" s="350">
        <v>8050937.3327626735</v>
      </c>
      <c r="D753" s="350">
        <v>15266218.603095684</v>
      </c>
      <c r="E753" s="350">
        <v>22535849.219565406</v>
      </c>
      <c r="F753" s="350">
        <v>29860303.125644349</v>
      </c>
      <c r="G753" s="350">
        <v>37240737.982977189</v>
      </c>
      <c r="H753" s="348">
        <v>112954046.2640453</v>
      </c>
      <c r="I753" s="369"/>
      <c r="J753" s="350">
        <v>9083633.7045601048</v>
      </c>
      <c r="K753" s="350">
        <v>18311110.101363637</v>
      </c>
      <c r="L753" s="350">
        <v>27300632.376928773</v>
      </c>
      <c r="M753" s="350">
        <v>36045484.769762181</v>
      </c>
      <c r="N753" s="350">
        <v>44541144.554521337</v>
      </c>
      <c r="O753" s="348">
        <v>135282005.50713605</v>
      </c>
      <c r="P753" s="369"/>
      <c r="Q753" s="350">
        <f t="shared" si="309"/>
        <v>1032696.3717974313</v>
      </c>
      <c r="R753" s="350">
        <f t="shared" si="310"/>
        <v>3044891.4982679524</v>
      </c>
      <c r="S753" s="350">
        <f t="shared" si="311"/>
        <v>4764783.1573633663</v>
      </c>
      <c r="T753" s="350">
        <f t="shared" si="312"/>
        <v>6185181.6441178322</v>
      </c>
      <c r="U753" s="350">
        <f t="shared" si="313"/>
        <v>7300406.571544148</v>
      </c>
      <c r="V753" s="350">
        <f t="shared" si="314"/>
        <v>22327959.243090749</v>
      </c>
      <c r="W753" s="365"/>
      <c r="X753" s="377">
        <f t="shared" si="292"/>
        <v>0</v>
      </c>
      <c r="Y753" s="377">
        <f t="shared" si="293"/>
        <v>0</v>
      </c>
      <c r="Z753" s="377">
        <f t="shared" si="294"/>
        <v>0</v>
      </c>
      <c r="AA753" s="377">
        <f t="shared" si="295"/>
        <v>0</v>
      </c>
      <c r="AB753" s="377">
        <f t="shared" si="296"/>
        <v>0</v>
      </c>
      <c r="AC753" s="377">
        <f t="shared" si="297"/>
        <v>0</v>
      </c>
      <c r="AD753" s="376"/>
      <c r="AE753" s="332">
        <v>738</v>
      </c>
      <c r="AF753" s="350">
        <v>7605817.9434009623</v>
      </c>
      <c r="AG753" s="350">
        <v>15271365.687624071</v>
      </c>
      <c r="AH753" s="350">
        <v>22994926.707007524</v>
      </c>
      <c r="AI753" s="350">
        <v>30776757.092809349</v>
      </c>
      <c r="AJ753" s="350">
        <v>38617979.094405077</v>
      </c>
      <c r="AK753" s="348">
        <v>115266846.52524698</v>
      </c>
      <c r="AL753" s="369"/>
      <c r="AM753" s="350">
        <v>9157330.7819305956</v>
      </c>
      <c r="AN753" s="350">
        <v>19853682.612549536</v>
      </c>
      <c r="AO753" s="350">
        <v>30273926.471003763</v>
      </c>
      <c r="AP753" s="350">
        <v>40411919.517029494</v>
      </c>
      <c r="AQ753" s="350">
        <v>50264632.965321958</v>
      </c>
      <c r="AR753" s="348">
        <v>149961492.34783536</v>
      </c>
      <c r="AS753" s="369"/>
      <c r="AT753" s="350">
        <f t="shared" si="315"/>
        <v>1551512.8385296334</v>
      </c>
      <c r="AU753" s="350">
        <f t="shared" si="298"/>
        <v>4582316.9249254651</v>
      </c>
      <c r="AV753" s="350">
        <f t="shared" si="299"/>
        <v>7278999.7639962398</v>
      </c>
      <c r="AW753" s="350">
        <f t="shared" si="300"/>
        <v>9635162.4242201447</v>
      </c>
      <c r="AX753" s="350">
        <f t="shared" si="301"/>
        <v>11646653.870916881</v>
      </c>
      <c r="AY753" s="350">
        <f t="shared" si="302"/>
        <v>34694645.822588384</v>
      </c>
      <c r="AZ753" s="365"/>
      <c r="BA753" s="377">
        <f t="shared" si="303"/>
        <v>0</v>
      </c>
      <c r="BB753" s="377">
        <f t="shared" si="304"/>
        <v>0</v>
      </c>
      <c r="BC753" s="377">
        <f t="shared" si="305"/>
        <v>0</v>
      </c>
      <c r="BD753" s="377">
        <f t="shared" si="306"/>
        <v>0</v>
      </c>
      <c r="BE753" s="377">
        <f t="shared" si="307"/>
        <v>0</v>
      </c>
      <c r="BF753" s="377">
        <f t="shared" si="308"/>
        <v>0</v>
      </c>
      <c r="BG753" s="328"/>
    </row>
    <row r="754" spans="2:59">
      <c r="B754" s="332">
        <v>739</v>
      </c>
      <c r="C754" s="350">
        <v>6906532.0333973337</v>
      </c>
      <c r="D754" s="350">
        <v>13149974.816156924</v>
      </c>
      <c r="E754" s="350">
        <v>19440463.783941191</v>
      </c>
      <c r="F754" s="350">
        <v>25778393.373411063</v>
      </c>
      <c r="G754" s="350">
        <v>32164758.500567909</v>
      </c>
      <c r="H754" s="348">
        <v>97440122.507474422</v>
      </c>
      <c r="I754" s="369"/>
      <c r="J754" s="350">
        <v>7871031.5965766041</v>
      </c>
      <c r="K754" s="350">
        <v>15995019.77653135</v>
      </c>
      <c r="L754" s="350">
        <v>23910197.965298392</v>
      </c>
      <c r="M754" s="350">
        <v>31610929.096295714</v>
      </c>
      <c r="N754" s="350">
        <v>39093582.433273554</v>
      </c>
      <c r="O754" s="348">
        <v>118480760.86797562</v>
      </c>
      <c r="P754" s="369"/>
      <c r="Q754" s="350">
        <f t="shared" si="309"/>
        <v>964499.56317927036</v>
      </c>
      <c r="R754" s="350">
        <f t="shared" si="310"/>
        <v>2845044.9603744261</v>
      </c>
      <c r="S754" s="350">
        <f t="shared" si="311"/>
        <v>4469734.1813572012</v>
      </c>
      <c r="T754" s="350">
        <f t="shared" si="312"/>
        <v>5832535.7228846513</v>
      </c>
      <c r="U754" s="350">
        <f t="shared" si="313"/>
        <v>6928823.9327056445</v>
      </c>
      <c r="V754" s="350">
        <f t="shared" si="314"/>
        <v>21040638.3605012</v>
      </c>
      <c r="W754" s="365"/>
      <c r="X754" s="377">
        <f t="shared" si="292"/>
        <v>0</v>
      </c>
      <c r="Y754" s="377">
        <f t="shared" si="293"/>
        <v>0</v>
      </c>
      <c r="Z754" s="377">
        <f t="shared" si="294"/>
        <v>0</v>
      </c>
      <c r="AA754" s="377">
        <f t="shared" si="295"/>
        <v>0</v>
      </c>
      <c r="AB754" s="377">
        <f t="shared" si="296"/>
        <v>0</v>
      </c>
      <c r="AC754" s="377">
        <f t="shared" si="297"/>
        <v>0</v>
      </c>
      <c r="AD754" s="376"/>
      <c r="AE754" s="332">
        <v>739</v>
      </c>
      <c r="AF754" s="350">
        <v>4066200.7208287204</v>
      </c>
      <c r="AG754" s="350">
        <v>8164334.0176098645</v>
      </c>
      <c r="AH754" s="350">
        <v>12293482.206284299</v>
      </c>
      <c r="AI754" s="350">
        <v>16453782.197630819</v>
      </c>
      <c r="AJ754" s="350">
        <v>20645833.965413414</v>
      </c>
      <c r="AK754" s="348">
        <v>61623633.107767113</v>
      </c>
      <c r="AL754" s="369"/>
      <c r="AM754" s="350">
        <v>4895914.1765501006</v>
      </c>
      <c r="AN754" s="350">
        <v>10614854.976083625</v>
      </c>
      <c r="AO754" s="350">
        <v>16186191.1482733</v>
      </c>
      <c r="AP754" s="350">
        <v>21606638.555190712</v>
      </c>
      <c r="AQ754" s="350">
        <v>26874578.207513846</v>
      </c>
      <c r="AR754" s="348">
        <v>80178177.063611597</v>
      </c>
      <c r="AS754" s="369"/>
      <c r="AT754" s="350">
        <f t="shared" si="315"/>
        <v>829713.45572138019</v>
      </c>
      <c r="AU754" s="350">
        <f t="shared" si="298"/>
        <v>2450520.9584737606</v>
      </c>
      <c r="AV754" s="350">
        <f t="shared" si="299"/>
        <v>3892708.9419890009</v>
      </c>
      <c r="AW754" s="350">
        <f t="shared" si="300"/>
        <v>5152856.3575598933</v>
      </c>
      <c r="AX754" s="350">
        <f t="shared" si="301"/>
        <v>6228744.2421004325</v>
      </c>
      <c r="AY754" s="350">
        <f t="shared" si="302"/>
        <v>18554543.955844484</v>
      </c>
      <c r="AZ754" s="365"/>
      <c r="BA754" s="377">
        <f t="shared" si="303"/>
        <v>0</v>
      </c>
      <c r="BB754" s="377">
        <f t="shared" si="304"/>
        <v>0</v>
      </c>
      <c r="BC754" s="377">
        <f t="shared" si="305"/>
        <v>0</v>
      </c>
      <c r="BD754" s="377">
        <f t="shared" si="306"/>
        <v>0</v>
      </c>
      <c r="BE754" s="377">
        <f t="shared" si="307"/>
        <v>0</v>
      </c>
      <c r="BF754" s="377">
        <f t="shared" si="308"/>
        <v>0</v>
      </c>
      <c r="BG754" s="328"/>
    </row>
    <row r="755" spans="2:59">
      <c r="B755" s="332">
        <v>740</v>
      </c>
      <c r="C755" s="350">
        <v>7495594.2401289195</v>
      </c>
      <c r="D755" s="350">
        <v>13931822.248580476</v>
      </c>
      <c r="E755" s="350">
        <v>20416441.14585156</v>
      </c>
      <c r="F755" s="350">
        <v>26949955.680729274</v>
      </c>
      <c r="G755" s="350">
        <v>33533434.187609594</v>
      </c>
      <c r="H755" s="348">
        <v>102327247.50289983</v>
      </c>
      <c r="I755" s="369"/>
      <c r="J755" s="350">
        <v>8609082.5395748224</v>
      </c>
      <c r="K755" s="350">
        <v>17218261.909919344</v>
      </c>
      <c r="L755" s="350">
        <v>25620128.934015304</v>
      </c>
      <c r="M755" s="350">
        <v>33808771.232618228</v>
      </c>
      <c r="N755" s="350">
        <v>41780436.988054477</v>
      </c>
      <c r="O755" s="348">
        <v>127036681.60418218</v>
      </c>
      <c r="P755" s="369"/>
      <c r="Q755" s="350">
        <f t="shared" si="309"/>
        <v>1113488.2994459029</v>
      </c>
      <c r="R755" s="350">
        <f t="shared" si="310"/>
        <v>3286439.6613388676</v>
      </c>
      <c r="S755" s="350">
        <f t="shared" si="311"/>
        <v>5203687.7881637439</v>
      </c>
      <c r="T755" s="350">
        <f t="shared" si="312"/>
        <v>6858815.5518889539</v>
      </c>
      <c r="U755" s="350">
        <f t="shared" si="313"/>
        <v>8247002.8004448824</v>
      </c>
      <c r="V755" s="350">
        <f t="shared" si="314"/>
        <v>24709434.101282358</v>
      </c>
      <c r="W755" s="365"/>
      <c r="X755" s="377">
        <f t="shared" si="292"/>
        <v>0</v>
      </c>
      <c r="Y755" s="377">
        <f t="shared" si="293"/>
        <v>0</v>
      </c>
      <c r="Z755" s="377">
        <f t="shared" si="294"/>
        <v>0</v>
      </c>
      <c r="AA755" s="377">
        <f t="shared" si="295"/>
        <v>0</v>
      </c>
      <c r="AB755" s="377">
        <f t="shared" si="296"/>
        <v>0</v>
      </c>
      <c r="AC755" s="377">
        <f t="shared" si="297"/>
        <v>0</v>
      </c>
      <c r="AD755" s="376"/>
      <c r="AE755" s="332">
        <v>740</v>
      </c>
      <c r="AF755" s="350">
        <v>5086681.1541537857</v>
      </c>
      <c r="AG755" s="350">
        <v>10213308.893204067</v>
      </c>
      <c r="AH755" s="350">
        <v>15378735.225074323</v>
      </c>
      <c r="AI755" s="350">
        <v>20583131.420571409</v>
      </c>
      <c r="AJ755" s="350">
        <v>25827248.026814811</v>
      </c>
      <c r="AK755" s="348">
        <v>77089104.719818398</v>
      </c>
      <c r="AL755" s="369"/>
      <c r="AM755" s="350">
        <v>5979283.0787868854</v>
      </c>
      <c r="AN755" s="350">
        <v>12847787.381881755</v>
      </c>
      <c r="AO755" s="350">
        <v>19527290.196326926</v>
      </c>
      <c r="AP755" s="350">
        <v>26013724.283445999</v>
      </c>
      <c r="AQ755" s="350">
        <v>32304917.144486196</v>
      </c>
      <c r="AR755" s="348">
        <v>96673002.084927768</v>
      </c>
      <c r="AS755" s="369"/>
      <c r="AT755" s="350">
        <f t="shared" si="315"/>
        <v>892601.9246330997</v>
      </c>
      <c r="AU755" s="350">
        <f t="shared" si="298"/>
        <v>2634478.4886776879</v>
      </c>
      <c r="AV755" s="350">
        <f t="shared" si="299"/>
        <v>4148554.9712526035</v>
      </c>
      <c r="AW755" s="350">
        <f t="shared" si="300"/>
        <v>5430592.8628745899</v>
      </c>
      <c r="AX755" s="350">
        <f t="shared" si="301"/>
        <v>6477669.1176713854</v>
      </c>
      <c r="AY755" s="350">
        <f t="shared" si="302"/>
        <v>19583897.365109369</v>
      </c>
      <c r="AZ755" s="365"/>
      <c r="BA755" s="377">
        <f t="shared" si="303"/>
        <v>0</v>
      </c>
      <c r="BB755" s="377">
        <f t="shared" si="304"/>
        <v>0</v>
      </c>
      <c r="BC755" s="377">
        <f t="shared" si="305"/>
        <v>0</v>
      </c>
      <c r="BD755" s="377">
        <f t="shared" si="306"/>
        <v>0</v>
      </c>
      <c r="BE755" s="377">
        <f t="shared" si="307"/>
        <v>0</v>
      </c>
      <c r="BF755" s="377">
        <f t="shared" si="308"/>
        <v>0</v>
      </c>
      <c r="BG755" s="328"/>
    </row>
    <row r="756" spans="2:59">
      <c r="B756" s="332">
        <v>741</v>
      </c>
      <c r="C756" s="350">
        <v>9411622.2901329566</v>
      </c>
      <c r="D756" s="350">
        <v>17788411.95237042</v>
      </c>
      <c r="E756" s="350">
        <v>26228281.482614532</v>
      </c>
      <c r="F756" s="350">
        <v>34731798.002150007</v>
      </c>
      <c r="G756" s="350">
        <v>43300312.877488598</v>
      </c>
      <c r="H756" s="348">
        <v>131460426.60475652</v>
      </c>
      <c r="I756" s="369"/>
      <c r="J756" s="350">
        <v>10674741.902103599</v>
      </c>
      <c r="K756" s="350">
        <v>21513808.043113954</v>
      </c>
      <c r="L756" s="350">
        <v>32086285.041176178</v>
      </c>
      <c r="M756" s="350">
        <v>42384065.139278755</v>
      </c>
      <c r="N756" s="350">
        <v>52401648.22665371</v>
      </c>
      <c r="O756" s="348">
        <v>159060548.35232621</v>
      </c>
      <c r="P756" s="369"/>
      <c r="Q756" s="350">
        <f t="shared" si="309"/>
        <v>1263119.6119706426</v>
      </c>
      <c r="R756" s="350">
        <f t="shared" si="310"/>
        <v>3725396.0907435343</v>
      </c>
      <c r="S756" s="350">
        <f t="shared" si="311"/>
        <v>5858003.5585616454</v>
      </c>
      <c r="T756" s="350">
        <f t="shared" si="312"/>
        <v>7652267.137128748</v>
      </c>
      <c r="U756" s="350">
        <f t="shared" si="313"/>
        <v>9101335.3491651118</v>
      </c>
      <c r="V756" s="350">
        <f t="shared" si="314"/>
        <v>27600121.747569695</v>
      </c>
      <c r="W756" s="365"/>
      <c r="X756" s="377">
        <f t="shared" si="292"/>
        <v>0</v>
      </c>
      <c r="Y756" s="377">
        <f t="shared" si="293"/>
        <v>0</v>
      </c>
      <c r="Z756" s="377">
        <f t="shared" si="294"/>
        <v>0</v>
      </c>
      <c r="AA756" s="377">
        <f t="shared" si="295"/>
        <v>0</v>
      </c>
      <c r="AB756" s="377">
        <f t="shared" si="296"/>
        <v>0</v>
      </c>
      <c r="AC756" s="377">
        <f t="shared" si="297"/>
        <v>0</v>
      </c>
      <c r="AD756" s="376"/>
      <c r="AE756" s="332">
        <v>741</v>
      </c>
      <c r="AF756" s="350">
        <v>8093243.9934965149</v>
      </c>
      <c r="AG756" s="350">
        <v>16250045.628700189</v>
      </c>
      <c r="AH756" s="350">
        <v>24468578.374775626</v>
      </c>
      <c r="AI756" s="350">
        <v>32749114.734831795</v>
      </c>
      <c r="AJ756" s="350">
        <v>41092848.878658883</v>
      </c>
      <c r="AK756" s="348">
        <v>122653831.61046302</v>
      </c>
      <c r="AL756" s="369"/>
      <c r="AM756" s="350">
        <v>9559927.1075286139</v>
      </c>
      <c r="AN756" s="350">
        <v>20579563.936302122</v>
      </c>
      <c r="AO756" s="350">
        <v>31299879.509909786</v>
      </c>
      <c r="AP756" s="350">
        <v>41714389.433881804</v>
      </c>
      <c r="AQ756" s="350">
        <v>51819684.208260156</v>
      </c>
      <c r="AR756" s="348">
        <v>154973444.19588247</v>
      </c>
      <c r="AS756" s="369"/>
      <c r="AT756" s="350">
        <f t="shared" si="315"/>
        <v>1466683.114032099</v>
      </c>
      <c r="AU756" s="350">
        <f t="shared" si="298"/>
        <v>4329518.3076019324</v>
      </c>
      <c r="AV756" s="350">
        <f t="shared" si="299"/>
        <v>6831301.1351341605</v>
      </c>
      <c r="AW756" s="350">
        <f t="shared" si="300"/>
        <v>8965274.6990500093</v>
      </c>
      <c r="AX756" s="350">
        <f t="shared" si="301"/>
        <v>10726835.329601273</v>
      </c>
      <c r="AY756" s="350">
        <f t="shared" si="302"/>
        <v>32319612.585419446</v>
      </c>
      <c r="AZ756" s="365"/>
      <c r="BA756" s="377">
        <f t="shared" si="303"/>
        <v>0</v>
      </c>
      <c r="BB756" s="377">
        <f t="shared" si="304"/>
        <v>0</v>
      </c>
      <c r="BC756" s="377">
        <f t="shared" si="305"/>
        <v>0</v>
      </c>
      <c r="BD756" s="377">
        <f t="shared" si="306"/>
        <v>0</v>
      </c>
      <c r="BE756" s="377">
        <f t="shared" si="307"/>
        <v>0</v>
      </c>
      <c r="BF756" s="377">
        <f t="shared" si="308"/>
        <v>0</v>
      </c>
      <c r="BG756" s="328"/>
    </row>
    <row r="757" spans="2:59">
      <c r="B757" s="332">
        <v>742</v>
      </c>
      <c r="C757" s="350">
        <v>8705922.9284136184</v>
      </c>
      <c r="D757" s="350">
        <v>16273505.945629742</v>
      </c>
      <c r="E757" s="350">
        <v>23898016.779919736</v>
      </c>
      <c r="F757" s="350">
        <v>31580020.900743563</v>
      </c>
      <c r="G757" s="350">
        <v>39320762.249122113</v>
      </c>
      <c r="H757" s="348">
        <v>119778228.80382878</v>
      </c>
      <c r="I757" s="369"/>
      <c r="J757" s="350">
        <v>9888136.0772380885</v>
      </c>
      <c r="K757" s="350">
        <v>19760965.311769877</v>
      </c>
      <c r="L757" s="350">
        <v>29390972.197222039</v>
      </c>
      <c r="M757" s="350">
        <v>38771012.735644817</v>
      </c>
      <c r="N757" s="350">
        <v>47896327.040588841</v>
      </c>
      <c r="O757" s="348">
        <v>145707413.36246365</v>
      </c>
      <c r="P757" s="369"/>
      <c r="Q757" s="350">
        <f t="shared" si="309"/>
        <v>1182213.1488244701</v>
      </c>
      <c r="R757" s="350">
        <f t="shared" si="310"/>
        <v>3487459.3661401346</v>
      </c>
      <c r="S757" s="350">
        <f t="shared" si="311"/>
        <v>5492955.417302303</v>
      </c>
      <c r="T757" s="350">
        <f t="shared" si="312"/>
        <v>7190991.8349012546</v>
      </c>
      <c r="U757" s="350">
        <f t="shared" si="313"/>
        <v>8575564.7914667279</v>
      </c>
      <c r="V757" s="350">
        <f t="shared" si="314"/>
        <v>25929184.558634877</v>
      </c>
      <c r="W757" s="365"/>
      <c r="X757" s="377">
        <f t="shared" si="292"/>
        <v>0</v>
      </c>
      <c r="Y757" s="377">
        <f t="shared" si="293"/>
        <v>0</v>
      </c>
      <c r="Z757" s="377">
        <f t="shared" si="294"/>
        <v>0</v>
      </c>
      <c r="AA757" s="377">
        <f t="shared" si="295"/>
        <v>0</v>
      </c>
      <c r="AB757" s="377">
        <f t="shared" si="296"/>
        <v>0</v>
      </c>
      <c r="AC757" s="377">
        <f t="shared" si="297"/>
        <v>0</v>
      </c>
      <c r="AD757" s="376"/>
      <c r="AE757" s="332">
        <v>742</v>
      </c>
      <c r="AF757" s="350">
        <v>5428505.8828232437</v>
      </c>
      <c r="AG757" s="350">
        <v>10899642.759124868</v>
      </c>
      <c r="AH757" s="350">
        <v>16412185.491816076</v>
      </c>
      <c r="AI757" s="350">
        <v>21966316.861093696</v>
      </c>
      <c r="AJ757" s="350">
        <v>27562837.85080751</v>
      </c>
      <c r="AK757" s="348">
        <v>82269488.845665395</v>
      </c>
      <c r="AL757" s="369"/>
      <c r="AM757" s="350">
        <v>6311251.0854972759</v>
      </c>
      <c r="AN757" s="350">
        <v>13504034.543124653</v>
      </c>
      <c r="AO757" s="350">
        <v>20493023.905264154</v>
      </c>
      <c r="AP757" s="350">
        <v>27273898.368205339</v>
      </c>
      <c r="AQ757" s="350">
        <v>33844268.710314363</v>
      </c>
      <c r="AR757" s="348">
        <v>101426476.61240578</v>
      </c>
      <c r="AS757" s="369"/>
      <c r="AT757" s="350">
        <f t="shared" si="315"/>
        <v>882745.20267403219</v>
      </c>
      <c r="AU757" s="350">
        <f t="shared" si="298"/>
        <v>2604391.7839997858</v>
      </c>
      <c r="AV757" s="350">
        <f t="shared" si="299"/>
        <v>4080838.4134480786</v>
      </c>
      <c r="AW757" s="350">
        <f t="shared" si="300"/>
        <v>5307581.5071116425</v>
      </c>
      <c r="AX757" s="350">
        <f t="shared" si="301"/>
        <v>6281430.8595068529</v>
      </c>
      <c r="AY757" s="350">
        <f t="shared" si="302"/>
        <v>19156987.766740382</v>
      </c>
      <c r="AZ757" s="365"/>
      <c r="BA757" s="377">
        <f t="shared" si="303"/>
        <v>0</v>
      </c>
      <c r="BB757" s="377">
        <f t="shared" si="304"/>
        <v>0</v>
      </c>
      <c r="BC757" s="377">
        <f t="shared" si="305"/>
        <v>0</v>
      </c>
      <c r="BD757" s="377">
        <f t="shared" si="306"/>
        <v>0</v>
      </c>
      <c r="BE757" s="377">
        <f t="shared" si="307"/>
        <v>0</v>
      </c>
      <c r="BF757" s="377">
        <f t="shared" si="308"/>
        <v>0</v>
      </c>
      <c r="BG757" s="328"/>
    </row>
    <row r="758" spans="2:59">
      <c r="B758" s="332">
        <v>743</v>
      </c>
      <c r="C758" s="350">
        <v>8104990.2411203943</v>
      </c>
      <c r="D758" s="350">
        <v>15199161.094999935</v>
      </c>
      <c r="E758" s="350">
        <v>22346714.661470093</v>
      </c>
      <c r="F758" s="350">
        <v>29548166.331677273</v>
      </c>
      <c r="G758" s="350">
        <v>36804675.830731153</v>
      </c>
      <c r="H758" s="348">
        <v>112003708.15999885</v>
      </c>
      <c r="I758" s="369"/>
      <c r="J758" s="350">
        <v>9183177.5395645145</v>
      </c>
      <c r="K758" s="350">
        <v>18379263.259373151</v>
      </c>
      <c r="L758" s="350">
        <v>27337447.026158344</v>
      </c>
      <c r="M758" s="350">
        <v>36051387.625239499</v>
      </c>
      <c r="N758" s="350">
        <v>44516962.499937437</v>
      </c>
      <c r="O758" s="348">
        <v>135468237.95027295</v>
      </c>
      <c r="P758" s="369"/>
      <c r="Q758" s="350">
        <f t="shared" si="309"/>
        <v>1078187.2984441202</v>
      </c>
      <c r="R758" s="350">
        <f t="shared" si="310"/>
        <v>3180102.1643732153</v>
      </c>
      <c r="S758" s="350">
        <f t="shared" si="311"/>
        <v>4990732.3646882512</v>
      </c>
      <c r="T758" s="350">
        <f t="shared" si="312"/>
        <v>6503221.293562226</v>
      </c>
      <c r="U758" s="350">
        <f t="shared" si="313"/>
        <v>7712286.669206284</v>
      </c>
      <c r="V758" s="350">
        <f t="shared" si="314"/>
        <v>23464529.790274099</v>
      </c>
      <c r="W758" s="365"/>
      <c r="X758" s="377">
        <f t="shared" si="292"/>
        <v>0</v>
      </c>
      <c r="Y758" s="377">
        <f t="shared" si="293"/>
        <v>0</v>
      </c>
      <c r="Z758" s="377">
        <f t="shared" si="294"/>
        <v>0</v>
      </c>
      <c r="AA758" s="377">
        <f t="shared" si="295"/>
        <v>0</v>
      </c>
      <c r="AB758" s="377">
        <f t="shared" si="296"/>
        <v>0</v>
      </c>
      <c r="AC758" s="377">
        <f t="shared" si="297"/>
        <v>0</v>
      </c>
      <c r="AD758" s="376"/>
      <c r="AE758" s="332">
        <v>743</v>
      </c>
      <c r="AF758" s="350">
        <v>8138773.8358520111</v>
      </c>
      <c r="AG758" s="350">
        <v>16341462.867120147</v>
      </c>
      <c r="AH758" s="350">
        <v>24606230.28752679</v>
      </c>
      <c r="AI758" s="350">
        <v>32933350.133190863</v>
      </c>
      <c r="AJ758" s="350">
        <v>41324023.291896269</v>
      </c>
      <c r="AK758" s="348">
        <v>123343840.41558607</v>
      </c>
      <c r="AL758" s="369"/>
      <c r="AM758" s="350">
        <v>9591589.5689471848</v>
      </c>
      <c r="AN758" s="350">
        <v>20629740.770481162</v>
      </c>
      <c r="AO758" s="350">
        <v>31366224.382797003</v>
      </c>
      <c r="AP758" s="350">
        <v>41794525.788339488</v>
      </c>
      <c r="AQ758" s="350">
        <v>51911193.905665137</v>
      </c>
      <c r="AR758" s="348">
        <v>155293274.41622996</v>
      </c>
      <c r="AS758" s="369"/>
      <c r="AT758" s="350">
        <f t="shared" si="315"/>
        <v>1452815.7330951737</v>
      </c>
      <c r="AU758" s="350">
        <f t="shared" si="298"/>
        <v>4288277.903361015</v>
      </c>
      <c r="AV758" s="350">
        <f t="shared" si="299"/>
        <v>6759994.0952702127</v>
      </c>
      <c r="AW758" s="350">
        <f t="shared" si="300"/>
        <v>8861175.6551486254</v>
      </c>
      <c r="AX758" s="350">
        <f t="shared" si="301"/>
        <v>10587170.613768868</v>
      </c>
      <c r="AY758" s="350">
        <f t="shared" si="302"/>
        <v>31949434.000643894</v>
      </c>
      <c r="AZ758" s="365"/>
      <c r="BA758" s="377">
        <f t="shared" si="303"/>
        <v>0</v>
      </c>
      <c r="BB758" s="377">
        <f t="shared" si="304"/>
        <v>0</v>
      </c>
      <c r="BC758" s="377">
        <f t="shared" si="305"/>
        <v>0</v>
      </c>
      <c r="BD758" s="377">
        <f t="shared" si="306"/>
        <v>0</v>
      </c>
      <c r="BE758" s="377">
        <f t="shared" si="307"/>
        <v>0</v>
      </c>
      <c r="BF758" s="377">
        <f t="shared" si="308"/>
        <v>0</v>
      </c>
      <c r="BG758" s="328"/>
    </row>
    <row r="759" spans="2:59">
      <c r="B759" s="332">
        <v>744</v>
      </c>
      <c r="C759" s="350">
        <v>6496988.9288093708</v>
      </c>
      <c r="D759" s="350">
        <v>12269390.774722327</v>
      </c>
      <c r="E759" s="350">
        <v>18085257.325463019</v>
      </c>
      <c r="F759" s="350">
        <v>23944982.381532878</v>
      </c>
      <c r="G759" s="350">
        <v>29849498.467891287</v>
      </c>
      <c r="H759" s="348">
        <v>90646117.878418878</v>
      </c>
      <c r="I759" s="369"/>
      <c r="J759" s="350">
        <v>7333561.2063857857</v>
      </c>
      <c r="K759" s="350">
        <v>14736209.498103529</v>
      </c>
      <c r="L759" s="350">
        <v>21950915.364003811</v>
      </c>
      <c r="M759" s="350">
        <v>28972248.848776691</v>
      </c>
      <c r="N759" s="350">
        <v>35796536.641893566</v>
      </c>
      <c r="O759" s="348">
        <v>108789471.55916339</v>
      </c>
      <c r="P759" s="369"/>
      <c r="Q759" s="350">
        <f t="shared" si="309"/>
        <v>836572.27757641487</v>
      </c>
      <c r="R759" s="350">
        <f t="shared" si="310"/>
        <v>2466818.7233812027</v>
      </c>
      <c r="S759" s="350">
        <f t="shared" si="311"/>
        <v>3865658.0385407917</v>
      </c>
      <c r="T759" s="350">
        <f t="shared" si="312"/>
        <v>5027266.467243813</v>
      </c>
      <c r="U759" s="350">
        <f t="shared" si="313"/>
        <v>5947038.1740022786</v>
      </c>
      <c r="V759" s="350">
        <f t="shared" si="314"/>
        <v>18143353.680744514</v>
      </c>
      <c r="W759" s="365"/>
      <c r="X759" s="377">
        <f t="shared" si="292"/>
        <v>0</v>
      </c>
      <c r="Y759" s="377">
        <f t="shared" si="293"/>
        <v>0</v>
      </c>
      <c r="Z759" s="377">
        <f t="shared" si="294"/>
        <v>0</v>
      </c>
      <c r="AA759" s="377">
        <f t="shared" si="295"/>
        <v>0</v>
      </c>
      <c r="AB759" s="377">
        <f t="shared" si="296"/>
        <v>0</v>
      </c>
      <c r="AC759" s="377">
        <f t="shared" si="297"/>
        <v>0</v>
      </c>
      <c r="AD759" s="376"/>
      <c r="AE759" s="332">
        <v>744</v>
      </c>
      <c r="AF759" s="350">
        <v>5651386.1377585148</v>
      </c>
      <c r="AG759" s="350">
        <v>11347153.586099176</v>
      </c>
      <c r="AH759" s="350">
        <v>17086026.907008298</v>
      </c>
      <c r="AI759" s="350">
        <v>22868196.385159582</v>
      </c>
      <c r="AJ759" s="350">
        <v>28694495.890704956</v>
      </c>
      <c r="AK759" s="348">
        <v>85647258.906730533</v>
      </c>
      <c r="AL759" s="369"/>
      <c r="AM759" s="350">
        <v>6643002.1855683699</v>
      </c>
      <c r="AN759" s="350">
        <v>14273867.12568102</v>
      </c>
      <c r="AO759" s="350">
        <v>21694745.938301228</v>
      </c>
      <c r="AP759" s="350">
        <v>28901119.877028562</v>
      </c>
      <c r="AQ759" s="350">
        <v>35890575.179805785</v>
      </c>
      <c r="AR759" s="348">
        <v>107403310.30638497</v>
      </c>
      <c r="AS759" s="369"/>
      <c r="AT759" s="350">
        <f t="shared" si="315"/>
        <v>991616.04780985508</v>
      </c>
      <c r="AU759" s="350">
        <f t="shared" si="298"/>
        <v>2926713.5395818446</v>
      </c>
      <c r="AV759" s="350">
        <f t="shared" si="299"/>
        <v>4608719.0312929302</v>
      </c>
      <c r="AW759" s="350">
        <f t="shared" si="300"/>
        <v>6032923.4918689802</v>
      </c>
      <c r="AX759" s="350">
        <f t="shared" si="301"/>
        <v>7196079.2891008295</v>
      </c>
      <c r="AY759" s="350">
        <f t="shared" si="302"/>
        <v>21756051.399654433</v>
      </c>
      <c r="AZ759" s="365"/>
      <c r="BA759" s="377">
        <f t="shared" si="303"/>
        <v>0</v>
      </c>
      <c r="BB759" s="377">
        <f t="shared" si="304"/>
        <v>0</v>
      </c>
      <c r="BC759" s="377">
        <f t="shared" si="305"/>
        <v>0</v>
      </c>
      <c r="BD759" s="377">
        <f t="shared" si="306"/>
        <v>0</v>
      </c>
      <c r="BE759" s="377">
        <f t="shared" si="307"/>
        <v>0</v>
      </c>
      <c r="BF759" s="377">
        <f t="shared" si="308"/>
        <v>0</v>
      </c>
      <c r="BG759" s="328"/>
    </row>
    <row r="760" spans="2:59">
      <c r="B760" s="332">
        <v>745</v>
      </c>
      <c r="C760" s="350">
        <v>9009042.402863631</v>
      </c>
      <c r="D760" s="350">
        <v>16728101.072377667</v>
      </c>
      <c r="E760" s="350">
        <v>24505190.019538533</v>
      </c>
      <c r="F760" s="350">
        <v>32340919.681075335</v>
      </c>
      <c r="G760" s="350">
        <v>40236573.537657887</v>
      </c>
      <c r="H760" s="348">
        <v>122819826.71351305</v>
      </c>
      <c r="I760" s="369"/>
      <c r="J760" s="350">
        <v>10288882.452204593</v>
      </c>
      <c r="K760" s="350">
        <v>20504712.577547364</v>
      </c>
      <c r="L760" s="350">
        <v>30467283.052302398</v>
      </c>
      <c r="M760" s="350">
        <v>40169622.41002506</v>
      </c>
      <c r="N760" s="350">
        <v>49607279.747506201</v>
      </c>
      <c r="O760" s="348">
        <v>151037780.23958561</v>
      </c>
      <c r="P760" s="369"/>
      <c r="Q760" s="350">
        <f t="shared" si="309"/>
        <v>1279840.0493409615</v>
      </c>
      <c r="R760" s="350">
        <f t="shared" si="310"/>
        <v>3776611.5051696971</v>
      </c>
      <c r="S760" s="350">
        <f t="shared" si="311"/>
        <v>5962093.0327638648</v>
      </c>
      <c r="T760" s="350">
        <f t="shared" si="312"/>
        <v>7828702.7289497256</v>
      </c>
      <c r="U760" s="350">
        <f t="shared" si="313"/>
        <v>9370706.2098483145</v>
      </c>
      <c r="V760" s="350">
        <f t="shared" si="314"/>
        <v>28217953.526072562</v>
      </c>
      <c r="W760" s="365"/>
      <c r="X760" s="377">
        <f t="shared" si="292"/>
        <v>0</v>
      </c>
      <c r="Y760" s="377">
        <f t="shared" si="293"/>
        <v>0</v>
      </c>
      <c r="Z760" s="377">
        <f t="shared" si="294"/>
        <v>0</v>
      </c>
      <c r="AA760" s="377">
        <f t="shared" si="295"/>
        <v>0</v>
      </c>
      <c r="AB760" s="377">
        <f t="shared" si="296"/>
        <v>0</v>
      </c>
      <c r="AC760" s="377">
        <f t="shared" si="297"/>
        <v>0</v>
      </c>
      <c r="AD760" s="376"/>
      <c r="AE760" s="332">
        <v>745</v>
      </c>
      <c r="AF760" s="350">
        <v>8129534.7823913414</v>
      </c>
      <c r="AG760" s="350">
        <v>16322912.204317622</v>
      </c>
      <c r="AH760" s="350">
        <v>24578297.544625077</v>
      </c>
      <c r="AI760" s="350">
        <v>32895964.528349608</v>
      </c>
      <c r="AJ760" s="350">
        <v>41277112.680039495</v>
      </c>
      <c r="AK760" s="348">
        <v>123203821.73972315</v>
      </c>
      <c r="AL760" s="369"/>
      <c r="AM760" s="350">
        <v>9392507.5093360823</v>
      </c>
      <c r="AN760" s="350">
        <v>20048194.59739266</v>
      </c>
      <c r="AO760" s="350">
        <v>30396920.083016988</v>
      </c>
      <c r="AP760" s="350">
        <v>40432229.972164623</v>
      </c>
      <c r="AQ760" s="350">
        <v>50150486.504839912</v>
      </c>
      <c r="AR760" s="348">
        <v>150420338.66675025</v>
      </c>
      <c r="AS760" s="369"/>
      <c r="AT760" s="350">
        <f t="shared" si="315"/>
        <v>1262972.7269447409</v>
      </c>
      <c r="AU760" s="350">
        <f t="shared" si="298"/>
        <v>3725282.3930750377</v>
      </c>
      <c r="AV760" s="350">
        <f t="shared" si="299"/>
        <v>5818622.5383919105</v>
      </c>
      <c r="AW760" s="350">
        <f t="shared" si="300"/>
        <v>7536265.4438150153</v>
      </c>
      <c r="AX760" s="350">
        <f t="shared" si="301"/>
        <v>8873373.8248004168</v>
      </c>
      <c r="AY760" s="350">
        <f t="shared" si="302"/>
        <v>27216516.927027106</v>
      </c>
      <c r="AZ760" s="365"/>
      <c r="BA760" s="377">
        <f t="shared" si="303"/>
        <v>0</v>
      </c>
      <c r="BB760" s="377">
        <f t="shared" si="304"/>
        <v>0</v>
      </c>
      <c r="BC760" s="377">
        <f t="shared" si="305"/>
        <v>0</v>
      </c>
      <c r="BD760" s="377">
        <f t="shared" si="306"/>
        <v>0</v>
      </c>
      <c r="BE760" s="377">
        <f t="shared" si="307"/>
        <v>0</v>
      </c>
      <c r="BF760" s="377">
        <f t="shared" si="308"/>
        <v>0</v>
      </c>
      <c r="BG760" s="328"/>
    </row>
    <row r="761" spans="2:59">
      <c r="B761" s="332">
        <v>746</v>
      </c>
      <c r="C761" s="350">
        <v>9281813.3465165272</v>
      </c>
      <c r="D761" s="350">
        <v>17722386.89319348</v>
      </c>
      <c r="E761" s="350">
        <v>26226578.515391953</v>
      </c>
      <c r="F761" s="350">
        <v>34794907.04243876</v>
      </c>
      <c r="G761" s="350">
        <v>43428711.240029655</v>
      </c>
      <c r="H761" s="348">
        <v>131454397.03757039</v>
      </c>
      <c r="I761" s="369"/>
      <c r="J761" s="350">
        <v>10294522.944997517</v>
      </c>
      <c r="K761" s="350">
        <v>20704953.459358186</v>
      </c>
      <c r="L761" s="350">
        <v>30819442.855754368</v>
      </c>
      <c r="M761" s="350">
        <v>40630595.692184135</v>
      </c>
      <c r="N761" s="350">
        <v>50133366.750436835</v>
      </c>
      <c r="O761" s="348">
        <v>152582881.70273104</v>
      </c>
      <c r="P761" s="369"/>
      <c r="Q761" s="350">
        <f t="shared" si="309"/>
        <v>1012709.5984809902</v>
      </c>
      <c r="R761" s="350">
        <f t="shared" si="310"/>
        <v>2982566.5661647059</v>
      </c>
      <c r="S761" s="350">
        <f t="shared" si="311"/>
        <v>4592864.3403624147</v>
      </c>
      <c r="T761" s="350">
        <f t="shared" si="312"/>
        <v>5835688.6497453749</v>
      </c>
      <c r="U761" s="350">
        <f t="shared" si="313"/>
        <v>6704655.5104071796</v>
      </c>
      <c r="V761" s="350">
        <f t="shared" si="314"/>
        <v>21128484.665160656</v>
      </c>
      <c r="W761" s="365"/>
      <c r="X761" s="377">
        <f t="shared" si="292"/>
        <v>0</v>
      </c>
      <c r="Y761" s="377">
        <f t="shared" si="293"/>
        <v>0</v>
      </c>
      <c r="Z761" s="377">
        <f t="shared" si="294"/>
        <v>0</v>
      </c>
      <c r="AA761" s="377">
        <f t="shared" si="295"/>
        <v>0</v>
      </c>
      <c r="AB761" s="377">
        <f t="shared" si="296"/>
        <v>0</v>
      </c>
      <c r="AC761" s="377">
        <f t="shared" si="297"/>
        <v>0</v>
      </c>
      <c r="AD761" s="376"/>
      <c r="AE761" s="332">
        <v>746</v>
      </c>
      <c r="AF761" s="350">
        <v>8461338.0161053818</v>
      </c>
      <c r="AG761" s="350">
        <v>16989124.379798323</v>
      </c>
      <c r="AH761" s="350">
        <v>25581449.48662262</v>
      </c>
      <c r="AI761" s="350">
        <v>34238598.233575977</v>
      </c>
      <c r="AJ761" s="350">
        <v>42961819.10325098</v>
      </c>
      <c r="AK761" s="348">
        <v>128232329.21935329</v>
      </c>
      <c r="AL761" s="369"/>
      <c r="AM761" s="350">
        <v>9757159.1588728875</v>
      </c>
      <c r="AN761" s="350">
        <v>20810996.020022254</v>
      </c>
      <c r="AO761" s="350">
        <v>31544782.733677614</v>
      </c>
      <c r="AP761" s="350">
        <v>41951807.177825376</v>
      </c>
      <c r="AQ761" s="350">
        <v>52028264.181020886</v>
      </c>
      <c r="AR761" s="348">
        <v>156093009.27141902</v>
      </c>
      <c r="AS761" s="369"/>
      <c r="AT761" s="350">
        <f t="shared" si="315"/>
        <v>1295821.1427675057</v>
      </c>
      <c r="AU761" s="350">
        <f t="shared" si="298"/>
        <v>3821871.6402239315</v>
      </c>
      <c r="AV761" s="350">
        <f t="shared" si="299"/>
        <v>5963333.2470549941</v>
      </c>
      <c r="AW761" s="350">
        <f t="shared" si="300"/>
        <v>7713208.944249399</v>
      </c>
      <c r="AX761" s="350">
        <f t="shared" si="301"/>
        <v>9066445.0777699053</v>
      </c>
      <c r="AY761" s="350">
        <f t="shared" si="302"/>
        <v>27860680.05206573</v>
      </c>
      <c r="AZ761" s="365"/>
      <c r="BA761" s="377">
        <f t="shared" si="303"/>
        <v>0</v>
      </c>
      <c r="BB761" s="377">
        <f t="shared" si="304"/>
        <v>0</v>
      </c>
      <c r="BC761" s="377">
        <f t="shared" si="305"/>
        <v>0</v>
      </c>
      <c r="BD761" s="377">
        <f t="shared" si="306"/>
        <v>0</v>
      </c>
      <c r="BE761" s="377">
        <f t="shared" si="307"/>
        <v>0</v>
      </c>
      <c r="BF761" s="377">
        <f t="shared" si="308"/>
        <v>0</v>
      </c>
      <c r="BG761" s="328"/>
    </row>
    <row r="762" spans="2:59">
      <c r="B762" s="332">
        <v>747</v>
      </c>
      <c r="C762" s="350">
        <v>7033800.0490787756</v>
      </c>
      <c r="D762" s="350">
        <v>13297928.915430859</v>
      </c>
      <c r="E762" s="350">
        <v>19609229.846684888</v>
      </c>
      <c r="F762" s="350">
        <v>25968125.844272088</v>
      </c>
      <c r="G762" s="350">
        <v>32375626.980459537</v>
      </c>
      <c r="H762" s="348">
        <v>98284711.635926157</v>
      </c>
      <c r="I762" s="369"/>
      <c r="J762" s="350">
        <v>8173178.3581066374</v>
      </c>
      <c r="K762" s="350">
        <v>16661542.648135288</v>
      </c>
      <c r="L762" s="350">
        <v>24942020.689439349</v>
      </c>
      <c r="M762" s="350">
        <v>33009057.843928304</v>
      </c>
      <c r="N762" s="350">
        <v>40859324.618213616</v>
      </c>
      <c r="O762" s="348">
        <v>123645124.1578232</v>
      </c>
      <c r="P762" s="369"/>
      <c r="Q762" s="350">
        <f t="shared" si="309"/>
        <v>1139378.3090278618</v>
      </c>
      <c r="R762" s="350">
        <f t="shared" si="310"/>
        <v>3363613.732704429</v>
      </c>
      <c r="S762" s="350">
        <f t="shared" si="311"/>
        <v>5332790.8427544609</v>
      </c>
      <c r="T762" s="350">
        <f t="shared" si="312"/>
        <v>7040931.9996562153</v>
      </c>
      <c r="U762" s="350">
        <f t="shared" si="313"/>
        <v>8483697.637754079</v>
      </c>
      <c r="V762" s="350">
        <f t="shared" si="314"/>
        <v>25360412.521897048</v>
      </c>
      <c r="W762" s="365"/>
      <c r="X762" s="377">
        <f t="shared" si="292"/>
        <v>0</v>
      </c>
      <c r="Y762" s="377">
        <f t="shared" si="293"/>
        <v>0</v>
      </c>
      <c r="Z762" s="377">
        <f t="shared" si="294"/>
        <v>0</v>
      </c>
      <c r="AA762" s="377">
        <f t="shared" si="295"/>
        <v>0</v>
      </c>
      <c r="AB762" s="377">
        <f t="shared" si="296"/>
        <v>0</v>
      </c>
      <c r="AC762" s="377">
        <f t="shared" si="297"/>
        <v>0</v>
      </c>
      <c r="AD762" s="376"/>
      <c r="AE762" s="332">
        <v>747</v>
      </c>
      <c r="AF762" s="350">
        <v>6763365.2316230591</v>
      </c>
      <c r="AG762" s="350">
        <v>13579844.337543197</v>
      </c>
      <c r="AH762" s="350">
        <v>20447910.921774261</v>
      </c>
      <c r="AI762" s="350">
        <v>27367792.709818438</v>
      </c>
      <c r="AJ762" s="350">
        <v>34340487.645942092</v>
      </c>
      <c r="AK762" s="348">
        <v>102499400.84670106</v>
      </c>
      <c r="AL762" s="369"/>
      <c r="AM762" s="350">
        <v>7623797.2494128691</v>
      </c>
      <c r="AN762" s="350">
        <v>16114724.6191797</v>
      </c>
      <c r="AO762" s="350">
        <v>24344575.846611224</v>
      </c>
      <c r="AP762" s="350">
        <v>32308035.355658587</v>
      </c>
      <c r="AQ762" s="350">
        <v>40001883.985231608</v>
      </c>
      <c r="AR762" s="348">
        <v>120393017.05609399</v>
      </c>
      <c r="AS762" s="369"/>
      <c r="AT762" s="350">
        <f t="shared" si="315"/>
        <v>860432.01778980996</v>
      </c>
      <c r="AU762" s="350">
        <f t="shared" si="298"/>
        <v>2534880.2816365026</v>
      </c>
      <c r="AV762" s="350">
        <f t="shared" si="299"/>
        <v>3896664.9248369634</v>
      </c>
      <c r="AW762" s="350">
        <f t="shared" si="300"/>
        <v>4940242.6458401494</v>
      </c>
      <c r="AX762" s="350">
        <f t="shared" si="301"/>
        <v>5661396.3392895162</v>
      </c>
      <c r="AY762" s="350">
        <f t="shared" si="302"/>
        <v>17893616.209392935</v>
      </c>
      <c r="AZ762" s="365"/>
      <c r="BA762" s="377">
        <f t="shared" si="303"/>
        <v>0</v>
      </c>
      <c r="BB762" s="377">
        <f t="shared" si="304"/>
        <v>0</v>
      </c>
      <c r="BC762" s="377">
        <f t="shared" si="305"/>
        <v>0</v>
      </c>
      <c r="BD762" s="377">
        <f t="shared" si="306"/>
        <v>0</v>
      </c>
      <c r="BE762" s="377">
        <f t="shared" si="307"/>
        <v>0</v>
      </c>
      <c r="BF762" s="377">
        <f t="shared" si="308"/>
        <v>0</v>
      </c>
      <c r="BG762" s="328"/>
    </row>
    <row r="763" spans="2:59">
      <c r="B763" s="332">
        <v>748</v>
      </c>
      <c r="C763" s="350">
        <v>8632334.0126429908</v>
      </c>
      <c r="D763" s="350">
        <v>16456814.469710883</v>
      </c>
      <c r="E763" s="350">
        <v>24340261.350157611</v>
      </c>
      <c r="F763" s="350">
        <v>32283162.929144785</v>
      </c>
      <c r="G763" s="350">
        <v>40286763.436623231</v>
      </c>
      <c r="H763" s="348">
        <v>121999336.1982795</v>
      </c>
      <c r="I763" s="369"/>
      <c r="J763" s="350">
        <v>9838717.9283660669</v>
      </c>
      <c r="K763" s="350">
        <v>20015289.666894332</v>
      </c>
      <c r="L763" s="350">
        <v>29933620.036146566</v>
      </c>
      <c r="M763" s="350">
        <v>39586468.8630924</v>
      </c>
      <c r="N763" s="350">
        <v>48969104.780211076</v>
      </c>
      <c r="O763" s="348">
        <v>148343201.27471042</v>
      </c>
      <c r="P763" s="369"/>
      <c r="Q763" s="350">
        <f t="shared" si="309"/>
        <v>1206383.9157230761</v>
      </c>
      <c r="R763" s="350">
        <f t="shared" si="310"/>
        <v>3558475.1971834488</v>
      </c>
      <c r="S763" s="350">
        <f t="shared" si="311"/>
        <v>5593358.6859889552</v>
      </c>
      <c r="T763" s="350">
        <f t="shared" si="312"/>
        <v>7303305.9339476153</v>
      </c>
      <c r="U763" s="350">
        <f t="shared" si="313"/>
        <v>8682341.3435878456</v>
      </c>
      <c r="V763" s="350">
        <f t="shared" si="314"/>
        <v>26343865.076430917</v>
      </c>
      <c r="W763" s="365"/>
      <c r="X763" s="377">
        <f t="shared" si="292"/>
        <v>0</v>
      </c>
      <c r="Y763" s="377">
        <f t="shared" si="293"/>
        <v>0</v>
      </c>
      <c r="Z763" s="377">
        <f t="shared" si="294"/>
        <v>0</v>
      </c>
      <c r="AA763" s="377">
        <f t="shared" si="295"/>
        <v>0</v>
      </c>
      <c r="AB763" s="377">
        <f t="shared" si="296"/>
        <v>0</v>
      </c>
      <c r="AC763" s="377">
        <f t="shared" si="297"/>
        <v>0</v>
      </c>
      <c r="AD763" s="376"/>
      <c r="AE763" s="332">
        <v>748</v>
      </c>
      <c r="AF763" s="350">
        <v>8678550.9578918461</v>
      </c>
      <c r="AG763" s="350">
        <v>17425256.074086875</v>
      </c>
      <c r="AH763" s="350">
        <v>26238156.722236499</v>
      </c>
      <c r="AI763" s="350">
        <v>35117545.112994358</v>
      </c>
      <c r="AJ763" s="350">
        <v>44064701.779034972</v>
      </c>
      <c r="AK763" s="348">
        <v>131524210.64624456</v>
      </c>
      <c r="AL763" s="369"/>
      <c r="AM763" s="350">
        <v>10161103.313403701</v>
      </c>
      <c r="AN763" s="350">
        <v>21800374.624426786</v>
      </c>
      <c r="AO763" s="350">
        <v>33115976.059351474</v>
      </c>
      <c r="AP763" s="350">
        <v>44100979.781899229</v>
      </c>
      <c r="AQ763" s="350">
        <v>54751638.362170853</v>
      </c>
      <c r="AR763" s="348">
        <v>163930072.14125204</v>
      </c>
      <c r="AS763" s="369"/>
      <c r="AT763" s="350">
        <f t="shared" si="315"/>
        <v>1482552.3555118553</v>
      </c>
      <c r="AU763" s="350">
        <f t="shared" si="298"/>
        <v>4375118.5503399111</v>
      </c>
      <c r="AV763" s="350">
        <f t="shared" si="299"/>
        <v>6877819.3371149749</v>
      </c>
      <c r="AW763" s="350">
        <f t="shared" si="300"/>
        <v>8983434.6689048707</v>
      </c>
      <c r="AX763" s="350">
        <f t="shared" si="301"/>
        <v>10686936.583135881</v>
      </c>
      <c r="AY763" s="350">
        <f t="shared" si="302"/>
        <v>32405861.495007485</v>
      </c>
      <c r="AZ763" s="365"/>
      <c r="BA763" s="377">
        <f t="shared" si="303"/>
        <v>0</v>
      </c>
      <c r="BB763" s="377">
        <f t="shared" si="304"/>
        <v>0</v>
      </c>
      <c r="BC763" s="377">
        <f t="shared" si="305"/>
        <v>0</v>
      </c>
      <c r="BD763" s="377">
        <f t="shared" si="306"/>
        <v>0</v>
      </c>
      <c r="BE763" s="377">
        <f t="shared" si="307"/>
        <v>0</v>
      </c>
      <c r="BF763" s="377">
        <f t="shared" si="308"/>
        <v>0</v>
      </c>
      <c r="BG763" s="328"/>
    </row>
    <row r="764" spans="2:59">
      <c r="B764" s="332">
        <v>749</v>
      </c>
      <c r="C764" s="350">
        <v>11479847.110264193</v>
      </c>
      <c r="D764" s="350">
        <v>21429546.859066423</v>
      </c>
      <c r="E764" s="350">
        <v>31454084.488871813</v>
      </c>
      <c r="F764" s="350">
        <v>41554212.210167058</v>
      </c>
      <c r="G764" s="350">
        <v>51731569.334664479</v>
      </c>
      <c r="H764" s="348">
        <v>157649260.00303397</v>
      </c>
      <c r="I764" s="369"/>
      <c r="J764" s="350">
        <v>13385582.325008504</v>
      </c>
      <c r="K764" s="350">
        <v>27056889.710419815</v>
      </c>
      <c r="L764" s="350">
        <v>40413969.095387891</v>
      </c>
      <c r="M764" s="350">
        <v>53447552.388260804</v>
      </c>
      <c r="N764" s="350">
        <v>66151964.839670107</v>
      </c>
      <c r="O764" s="348">
        <v>200455958.35874712</v>
      </c>
      <c r="P764" s="369"/>
      <c r="Q764" s="350">
        <f t="shared" si="309"/>
        <v>1905735.2147443108</v>
      </c>
      <c r="R764" s="350">
        <f t="shared" si="310"/>
        <v>5627342.851353392</v>
      </c>
      <c r="S764" s="350">
        <f t="shared" si="311"/>
        <v>8959884.6065160781</v>
      </c>
      <c r="T764" s="350">
        <f t="shared" si="312"/>
        <v>11893340.178093746</v>
      </c>
      <c r="U764" s="350">
        <f t="shared" si="313"/>
        <v>14420395.505005628</v>
      </c>
      <c r="V764" s="350">
        <f t="shared" si="314"/>
        <v>42806698.355713159</v>
      </c>
      <c r="W764" s="365"/>
      <c r="X764" s="377">
        <f t="shared" si="292"/>
        <v>0</v>
      </c>
      <c r="Y764" s="377">
        <f t="shared" si="293"/>
        <v>0</v>
      </c>
      <c r="Z764" s="377">
        <f t="shared" si="294"/>
        <v>0</v>
      </c>
      <c r="AA764" s="377">
        <f t="shared" si="295"/>
        <v>0</v>
      </c>
      <c r="AB764" s="377">
        <f t="shared" si="296"/>
        <v>0</v>
      </c>
      <c r="AC764" s="377">
        <f t="shared" si="297"/>
        <v>0</v>
      </c>
      <c r="AD764" s="376"/>
      <c r="AE764" s="332">
        <v>749</v>
      </c>
      <c r="AF764" s="350">
        <v>6827663.3491974743</v>
      </c>
      <c r="AG764" s="350">
        <v>13708945.516905069</v>
      </c>
      <c r="AH764" s="350">
        <v>20642305.595959838</v>
      </c>
      <c r="AI764" s="350">
        <v>27627973.476810057</v>
      </c>
      <c r="AJ764" s="350">
        <v>34666956.591001809</v>
      </c>
      <c r="AK764" s="348">
        <v>103473844.52987425</v>
      </c>
      <c r="AL764" s="369"/>
      <c r="AM764" s="350">
        <v>8078405.8011397459</v>
      </c>
      <c r="AN764" s="350">
        <v>17401211.184385538</v>
      </c>
      <c r="AO764" s="350">
        <v>26471903.348336242</v>
      </c>
      <c r="AP764" s="350">
        <v>35285008.102032781</v>
      </c>
      <c r="AQ764" s="350">
        <v>43837662.688960612</v>
      </c>
      <c r="AR764" s="348">
        <v>131074191.12485492</v>
      </c>
      <c r="AS764" s="369"/>
      <c r="AT764" s="350">
        <f t="shared" si="315"/>
        <v>1250742.4519422716</v>
      </c>
      <c r="AU764" s="350">
        <f t="shared" si="298"/>
        <v>3692265.6674804688</v>
      </c>
      <c r="AV764" s="350">
        <f t="shared" si="299"/>
        <v>5829597.7523764037</v>
      </c>
      <c r="AW764" s="350">
        <f t="shared" si="300"/>
        <v>7657034.6252227239</v>
      </c>
      <c r="AX764" s="350">
        <f t="shared" si="301"/>
        <v>9170706.0979588032</v>
      </c>
      <c r="AY764" s="350">
        <f t="shared" si="302"/>
        <v>27600346.594980672</v>
      </c>
      <c r="AZ764" s="365"/>
      <c r="BA764" s="377">
        <f t="shared" si="303"/>
        <v>0</v>
      </c>
      <c r="BB764" s="377">
        <f t="shared" si="304"/>
        <v>0</v>
      </c>
      <c r="BC764" s="377">
        <f t="shared" si="305"/>
        <v>0</v>
      </c>
      <c r="BD764" s="377">
        <f t="shared" si="306"/>
        <v>0</v>
      </c>
      <c r="BE764" s="377">
        <f t="shared" si="307"/>
        <v>0</v>
      </c>
      <c r="BF764" s="377">
        <f t="shared" si="308"/>
        <v>0</v>
      </c>
      <c r="BG764" s="328"/>
    </row>
    <row r="765" spans="2:59">
      <c r="B765" s="332">
        <v>750</v>
      </c>
      <c r="C765" s="350">
        <v>7371562.1639510468</v>
      </c>
      <c r="D765" s="350">
        <v>13993733.880640209</v>
      </c>
      <c r="E765" s="350">
        <v>20665792.375810612</v>
      </c>
      <c r="F765" s="350">
        <v>27388168.045050696</v>
      </c>
      <c r="G765" s="350">
        <v>34161921.391463667</v>
      </c>
      <c r="H765" s="348">
        <v>103581177.85691623</v>
      </c>
      <c r="I765" s="369"/>
      <c r="J765" s="350">
        <v>8774226.6673554666</v>
      </c>
      <c r="K765" s="350">
        <v>18137299.772409655</v>
      </c>
      <c r="L765" s="350">
        <v>27292708.812961861</v>
      </c>
      <c r="M765" s="350">
        <v>36234268.471838944</v>
      </c>
      <c r="N765" s="350">
        <v>44958402.529752657</v>
      </c>
      <c r="O765" s="348">
        <v>135396906.25431859</v>
      </c>
      <c r="P765" s="369"/>
      <c r="Q765" s="350">
        <f t="shared" si="309"/>
        <v>1402664.5034044199</v>
      </c>
      <c r="R765" s="350">
        <f t="shared" si="310"/>
        <v>4143565.8917694464</v>
      </c>
      <c r="S765" s="350">
        <f t="shared" si="311"/>
        <v>6626916.4371512495</v>
      </c>
      <c r="T765" s="350">
        <f t="shared" si="312"/>
        <v>8846100.4267882481</v>
      </c>
      <c r="U765" s="350">
        <f t="shared" si="313"/>
        <v>10796481.13828899</v>
      </c>
      <c r="V765" s="350">
        <f t="shared" si="314"/>
        <v>31815728.397402361</v>
      </c>
      <c r="W765" s="365"/>
      <c r="X765" s="377">
        <f t="shared" si="292"/>
        <v>0</v>
      </c>
      <c r="Y765" s="377">
        <f t="shared" si="293"/>
        <v>0</v>
      </c>
      <c r="Z765" s="377">
        <f t="shared" si="294"/>
        <v>0</v>
      </c>
      <c r="AA765" s="377">
        <f t="shared" si="295"/>
        <v>0</v>
      </c>
      <c r="AB765" s="377">
        <f t="shared" si="296"/>
        <v>0</v>
      </c>
      <c r="AC765" s="377">
        <f t="shared" si="297"/>
        <v>0</v>
      </c>
      <c r="AD765" s="376"/>
      <c r="AE765" s="332">
        <v>750</v>
      </c>
      <c r="AF765" s="350">
        <v>6989728.8881104058</v>
      </c>
      <c r="AG765" s="350">
        <v>14034349.323375165</v>
      </c>
      <c r="AH765" s="350">
        <v>21132283.822728716</v>
      </c>
      <c r="AI765" s="350">
        <v>28283767.733437791</v>
      </c>
      <c r="AJ765" s="350">
        <v>35489832.400051802</v>
      </c>
      <c r="AK765" s="348">
        <v>105929962.16770388</v>
      </c>
      <c r="AL765" s="369"/>
      <c r="AM765" s="350">
        <v>8314868.6035951357</v>
      </c>
      <c r="AN765" s="350">
        <v>17946850.263556823</v>
      </c>
      <c r="AO765" s="350">
        <v>27322073.437883582</v>
      </c>
      <c r="AP765" s="350">
        <v>36434921.351583853</v>
      </c>
      <c r="AQ765" s="350">
        <v>45282508.575646222</v>
      </c>
      <c r="AR765" s="348">
        <v>135301222.23226562</v>
      </c>
      <c r="AS765" s="369"/>
      <c r="AT765" s="350">
        <f t="shared" si="315"/>
        <v>1325139.71548473</v>
      </c>
      <c r="AU765" s="350">
        <f t="shared" si="298"/>
        <v>3912500.9401816577</v>
      </c>
      <c r="AV765" s="350">
        <f t="shared" si="299"/>
        <v>6189789.6151548661</v>
      </c>
      <c r="AW765" s="350">
        <f t="shared" si="300"/>
        <v>8151153.6181460619</v>
      </c>
      <c r="AX765" s="350">
        <f t="shared" si="301"/>
        <v>9792676.1755944192</v>
      </c>
      <c r="AY765" s="350">
        <f t="shared" si="302"/>
        <v>29371260.06456174</v>
      </c>
      <c r="AZ765" s="365"/>
      <c r="BA765" s="377">
        <f t="shared" si="303"/>
        <v>0</v>
      </c>
      <c r="BB765" s="377">
        <f t="shared" si="304"/>
        <v>0</v>
      </c>
      <c r="BC765" s="377">
        <f t="shared" si="305"/>
        <v>0</v>
      </c>
      <c r="BD765" s="377">
        <f t="shared" si="306"/>
        <v>0</v>
      </c>
      <c r="BE765" s="377">
        <f t="shared" si="307"/>
        <v>0</v>
      </c>
      <c r="BF765" s="377">
        <f t="shared" si="308"/>
        <v>0</v>
      </c>
      <c r="BG765" s="328"/>
    </row>
    <row r="766" spans="2:59">
      <c r="B766" s="332">
        <v>751</v>
      </c>
      <c r="C766" s="350">
        <v>5313820.5512383785</v>
      </c>
      <c r="D766" s="350">
        <v>10032638.273688674</v>
      </c>
      <c r="E766" s="350">
        <v>14786986.716157522</v>
      </c>
      <c r="F766" s="350">
        <v>19577188.499019075</v>
      </c>
      <c r="G766" s="350">
        <v>24404006.245049439</v>
      </c>
      <c r="H766" s="348">
        <v>74114640.285153091</v>
      </c>
      <c r="I766" s="369"/>
      <c r="J766" s="350">
        <v>6006758.3356397655</v>
      </c>
      <c r="K766" s="350">
        <v>12076059.858463179</v>
      </c>
      <c r="L766" s="350">
        <v>17989162.032319542</v>
      </c>
      <c r="M766" s="350">
        <v>23741725.372685727</v>
      </c>
      <c r="N766" s="350">
        <v>29330861.948373627</v>
      </c>
      <c r="O766" s="348">
        <v>89144567.54748185</v>
      </c>
      <c r="P766" s="369"/>
      <c r="Q766" s="350">
        <f t="shared" si="309"/>
        <v>692937.78440138698</v>
      </c>
      <c r="R766" s="350">
        <f t="shared" si="310"/>
        <v>2043421.5847745053</v>
      </c>
      <c r="S766" s="350">
        <f t="shared" si="311"/>
        <v>3202175.31616202</v>
      </c>
      <c r="T766" s="350">
        <f t="shared" si="312"/>
        <v>4164536.8736666515</v>
      </c>
      <c r="U766" s="350">
        <f t="shared" si="313"/>
        <v>4926855.7033241875</v>
      </c>
      <c r="V766" s="350">
        <f t="shared" si="314"/>
        <v>15029927.262328759</v>
      </c>
      <c r="W766" s="365"/>
      <c r="X766" s="377">
        <f t="shared" si="292"/>
        <v>0</v>
      </c>
      <c r="Y766" s="377">
        <f t="shared" si="293"/>
        <v>0</v>
      </c>
      <c r="Z766" s="377">
        <f t="shared" si="294"/>
        <v>0</v>
      </c>
      <c r="AA766" s="377">
        <f t="shared" si="295"/>
        <v>0</v>
      </c>
      <c r="AB766" s="377">
        <f t="shared" si="296"/>
        <v>0</v>
      </c>
      <c r="AC766" s="377">
        <f t="shared" si="297"/>
        <v>0</v>
      </c>
      <c r="AD766" s="376"/>
      <c r="AE766" s="332">
        <v>751</v>
      </c>
      <c r="AF766" s="350">
        <v>7247694.7675823458</v>
      </c>
      <c r="AG766" s="350">
        <v>14552306.932886917</v>
      </c>
      <c r="AH766" s="350">
        <v>21912200.793593459</v>
      </c>
      <c r="AI766" s="350">
        <v>29327620.382794097</v>
      </c>
      <c r="AJ766" s="350">
        <v>36799635.108274743</v>
      </c>
      <c r="AK766" s="348">
        <v>109839457.98513156</v>
      </c>
      <c r="AL766" s="369"/>
      <c r="AM766" s="350">
        <v>8411626.6126464959</v>
      </c>
      <c r="AN766" s="350">
        <v>17986067.754178066</v>
      </c>
      <c r="AO766" s="350">
        <v>27287981.391598646</v>
      </c>
      <c r="AP766" s="350">
        <v>36311602.882895231</v>
      </c>
      <c r="AQ766" s="350">
        <v>45053727.511937663</v>
      </c>
      <c r="AR766" s="348">
        <v>135051006.15325612</v>
      </c>
      <c r="AS766" s="369"/>
      <c r="AT766" s="350">
        <f t="shared" si="315"/>
        <v>1163931.8450641502</v>
      </c>
      <c r="AU766" s="350">
        <f t="shared" si="298"/>
        <v>3433760.8212911487</v>
      </c>
      <c r="AV766" s="350">
        <f t="shared" si="299"/>
        <v>5375780.5980051868</v>
      </c>
      <c r="AW766" s="350">
        <f t="shared" si="300"/>
        <v>6983982.5001011342</v>
      </c>
      <c r="AX766" s="350">
        <f t="shared" si="301"/>
        <v>8254092.40366292</v>
      </c>
      <c r="AY766" s="350">
        <f t="shared" si="302"/>
        <v>25211548.168124557</v>
      </c>
      <c r="AZ766" s="365"/>
      <c r="BA766" s="377">
        <f t="shared" si="303"/>
        <v>0</v>
      </c>
      <c r="BB766" s="377">
        <f t="shared" si="304"/>
        <v>0</v>
      </c>
      <c r="BC766" s="377">
        <f t="shared" si="305"/>
        <v>0</v>
      </c>
      <c r="BD766" s="377">
        <f t="shared" si="306"/>
        <v>0</v>
      </c>
      <c r="BE766" s="377">
        <f t="shared" si="307"/>
        <v>0</v>
      </c>
      <c r="BF766" s="377">
        <f t="shared" si="308"/>
        <v>0</v>
      </c>
      <c r="BG766" s="328"/>
    </row>
    <row r="767" spans="2:59">
      <c r="B767" s="332">
        <v>752</v>
      </c>
      <c r="C767" s="350">
        <v>8265070.7717101909</v>
      </c>
      <c r="D767" s="350">
        <v>15576378.379179444</v>
      </c>
      <c r="E767" s="350">
        <v>22942727.911183983</v>
      </c>
      <c r="F767" s="350">
        <v>30364627.55578782</v>
      </c>
      <c r="G767" s="350">
        <v>37843262.536992967</v>
      </c>
      <c r="H767" s="348">
        <v>114992067.1548544</v>
      </c>
      <c r="I767" s="369"/>
      <c r="J767" s="350">
        <v>9308532.4051742665</v>
      </c>
      <c r="K767" s="350">
        <v>18652966.361072872</v>
      </c>
      <c r="L767" s="350">
        <v>27750317.797973275</v>
      </c>
      <c r="M767" s="350">
        <v>36594049.470253646</v>
      </c>
      <c r="N767" s="350">
        <v>45179835.872921892</v>
      </c>
      <c r="O767" s="348">
        <v>137485701.90739596</v>
      </c>
      <c r="P767" s="369"/>
      <c r="Q767" s="350">
        <f t="shared" si="309"/>
        <v>1043461.6334640756</v>
      </c>
      <c r="R767" s="350">
        <f t="shared" si="310"/>
        <v>3076587.9818934277</v>
      </c>
      <c r="S767" s="350">
        <f t="shared" si="311"/>
        <v>4807589.8867892921</v>
      </c>
      <c r="T767" s="350">
        <f t="shared" si="312"/>
        <v>6229421.914465826</v>
      </c>
      <c r="U767" s="350">
        <f t="shared" si="313"/>
        <v>7336573.3359289244</v>
      </c>
      <c r="V767" s="350">
        <f t="shared" si="314"/>
        <v>22493634.752541557</v>
      </c>
      <c r="W767" s="365"/>
      <c r="X767" s="377">
        <f t="shared" si="292"/>
        <v>0</v>
      </c>
      <c r="Y767" s="377">
        <f t="shared" si="293"/>
        <v>0</v>
      </c>
      <c r="Z767" s="377">
        <f t="shared" si="294"/>
        <v>0</v>
      </c>
      <c r="AA767" s="377">
        <f t="shared" si="295"/>
        <v>0</v>
      </c>
      <c r="AB767" s="377">
        <f t="shared" si="296"/>
        <v>0</v>
      </c>
      <c r="AC767" s="377">
        <f t="shared" si="297"/>
        <v>0</v>
      </c>
      <c r="AD767" s="376"/>
      <c r="AE767" s="332">
        <v>752</v>
      </c>
      <c r="AF767" s="350">
        <v>6963722.8268064298</v>
      </c>
      <c r="AG767" s="350">
        <v>13982132.970680006</v>
      </c>
      <c r="AH767" s="350">
        <v>21053658.817755815</v>
      </c>
      <c r="AI767" s="350">
        <v>28178534.839664988</v>
      </c>
      <c r="AJ767" s="350">
        <v>35357788.5437252</v>
      </c>
      <c r="AK767" s="348">
        <v>105535837.99863243</v>
      </c>
      <c r="AL767" s="369"/>
      <c r="AM767" s="350">
        <v>8028290.3031817004</v>
      </c>
      <c r="AN767" s="350">
        <v>17121918.183122262</v>
      </c>
      <c r="AO767" s="350">
        <v>25952086.32001318</v>
      </c>
      <c r="AP767" s="350">
        <v>34513271.141711809</v>
      </c>
      <c r="AQ767" s="350">
        <v>42802339.049441531</v>
      </c>
      <c r="AR767" s="348">
        <v>128417904.99747048</v>
      </c>
      <c r="AS767" s="369"/>
      <c r="AT767" s="350">
        <f t="shared" si="315"/>
        <v>1064567.4763752706</v>
      </c>
      <c r="AU767" s="350">
        <f t="shared" si="298"/>
        <v>3139785.2124422565</v>
      </c>
      <c r="AV767" s="350">
        <f t="shared" si="299"/>
        <v>4898427.5022573657</v>
      </c>
      <c r="AW767" s="350">
        <f t="shared" si="300"/>
        <v>6334736.3020468205</v>
      </c>
      <c r="AX767" s="350">
        <f t="shared" si="301"/>
        <v>7444550.5057163313</v>
      </c>
      <c r="AY767" s="350">
        <f t="shared" si="302"/>
        <v>22882066.998838052</v>
      </c>
      <c r="AZ767" s="365"/>
      <c r="BA767" s="377">
        <f t="shared" si="303"/>
        <v>0</v>
      </c>
      <c r="BB767" s="377">
        <f t="shared" si="304"/>
        <v>0</v>
      </c>
      <c r="BC767" s="377">
        <f t="shared" si="305"/>
        <v>0</v>
      </c>
      <c r="BD767" s="377">
        <f t="shared" si="306"/>
        <v>0</v>
      </c>
      <c r="BE767" s="377">
        <f t="shared" si="307"/>
        <v>0</v>
      </c>
      <c r="BF767" s="377">
        <f t="shared" si="308"/>
        <v>0</v>
      </c>
      <c r="BG767" s="328"/>
    </row>
    <row r="768" spans="2:59">
      <c r="B768" s="332">
        <v>753</v>
      </c>
      <c r="C768" s="350">
        <v>11680389.129208826</v>
      </c>
      <c r="D768" s="350">
        <v>22182885.211287402</v>
      </c>
      <c r="E768" s="350">
        <v>32764502.751976676</v>
      </c>
      <c r="F768" s="350">
        <v>43425921.570710182</v>
      </c>
      <c r="G768" s="350">
        <v>54168822.37699499</v>
      </c>
      <c r="H768" s="348">
        <v>164222521.04017809</v>
      </c>
      <c r="I768" s="369"/>
      <c r="J768" s="350">
        <v>12946366.177605785</v>
      </c>
      <c r="K768" s="350">
        <v>25911462.679226659</v>
      </c>
      <c r="L768" s="350">
        <v>38507797.937816069</v>
      </c>
      <c r="M768" s="350">
        <v>50726214.346433848</v>
      </c>
      <c r="N768" s="350">
        <v>62560467.699120559</v>
      </c>
      <c r="O768" s="348">
        <v>190652308.84020293</v>
      </c>
      <c r="P768" s="369"/>
      <c r="Q768" s="350">
        <f t="shared" si="309"/>
        <v>1265977.0483969599</v>
      </c>
      <c r="R768" s="350">
        <f t="shared" si="310"/>
        <v>3728577.4679392576</v>
      </c>
      <c r="S768" s="350">
        <f t="shared" si="311"/>
        <v>5743295.1858393922</v>
      </c>
      <c r="T768" s="350">
        <f t="shared" si="312"/>
        <v>7300292.775723666</v>
      </c>
      <c r="U768" s="350">
        <f t="shared" si="313"/>
        <v>8391645.322125569</v>
      </c>
      <c r="V768" s="350">
        <f t="shared" si="314"/>
        <v>26429787.800024837</v>
      </c>
      <c r="W768" s="365"/>
      <c r="X768" s="377">
        <f t="shared" si="292"/>
        <v>0</v>
      </c>
      <c r="Y768" s="377">
        <f t="shared" si="293"/>
        <v>0</v>
      </c>
      <c r="Z768" s="377">
        <f t="shared" si="294"/>
        <v>0</v>
      </c>
      <c r="AA768" s="377">
        <f t="shared" si="295"/>
        <v>0</v>
      </c>
      <c r="AB768" s="377">
        <f t="shared" si="296"/>
        <v>0</v>
      </c>
      <c r="AC768" s="377">
        <f t="shared" si="297"/>
        <v>0</v>
      </c>
      <c r="AD768" s="376"/>
      <c r="AE768" s="332">
        <v>753</v>
      </c>
      <c r="AF768" s="350">
        <v>5593691.5073168539</v>
      </c>
      <c r="AG768" s="350">
        <v>11231311.239326812</v>
      </c>
      <c r="AH768" s="350">
        <v>16911596.778879222</v>
      </c>
      <c r="AI768" s="350">
        <v>22634736.468044031</v>
      </c>
      <c r="AJ768" s="350">
        <v>28401555.664047472</v>
      </c>
      <c r="AK768" s="348">
        <v>84772891.65761438</v>
      </c>
      <c r="AL768" s="369"/>
      <c r="AM768" s="350">
        <v>6846953.7083811406</v>
      </c>
      <c r="AN768" s="350">
        <v>14934134.672371289</v>
      </c>
      <c r="AO768" s="350">
        <v>22821612.825605653</v>
      </c>
      <c r="AP768" s="350">
        <v>30504838.686774924</v>
      </c>
      <c r="AQ768" s="350">
        <v>37981698.374548525</v>
      </c>
      <c r="AR768" s="348">
        <v>113089238.26768154</v>
      </c>
      <c r="AS768" s="369"/>
      <c r="AT768" s="350">
        <f t="shared" si="315"/>
        <v>1253262.2010642868</v>
      </c>
      <c r="AU768" s="350">
        <f t="shared" si="298"/>
        <v>3702823.4330444764</v>
      </c>
      <c r="AV768" s="350">
        <f t="shared" si="299"/>
        <v>5910016.0467264317</v>
      </c>
      <c r="AW768" s="350">
        <f t="shared" si="300"/>
        <v>7870102.218730893</v>
      </c>
      <c r="AX768" s="350">
        <f t="shared" si="301"/>
        <v>9580142.7105010524</v>
      </c>
      <c r="AY768" s="350">
        <f t="shared" si="302"/>
        <v>28316346.610067159</v>
      </c>
      <c r="AZ768" s="365"/>
      <c r="BA768" s="377">
        <f t="shared" si="303"/>
        <v>0</v>
      </c>
      <c r="BB768" s="377">
        <f t="shared" si="304"/>
        <v>0</v>
      </c>
      <c r="BC768" s="377">
        <f t="shared" si="305"/>
        <v>0</v>
      </c>
      <c r="BD768" s="377">
        <f t="shared" si="306"/>
        <v>0</v>
      </c>
      <c r="BE768" s="377">
        <f t="shared" si="307"/>
        <v>0</v>
      </c>
      <c r="BF768" s="377">
        <f t="shared" si="308"/>
        <v>0</v>
      </c>
      <c r="BG768" s="328"/>
    </row>
    <row r="769" spans="2:59">
      <c r="B769" s="332">
        <v>754</v>
      </c>
      <c r="C769" s="350">
        <v>7541132.5527318949</v>
      </c>
      <c r="D769" s="350">
        <v>14072394.237416755</v>
      </c>
      <c r="E769" s="350">
        <v>20652780.040973078</v>
      </c>
      <c r="F769" s="350">
        <v>27282785.155788615</v>
      </c>
      <c r="G769" s="350">
        <v>33963486.289992429</v>
      </c>
      <c r="H769" s="348">
        <v>103512578.27690277</v>
      </c>
      <c r="I769" s="369"/>
      <c r="J769" s="350">
        <v>8596525.9037677944</v>
      </c>
      <c r="K769" s="350">
        <v>17186289.318540588</v>
      </c>
      <c r="L769" s="350">
        <v>25568897.358127717</v>
      </c>
      <c r="M769" s="350">
        <v>33738121.369836837</v>
      </c>
      <c r="N769" s="350">
        <v>41689829.506469242</v>
      </c>
      <c r="O769" s="348">
        <v>126779663.45674217</v>
      </c>
      <c r="P769" s="369"/>
      <c r="Q769" s="350">
        <f t="shared" si="309"/>
        <v>1055393.3510358995</v>
      </c>
      <c r="R769" s="350">
        <f t="shared" si="310"/>
        <v>3113895.0811238326</v>
      </c>
      <c r="S769" s="350">
        <f t="shared" si="311"/>
        <v>4916117.3171546385</v>
      </c>
      <c r="T769" s="350">
        <f t="shared" si="312"/>
        <v>6455336.2140482217</v>
      </c>
      <c r="U769" s="350">
        <f t="shared" si="313"/>
        <v>7726343.216476813</v>
      </c>
      <c r="V769" s="350">
        <f t="shared" si="314"/>
        <v>23267085.179839402</v>
      </c>
      <c r="W769" s="365"/>
      <c r="X769" s="377">
        <f t="shared" si="292"/>
        <v>0</v>
      </c>
      <c r="Y769" s="377">
        <f t="shared" si="293"/>
        <v>0</v>
      </c>
      <c r="Z769" s="377">
        <f t="shared" si="294"/>
        <v>0</v>
      </c>
      <c r="AA769" s="377">
        <f t="shared" si="295"/>
        <v>0</v>
      </c>
      <c r="AB769" s="377">
        <f t="shared" si="296"/>
        <v>0</v>
      </c>
      <c r="AC769" s="377">
        <f t="shared" si="297"/>
        <v>0</v>
      </c>
      <c r="AD769" s="376"/>
      <c r="AE769" s="332">
        <v>754</v>
      </c>
      <c r="AF769" s="350">
        <v>6873492.655133402</v>
      </c>
      <c r="AG769" s="350">
        <v>13800964.034225058</v>
      </c>
      <c r="AH769" s="350">
        <v>20780862.887085114</v>
      </c>
      <c r="AI769" s="350">
        <v>27813420.647254862</v>
      </c>
      <c r="AJ769" s="350">
        <v>34899651.508460388</v>
      </c>
      <c r="AK769" s="348">
        <v>104168391.73215882</v>
      </c>
      <c r="AL769" s="369"/>
      <c r="AM769" s="350">
        <v>8126643.522142645</v>
      </c>
      <c r="AN769" s="350">
        <v>17500257.780286521</v>
      </c>
      <c r="AO769" s="350">
        <v>26619887.249523345</v>
      </c>
      <c r="AP769" s="350">
        <v>35480022.687825836</v>
      </c>
      <c r="AQ769" s="350">
        <v>44077776.05964002</v>
      </c>
      <c r="AR769" s="348">
        <v>131804587.29941836</v>
      </c>
      <c r="AS769" s="369"/>
      <c r="AT769" s="350">
        <f t="shared" si="315"/>
        <v>1253150.867009243</v>
      </c>
      <c r="AU769" s="350">
        <f t="shared" si="298"/>
        <v>3699293.7460614629</v>
      </c>
      <c r="AV769" s="350">
        <f t="shared" si="299"/>
        <v>5839024.3624382317</v>
      </c>
      <c r="AW769" s="350">
        <f t="shared" si="300"/>
        <v>7666602.0405709743</v>
      </c>
      <c r="AX769" s="350">
        <f t="shared" si="301"/>
        <v>9178124.5511796325</v>
      </c>
      <c r="AY769" s="350">
        <f t="shared" si="302"/>
        <v>27636195.567259535</v>
      </c>
      <c r="AZ769" s="365"/>
      <c r="BA769" s="377">
        <f t="shared" si="303"/>
        <v>0</v>
      </c>
      <c r="BB769" s="377">
        <f t="shared" si="304"/>
        <v>0</v>
      </c>
      <c r="BC769" s="377">
        <f t="shared" si="305"/>
        <v>0</v>
      </c>
      <c r="BD769" s="377">
        <f t="shared" si="306"/>
        <v>0</v>
      </c>
      <c r="BE769" s="377">
        <f t="shared" si="307"/>
        <v>0</v>
      </c>
      <c r="BF769" s="377">
        <f t="shared" si="308"/>
        <v>0</v>
      </c>
      <c r="BG769" s="328"/>
    </row>
    <row r="770" spans="2:59">
      <c r="B770" s="332">
        <v>755</v>
      </c>
      <c r="C770" s="350">
        <v>6766323.800838029</v>
      </c>
      <c r="D770" s="350">
        <v>12684166.942878488</v>
      </c>
      <c r="E770" s="350">
        <v>18646539.569761585</v>
      </c>
      <c r="F770" s="350">
        <v>24653872.98899867</v>
      </c>
      <c r="G770" s="350">
        <v>30707135.223527797</v>
      </c>
      <c r="H770" s="348">
        <v>93458038.526004553</v>
      </c>
      <c r="I770" s="369"/>
      <c r="J770" s="350">
        <v>7974097.9521428086</v>
      </c>
      <c r="K770" s="350">
        <v>16251498.34426518</v>
      </c>
      <c r="L770" s="350">
        <v>24347032.183129564</v>
      </c>
      <c r="M770" s="350">
        <v>32255042.978205912</v>
      </c>
      <c r="N770" s="350">
        <v>39972112.561803319</v>
      </c>
      <c r="O770" s="348">
        <v>120799784.01954678</v>
      </c>
      <c r="P770" s="369"/>
      <c r="Q770" s="350">
        <f t="shared" si="309"/>
        <v>1207774.1513047796</v>
      </c>
      <c r="R770" s="350">
        <f t="shared" si="310"/>
        <v>3567331.4013866913</v>
      </c>
      <c r="S770" s="350">
        <f t="shared" si="311"/>
        <v>5700492.6133679785</v>
      </c>
      <c r="T770" s="350">
        <f t="shared" si="312"/>
        <v>7601169.9892072417</v>
      </c>
      <c r="U770" s="350">
        <f t="shared" si="313"/>
        <v>9264977.338275522</v>
      </c>
      <c r="V770" s="350">
        <f t="shared" si="314"/>
        <v>27341745.493542224</v>
      </c>
      <c r="W770" s="365"/>
      <c r="X770" s="377">
        <f t="shared" si="292"/>
        <v>0</v>
      </c>
      <c r="Y770" s="377">
        <f t="shared" si="293"/>
        <v>0</v>
      </c>
      <c r="Z770" s="377">
        <f t="shared" si="294"/>
        <v>0</v>
      </c>
      <c r="AA770" s="377">
        <f t="shared" si="295"/>
        <v>0</v>
      </c>
      <c r="AB770" s="377">
        <f t="shared" si="296"/>
        <v>0</v>
      </c>
      <c r="AC770" s="377">
        <f t="shared" si="297"/>
        <v>0</v>
      </c>
      <c r="AD770" s="376"/>
      <c r="AE770" s="332">
        <v>755</v>
      </c>
      <c r="AF770" s="350">
        <v>7994975.9482146706</v>
      </c>
      <c r="AG770" s="350">
        <v>16052737.822219087</v>
      </c>
      <c r="AH770" s="350">
        <v>24171481.26888743</v>
      </c>
      <c r="AI770" s="350">
        <v>32351475.482600078</v>
      </c>
      <c r="AJ770" s="350">
        <v>40593900.133555815</v>
      </c>
      <c r="AK770" s="348">
        <v>121164570.65547708</v>
      </c>
      <c r="AL770" s="369"/>
      <c r="AM770" s="350">
        <v>9384575.1867483892</v>
      </c>
      <c r="AN770" s="350">
        <v>20153893.661261164</v>
      </c>
      <c r="AO770" s="350">
        <v>30625749.916861117</v>
      </c>
      <c r="AP770" s="350">
        <v>40793755.057788067</v>
      </c>
      <c r="AQ770" s="350">
        <v>50654480.9500646</v>
      </c>
      <c r="AR770" s="348">
        <v>151612454.77272335</v>
      </c>
      <c r="AS770" s="369"/>
      <c r="AT770" s="350">
        <f t="shared" si="315"/>
        <v>1389599.2385337185</v>
      </c>
      <c r="AU770" s="350">
        <f t="shared" si="298"/>
        <v>4101155.8390420768</v>
      </c>
      <c r="AV770" s="350">
        <f t="shared" si="299"/>
        <v>6454268.6479736865</v>
      </c>
      <c r="AW770" s="350">
        <f t="shared" si="300"/>
        <v>8442279.5751879886</v>
      </c>
      <c r="AX770" s="350">
        <f t="shared" si="301"/>
        <v>10060580.816508785</v>
      </c>
      <c r="AY770" s="350">
        <f t="shared" si="302"/>
        <v>30447884.11724627</v>
      </c>
      <c r="AZ770" s="365"/>
      <c r="BA770" s="377">
        <f t="shared" si="303"/>
        <v>0</v>
      </c>
      <c r="BB770" s="377">
        <f t="shared" si="304"/>
        <v>0</v>
      </c>
      <c r="BC770" s="377">
        <f t="shared" si="305"/>
        <v>0</v>
      </c>
      <c r="BD770" s="377">
        <f t="shared" si="306"/>
        <v>0</v>
      </c>
      <c r="BE770" s="377">
        <f t="shared" si="307"/>
        <v>0</v>
      </c>
      <c r="BF770" s="377">
        <f t="shared" si="308"/>
        <v>0</v>
      </c>
      <c r="BG770" s="328"/>
    </row>
    <row r="771" spans="2:59">
      <c r="B771" s="332">
        <v>756</v>
      </c>
      <c r="C771" s="350">
        <v>6865021.9717126787</v>
      </c>
      <c r="D771" s="350">
        <v>12743054.264143743</v>
      </c>
      <c r="E771" s="350">
        <v>18665275.038217459</v>
      </c>
      <c r="F771" s="350">
        <v>24632150.359113209</v>
      </c>
      <c r="G771" s="350">
        <v>30644658.123068288</v>
      </c>
      <c r="H771" s="348">
        <v>93550159.756255388</v>
      </c>
      <c r="I771" s="369"/>
      <c r="J771" s="350">
        <v>8101155.7291439399</v>
      </c>
      <c r="K771" s="350">
        <v>16394610.45579746</v>
      </c>
      <c r="L771" s="350">
        <v>24509523.956969038</v>
      </c>
      <c r="M771" s="350">
        <v>32440282.313424677</v>
      </c>
      <c r="N771" s="350">
        <v>40183519.559680261</v>
      </c>
      <c r="O771" s="348">
        <v>121629092.01501536</v>
      </c>
      <c r="P771" s="369"/>
      <c r="Q771" s="350">
        <f t="shared" si="309"/>
        <v>1236133.7574312612</v>
      </c>
      <c r="R771" s="350">
        <f t="shared" si="310"/>
        <v>3651556.1916537173</v>
      </c>
      <c r="S771" s="350">
        <f t="shared" si="311"/>
        <v>5844248.9187515788</v>
      </c>
      <c r="T771" s="350">
        <f t="shared" si="312"/>
        <v>7808131.9543114677</v>
      </c>
      <c r="U771" s="350">
        <f t="shared" si="313"/>
        <v>9538861.4366119727</v>
      </c>
      <c r="V771" s="350">
        <f t="shared" si="314"/>
        <v>28078932.258759975</v>
      </c>
      <c r="W771" s="365"/>
      <c r="X771" s="377">
        <f t="shared" si="292"/>
        <v>0</v>
      </c>
      <c r="Y771" s="377">
        <f t="shared" si="293"/>
        <v>0</v>
      </c>
      <c r="Z771" s="377">
        <f t="shared" si="294"/>
        <v>0</v>
      </c>
      <c r="AA771" s="377">
        <f t="shared" si="295"/>
        <v>0</v>
      </c>
      <c r="AB771" s="377">
        <f t="shared" si="296"/>
        <v>0</v>
      </c>
      <c r="AC771" s="377">
        <f t="shared" si="297"/>
        <v>0</v>
      </c>
      <c r="AD771" s="376"/>
      <c r="AE771" s="332">
        <v>756</v>
      </c>
      <c r="AF771" s="350">
        <v>7538160.0016765678</v>
      </c>
      <c r="AG771" s="350">
        <v>15135518.474683397</v>
      </c>
      <c r="AH771" s="350">
        <v>22790374.162800323</v>
      </c>
      <c r="AI771" s="350">
        <v>30502980.879212517</v>
      </c>
      <c r="AJ771" s="350">
        <v>38274450.890268907</v>
      </c>
      <c r="AK771" s="348">
        <v>114241484.40864171</v>
      </c>
      <c r="AL771" s="369"/>
      <c r="AM771" s="350">
        <v>8960498.9869447853</v>
      </c>
      <c r="AN771" s="350">
        <v>19334912.828220405</v>
      </c>
      <c r="AO771" s="350">
        <v>29432219.393369127</v>
      </c>
      <c r="AP771" s="350">
        <v>39246363.117639929</v>
      </c>
      <c r="AQ771" s="350">
        <v>48774225.313357994</v>
      </c>
      <c r="AR771" s="348">
        <v>145748219.63953224</v>
      </c>
      <c r="AS771" s="369"/>
      <c r="AT771" s="350">
        <f t="shared" si="315"/>
        <v>1422338.9852682175</v>
      </c>
      <c r="AU771" s="350">
        <f t="shared" si="298"/>
        <v>4199394.3535370082</v>
      </c>
      <c r="AV771" s="350">
        <f t="shared" si="299"/>
        <v>6641845.2305688038</v>
      </c>
      <c r="AW771" s="350">
        <f t="shared" si="300"/>
        <v>8743382.2384274118</v>
      </c>
      <c r="AX771" s="350">
        <f t="shared" si="301"/>
        <v>10499774.423089087</v>
      </c>
      <c r="AY771" s="350">
        <f t="shared" si="302"/>
        <v>31506735.230890527</v>
      </c>
      <c r="AZ771" s="365"/>
      <c r="BA771" s="377">
        <f t="shared" si="303"/>
        <v>0</v>
      </c>
      <c r="BB771" s="377">
        <f t="shared" si="304"/>
        <v>0</v>
      </c>
      <c r="BC771" s="377">
        <f t="shared" si="305"/>
        <v>0</v>
      </c>
      <c r="BD771" s="377">
        <f t="shared" si="306"/>
        <v>0</v>
      </c>
      <c r="BE771" s="377">
        <f t="shared" si="307"/>
        <v>0</v>
      </c>
      <c r="BF771" s="377">
        <f t="shared" si="308"/>
        <v>0</v>
      </c>
      <c r="BG771" s="328"/>
    </row>
    <row r="772" spans="2:59">
      <c r="B772" s="332">
        <v>757</v>
      </c>
      <c r="C772" s="350">
        <v>6787878.9048371427</v>
      </c>
      <c r="D772" s="350">
        <v>12836061.453539524</v>
      </c>
      <c r="E772" s="350">
        <v>18929790.870901607</v>
      </c>
      <c r="F772" s="350">
        <v>25069474.677327529</v>
      </c>
      <c r="G772" s="350">
        <v>31256087.733357973</v>
      </c>
      <c r="H772" s="348">
        <v>94879293.639963776</v>
      </c>
      <c r="I772" s="369"/>
      <c r="J772" s="350">
        <v>7628994.4932623971</v>
      </c>
      <c r="K772" s="350">
        <v>15315651.12633748</v>
      </c>
      <c r="L772" s="350">
        <v>22799115.954605635</v>
      </c>
      <c r="M772" s="350">
        <v>30073890.360325817</v>
      </c>
      <c r="N772" s="350">
        <v>37136280.987283796</v>
      </c>
      <c r="O772" s="348">
        <v>112953932.92181513</v>
      </c>
      <c r="P772" s="369"/>
      <c r="Q772" s="350">
        <f t="shared" si="309"/>
        <v>841115.58842525445</v>
      </c>
      <c r="R772" s="350">
        <f t="shared" si="310"/>
        <v>2479589.6727979556</v>
      </c>
      <c r="S772" s="350">
        <f t="shared" si="311"/>
        <v>3869325.0837040283</v>
      </c>
      <c r="T772" s="350">
        <f t="shared" si="312"/>
        <v>5004415.6829982884</v>
      </c>
      <c r="U772" s="350">
        <f t="shared" si="313"/>
        <v>5880193.2539258227</v>
      </c>
      <c r="V772" s="350">
        <f t="shared" si="314"/>
        <v>18074639.281851351</v>
      </c>
      <c r="W772" s="365"/>
      <c r="X772" s="377">
        <f t="shared" si="292"/>
        <v>0</v>
      </c>
      <c r="Y772" s="377">
        <f t="shared" si="293"/>
        <v>0</v>
      </c>
      <c r="Z772" s="377">
        <f t="shared" si="294"/>
        <v>0</v>
      </c>
      <c r="AA772" s="377">
        <f t="shared" si="295"/>
        <v>0</v>
      </c>
      <c r="AB772" s="377">
        <f t="shared" si="296"/>
        <v>0</v>
      </c>
      <c r="AC772" s="377">
        <f t="shared" si="297"/>
        <v>0</v>
      </c>
      <c r="AD772" s="376"/>
      <c r="AE772" s="332">
        <v>757</v>
      </c>
      <c r="AF772" s="350">
        <v>4355892.046950601</v>
      </c>
      <c r="AG772" s="350">
        <v>8745991.6658288017</v>
      </c>
      <c r="AH772" s="350">
        <v>13169315.793335659</v>
      </c>
      <c r="AI772" s="350">
        <v>17626011.09428519</v>
      </c>
      <c r="AJ772" s="350">
        <v>22116720.286813162</v>
      </c>
      <c r="AK772" s="348">
        <v>66013930.887213416</v>
      </c>
      <c r="AL772" s="369"/>
      <c r="AM772" s="350">
        <v>5028803.6996041322</v>
      </c>
      <c r="AN772" s="350">
        <v>10730760.293700509</v>
      </c>
      <c r="AO772" s="350">
        <v>16268129.672446473</v>
      </c>
      <c r="AP772" s="350">
        <v>21637454.79206188</v>
      </c>
      <c r="AQ772" s="350">
        <v>26836782.650429536</v>
      </c>
      <c r="AR772" s="348">
        <v>80501931.108242527</v>
      </c>
      <c r="AS772" s="369"/>
      <c r="AT772" s="350">
        <f t="shared" si="315"/>
        <v>672911.65265353117</v>
      </c>
      <c r="AU772" s="350">
        <f t="shared" si="298"/>
        <v>1984768.6278717071</v>
      </c>
      <c r="AV772" s="350">
        <f t="shared" si="299"/>
        <v>3098813.8791108131</v>
      </c>
      <c r="AW772" s="350">
        <f t="shared" si="300"/>
        <v>4011443.6977766901</v>
      </c>
      <c r="AX772" s="350">
        <f t="shared" si="301"/>
        <v>4720062.3636163734</v>
      </c>
      <c r="AY772" s="350">
        <f t="shared" si="302"/>
        <v>14488000.22102911</v>
      </c>
      <c r="AZ772" s="365"/>
      <c r="BA772" s="377">
        <f t="shared" si="303"/>
        <v>0</v>
      </c>
      <c r="BB772" s="377">
        <f t="shared" si="304"/>
        <v>0</v>
      </c>
      <c r="BC772" s="377">
        <f t="shared" si="305"/>
        <v>0</v>
      </c>
      <c r="BD772" s="377">
        <f t="shared" si="306"/>
        <v>0</v>
      </c>
      <c r="BE772" s="377">
        <f t="shared" si="307"/>
        <v>0</v>
      </c>
      <c r="BF772" s="377">
        <f t="shared" si="308"/>
        <v>0</v>
      </c>
      <c r="BG772" s="328"/>
    </row>
    <row r="773" spans="2:59">
      <c r="B773" s="332">
        <v>758</v>
      </c>
      <c r="C773" s="350">
        <v>9123643.2777288146</v>
      </c>
      <c r="D773" s="350">
        <v>17227512.107311364</v>
      </c>
      <c r="E773" s="350">
        <v>25392400.263633035</v>
      </c>
      <c r="F773" s="350">
        <v>33618861.262779601</v>
      </c>
      <c r="G773" s="350">
        <v>41908204.562708318</v>
      </c>
      <c r="H773" s="348">
        <v>127270621.47416113</v>
      </c>
      <c r="I773" s="369"/>
      <c r="J773" s="350">
        <v>10362276.387446331</v>
      </c>
      <c r="K773" s="350">
        <v>20880949.184086666</v>
      </c>
      <c r="L773" s="350">
        <v>31126432.043178439</v>
      </c>
      <c r="M773" s="350">
        <v>41091499.728323326</v>
      </c>
      <c r="N773" s="350">
        <v>50771492.80601003</v>
      </c>
      <c r="O773" s="348">
        <v>154232650.14904478</v>
      </c>
      <c r="P773" s="369"/>
      <c r="Q773" s="350">
        <f t="shared" si="309"/>
        <v>1238633.1097175162</v>
      </c>
      <c r="R773" s="350">
        <f t="shared" si="310"/>
        <v>3653437.0767753012</v>
      </c>
      <c r="S773" s="350">
        <f t="shared" si="311"/>
        <v>5734031.779545404</v>
      </c>
      <c r="T773" s="350">
        <f t="shared" si="312"/>
        <v>7472638.4655437246</v>
      </c>
      <c r="U773" s="350">
        <f t="shared" si="313"/>
        <v>8863288.243301712</v>
      </c>
      <c r="V773" s="350">
        <f t="shared" si="314"/>
        <v>26962028.674883649</v>
      </c>
      <c r="W773" s="365"/>
      <c r="X773" s="377">
        <f t="shared" si="292"/>
        <v>0</v>
      </c>
      <c r="Y773" s="377">
        <f t="shared" si="293"/>
        <v>0</v>
      </c>
      <c r="Z773" s="377">
        <f t="shared" si="294"/>
        <v>0</v>
      </c>
      <c r="AA773" s="377">
        <f t="shared" si="295"/>
        <v>0</v>
      </c>
      <c r="AB773" s="377">
        <f t="shared" si="296"/>
        <v>0</v>
      </c>
      <c r="AC773" s="377">
        <f t="shared" si="297"/>
        <v>0</v>
      </c>
      <c r="AD773" s="376"/>
      <c r="AE773" s="332">
        <v>758</v>
      </c>
      <c r="AF773" s="350">
        <v>6984343.8194399159</v>
      </c>
      <c r="AG773" s="350">
        <v>14023536.896160631</v>
      </c>
      <c r="AH773" s="350">
        <v>21116002.962430507</v>
      </c>
      <c r="AI773" s="350">
        <v>28261977.184198633</v>
      </c>
      <c r="AJ773" s="350">
        <v>35462490.111439794</v>
      </c>
      <c r="AK773" s="348">
        <v>105848350.97366948</v>
      </c>
      <c r="AL773" s="369"/>
      <c r="AM773" s="350">
        <v>7999682.7123490265</v>
      </c>
      <c r="AN773" s="350">
        <v>17017273.033773761</v>
      </c>
      <c r="AO773" s="350">
        <v>25769054.627561912</v>
      </c>
      <c r="AP773" s="350">
        <v>34249502.380440898</v>
      </c>
      <c r="AQ773" s="350">
        <v>42455420.364757776</v>
      </c>
      <c r="AR773" s="348">
        <v>127490933.11888337</v>
      </c>
      <c r="AS773" s="369"/>
      <c r="AT773" s="350">
        <f t="shared" si="315"/>
        <v>1015338.8929091105</v>
      </c>
      <c r="AU773" s="350">
        <f t="shared" si="298"/>
        <v>2993736.1376131307</v>
      </c>
      <c r="AV773" s="350">
        <f t="shared" si="299"/>
        <v>4653051.665131405</v>
      </c>
      <c r="AW773" s="350">
        <f t="shared" si="300"/>
        <v>5987525.1962422654</v>
      </c>
      <c r="AX773" s="350">
        <f t="shared" si="301"/>
        <v>6992930.253317982</v>
      </c>
      <c r="AY773" s="350">
        <f t="shared" si="302"/>
        <v>21642582.145213887</v>
      </c>
      <c r="AZ773" s="365"/>
      <c r="BA773" s="377">
        <f t="shared" si="303"/>
        <v>0</v>
      </c>
      <c r="BB773" s="377">
        <f t="shared" si="304"/>
        <v>0</v>
      </c>
      <c r="BC773" s="377">
        <f t="shared" si="305"/>
        <v>0</v>
      </c>
      <c r="BD773" s="377">
        <f t="shared" si="306"/>
        <v>0</v>
      </c>
      <c r="BE773" s="377">
        <f t="shared" si="307"/>
        <v>0</v>
      </c>
      <c r="BF773" s="377">
        <f t="shared" si="308"/>
        <v>0</v>
      </c>
      <c r="BG773" s="328"/>
    </row>
    <row r="774" spans="2:59">
      <c r="B774" s="332">
        <v>759</v>
      </c>
      <c r="C774" s="350">
        <v>7651839.7653542394</v>
      </c>
      <c r="D774" s="350">
        <v>14575866.068001542</v>
      </c>
      <c r="E774" s="350">
        <v>21552069.125218857</v>
      </c>
      <c r="F774" s="350">
        <v>28580884.396795012</v>
      </c>
      <c r="G774" s="350">
        <v>35663414.393592045</v>
      </c>
      <c r="H774" s="348">
        <v>108024073.7489617</v>
      </c>
      <c r="I774" s="369"/>
      <c r="J774" s="350">
        <v>8784159.1399402022</v>
      </c>
      <c r="K774" s="350">
        <v>17916925.155951619</v>
      </c>
      <c r="L774" s="350">
        <v>26825839.966509447</v>
      </c>
      <c r="M774" s="350">
        <v>35504387.026466861</v>
      </c>
      <c r="N774" s="350">
        <v>43948347.889041007</v>
      </c>
      <c r="O774" s="348">
        <v>132979659.17790914</v>
      </c>
      <c r="P774" s="369"/>
      <c r="Q774" s="350">
        <f t="shared" si="309"/>
        <v>1132319.3745859629</v>
      </c>
      <c r="R774" s="350">
        <f t="shared" si="310"/>
        <v>3341059.0879500769</v>
      </c>
      <c r="S774" s="350">
        <f t="shared" si="311"/>
        <v>5273770.8412905894</v>
      </c>
      <c r="T774" s="350">
        <f t="shared" si="312"/>
        <v>6923502.6296718493</v>
      </c>
      <c r="U774" s="350">
        <f t="shared" si="313"/>
        <v>8284933.4954489619</v>
      </c>
      <c r="V774" s="350">
        <f t="shared" si="314"/>
        <v>24955585.428947434</v>
      </c>
      <c r="W774" s="365"/>
      <c r="X774" s="377">
        <f t="shared" si="292"/>
        <v>0</v>
      </c>
      <c r="Y774" s="377">
        <f t="shared" si="293"/>
        <v>0</v>
      </c>
      <c r="Z774" s="377">
        <f t="shared" si="294"/>
        <v>0</v>
      </c>
      <c r="AA774" s="377">
        <f t="shared" si="295"/>
        <v>0</v>
      </c>
      <c r="AB774" s="377">
        <f t="shared" si="296"/>
        <v>0</v>
      </c>
      <c r="AC774" s="377">
        <f t="shared" si="297"/>
        <v>0</v>
      </c>
      <c r="AD774" s="376"/>
      <c r="AE774" s="332">
        <v>759</v>
      </c>
      <c r="AF774" s="350">
        <v>7851478.9913610704</v>
      </c>
      <c r="AG774" s="350">
        <v>15764617.002146889</v>
      </c>
      <c r="AH774" s="350">
        <v>23737642.064467605</v>
      </c>
      <c r="AI774" s="350">
        <v>31770818.541097511</v>
      </c>
      <c r="AJ774" s="350">
        <v>39865304.929053046</v>
      </c>
      <c r="AK774" s="348">
        <v>118989861.52812612</v>
      </c>
      <c r="AL774" s="369"/>
      <c r="AM774" s="350">
        <v>9366020.6317558624</v>
      </c>
      <c r="AN774" s="350">
        <v>20236674.057556748</v>
      </c>
      <c r="AO774" s="350">
        <v>30819693.290031888</v>
      </c>
      <c r="AP774" s="350">
        <v>41108761.711216435</v>
      </c>
      <c r="AQ774" s="350">
        <v>51100664.513443321</v>
      </c>
      <c r="AR774" s="348">
        <v>152631814.20400426</v>
      </c>
      <c r="AS774" s="369"/>
      <c r="AT774" s="350">
        <f t="shared" si="315"/>
        <v>1514541.640394792</v>
      </c>
      <c r="AU774" s="350">
        <f t="shared" si="298"/>
        <v>4472057.0554098599</v>
      </c>
      <c r="AV774" s="350">
        <f t="shared" si="299"/>
        <v>7082051.2255642824</v>
      </c>
      <c r="AW774" s="350">
        <f t="shared" si="300"/>
        <v>9337943.1701189242</v>
      </c>
      <c r="AX774" s="350">
        <f t="shared" si="301"/>
        <v>11235359.584390275</v>
      </c>
      <c r="AY774" s="350">
        <f t="shared" si="302"/>
        <v>33641952.675878137</v>
      </c>
      <c r="AZ774" s="365"/>
      <c r="BA774" s="377">
        <f t="shared" si="303"/>
        <v>0</v>
      </c>
      <c r="BB774" s="377">
        <f t="shared" si="304"/>
        <v>0</v>
      </c>
      <c r="BC774" s="377">
        <f t="shared" si="305"/>
        <v>0</v>
      </c>
      <c r="BD774" s="377">
        <f t="shared" si="306"/>
        <v>0</v>
      </c>
      <c r="BE774" s="377">
        <f t="shared" si="307"/>
        <v>0</v>
      </c>
      <c r="BF774" s="377">
        <f t="shared" si="308"/>
        <v>0</v>
      </c>
      <c r="BG774" s="328"/>
    </row>
    <row r="775" spans="2:59">
      <c r="B775" s="332">
        <v>760</v>
      </c>
      <c r="C775" s="350">
        <v>7538264.1059631817</v>
      </c>
      <c r="D775" s="350">
        <v>14375638.308573656</v>
      </c>
      <c r="E775" s="350">
        <v>21264541.40875544</v>
      </c>
      <c r="F775" s="350">
        <v>28205398.764591783</v>
      </c>
      <c r="G775" s="350">
        <v>35199297.065252677</v>
      </c>
      <c r="H775" s="348">
        <v>106583139.65313675</v>
      </c>
      <c r="I775" s="369"/>
      <c r="J775" s="350">
        <v>8629344.0760483127</v>
      </c>
      <c r="K775" s="350">
        <v>17594604.923082575</v>
      </c>
      <c r="L775" s="350">
        <v>26329090.948421698</v>
      </c>
      <c r="M775" s="350">
        <v>34826723.626846373</v>
      </c>
      <c r="N775" s="350">
        <v>43083675.11777167</v>
      </c>
      <c r="O775" s="348">
        <v>130463438.69217063</v>
      </c>
      <c r="P775" s="369"/>
      <c r="Q775" s="350">
        <f t="shared" si="309"/>
        <v>1091079.970085131</v>
      </c>
      <c r="R775" s="350">
        <f t="shared" si="310"/>
        <v>3218966.6145089194</v>
      </c>
      <c r="S775" s="350">
        <f t="shared" si="311"/>
        <v>5064549.5396662578</v>
      </c>
      <c r="T775" s="350">
        <f t="shared" si="312"/>
        <v>6621324.8622545898</v>
      </c>
      <c r="U775" s="350">
        <f t="shared" si="313"/>
        <v>7884378.0525189936</v>
      </c>
      <c r="V775" s="350">
        <f t="shared" si="314"/>
        <v>23880299.03903389</v>
      </c>
      <c r="W775" s="365"/>
      <c r="X775" s="377">
        <f t="shared" si="292"/>
        <v>0</v>
      </c>
      <c r="Y775" s="377">
        <f t="shared" si="293"/>
        <v>0</v>
      </c>
      <c r="Z775" s="377">
        <f t="shared" si="294"/>
        <v>0</v>
      </c>
      <c r="AA775" s="377">
        <f t="shared" si="295"/>
        <v>0</v>
      </c>
      <c r="AB775" s="377">
        <f t="shared" si="296"/>
        <v>0</v>
      </c>
      <c r="AC775" s="377">
        <f t="shared" si="297"/>
        <v>0</v>
      </c>
      <c r="AD775" s="376"/>
      <c r="AE775" s="332">
        <v>760</v>
      </c>
      <c r="AF775" s="350">
        <v>6271386.9595538117</v>
      </c>
      <c r="AG775" s="350">
        <v>12592024.203134961</v>
      </c>
      <c r="AH775" s="350">
        <v>18960496.367303088</v>
      </c>
      <c r="AI775" s="350">
        <v>25377014.612434108</v>
      </c>
      <c r="AJ775" s="350">
        <v>31842504.290692825</v>
      </c>
      <c r="AK775" s="348">
        <v>95043426.43311879</v>
      </c>
      <c r="AL775" s="369"/>
      <c r="AM775" s="350">
        <v>7831668.0273731072</v>
      </c>
      <c r="AN775" s="350">
        <v>17203681.19875998</v>
      </c>
      <c r="AO775" s="350">
        <v>26356444.601417765</v>
      </c>
      <c r="AP775" s="350">
        <v>35284813.677182883</v>
      </c>
      <c r="AQ775" s="350">
        <v>43986575.603261203</v>
      </c>
      <c r="AR775" s="348">
        <v>130663183.10799494</v>
      </c>
      <c r="AS775" s="369"/>
      <c r="AT775" s="350">
        <f t="shared" si="315"/>
        <v>1560281.0678192955</v>
      </c>
      <c r="AU775" s="350">
        <f t="shared" si="298"/>
        <v>4611656.9956250191</v>
      </c>
      <c r="AV775" s="350">
        <f t="shared" si="299"/>
        <v>7395948.2341146767</v>
      </c>
      <c r="AW775" s="350">
        <f t="shared" si="300"/>
        <v>9907799.0647487752</v>
      </c>
      <c r="AX775" s="350">
        <f t="shared" si="301"/>
        <v>12144071.312568378</v>
      </c>
      <c r="AY775" s="350">
        <f t="shared" si="302"/>
        <v>35619756.674876153</v>
      </c>
      <c r="AZ775" s="365"/>
      <c r="BA775" s="377">
        <f t="shared" si="303"/>
        <v>0</v>
      </c>
      <c r="BB775" s="377">
        <f t="shared" si="304"/>
        <v>0</v>
      </c>
      <c r="BC775" s="377">
        <f t="shared" si="305"/>
        <v>0</v>
      </c>
      <c r="BD775" s="377">
        <f t="shared" si="306"/>
        <v>0</v>
      </c>
      <c r="BE775" s="377">
        <f t="shared" si="307"/>
        <v>0</v>
      </c>
      <c r="BF775" s="377">
        <f t="shared" si="308"/>
        <v>0</v>
      </c>
      <c r="BG775" s="328"/>
    </row>
    <row r="776" spans="2:59">
      <c r="B776" s="332">
        <v>761</v>
      </c>
      <c r="C776" s="350">
        <v>7697898.2085319953</v>
      </c>
      <c r="D776" s="350">
        <v>14433612.6742527</v>
      </c>
      <c r="E776" s="350">
        <v>21220011.813920669</v>
      </c>
      <c r="F776" s="350">
        <v>28057585.613825835</v>
      </c>
      <c r="G776" s="350">
        <v>34947435.477289908</v>
      </c>
      <c r="H776" s="348">
        <v>106356543.78782111</v>
      </c>
      <c r="I776" s="369"/>
      <c r="J776" s="350">
        <v>8875525.8609531261</v>
      </c>
      <c r="K776" s="350">
        <v>17909515.9811868</v>
      </c>
      <c r="L776" s="350">
        <v>26727521.399721067</v>
      </c>
      <c r="M776" s="350">
        <v>35323273.834336385</v>
      </c>
      <c r="N776" s="350">
        <v>43692802.524162859</v>
      </c>
      <c r="O776" s="348">
        <v>132528639.60036024</v>
      </c>
      <c r="P776" s="369"/>
      <c r="Q776" s="350">
        <f t="shared" si="309"/>
        <v>1177627.6524211308</v>
      </c>
      <c r="R776" s="350">
        <f t="shared" si="310"/>
        <v>3475903.3069340996</v>
      </c>
      <c r="S776" s="350">
        <f t="shared" si="311"/>
        <v>5507509.5858003981</v>
      </c>
      <c r="T776" s="350">
        <f t="shared" si="312"/>
        <v>7265688.2205105498</v>
      </c>
      <c r="U776" s="350">
        <f t="shared" si="313"/>
        <v>8745367.0468729511</v>
      </c>
      <c r="V776" s="350">
        <f t="shared" si="314"/>
        <v>26172095.81253913</v>
      </c>
      <c r="W776" s="365"/>
      <c r="X776" s="377">
        <f t="shared" si="292"/>
        <v>0</v>
      </c>
      <c r="Y776" s="377">
        <f t="shared" si="293"/>
        <v>0</v>
      </c>
      <c r="Z776" s="377">
        <f t="shared" si="294"/>
        <v>0</v>
      </c>
      <c r="AA776" s="377">
        <f t="shared" si="295"/>
        <v>0</v>
      </c>
      <c r="AB776" s="377">
        <f t="shared" si="296"/>
        <v>0</v>
      </c>
      <c r="AC776" s="377">
        <f t="shared" si="297"/>
        <v>0</v>
      </c>
      <c r="AD776" s="376"/>
      <c r="AE776" s="332">
        <v>761</v>
      </c>
      <c r="AF776" s="350">
        <v>6226030.5514926929</v>
      </c>
      <c r="AG776" s="350">
        <v>12500955.195313206</v>
      </c>
      <c r="AH776" s="350">
        <v>18823368.804321721</v>
      </c>
      <c r="AI776" s="350">
        <v>25193481.011723813</v>
      </c>
      <c r="AJ776" s="350">
        <v>31612210.477281045</v>
      </c>
      <c r="AK776" s="348">
        <v>94356046.040132478</v>
      </c>
      <c r="AL776" s="369"/>
      <c r="AM776" s="350">
        <v>7475688.7719752742</v>
      </c>
      <c r="AN776" s="350">
        <v>16191509.432668343</v>
      </c>
      <c r="AO776" s="350">
        <v>24680700.718349129</v>
      </c>
      <c r="AP776" s="350">
        <v>32938239.941744775</v>
      </c>
      <c r="AQ776" s="350">
        <v>40961627.124121182</v>
      </c>
      <c r="AR776" s="348">
        <v>122247765.9888587</v>
      </c>
      <c r="AS776" s="369"/>
      <c r="AT776" s="350">
        <f t="shared" si="315"/>
        <v>1249658.2204825813</v>
      </c>
      <c r="AU776" s="350">
        <f t="shared" si="298"/>
        <v>3690554.2373551372</v>
      </c>
      <c r="AV776" s="350">
        <f t="shared" si="299"/>
        <v>5857331.9140274078</v>
      </c>
      <c r="AW776" s="350">
        <f t="shared" si="300"/>
        <v>7744758.9300209619</v>
      </c>
      <c r="AX776" s="350">
        <f t="shared" si="301"/>
        <v>9349416.6468401365</v>
      </c>
      <c r="AY776" s="350">
        <f t="shared" si="302"/>
        <v>27891719.948726222</v>
      </c>
      <c r="AZ776" s="365"/>
      <c r="BA776" s="377">
        <f t="shared" si="303"/>
        <v>0</v>
      </c>
      <c r="BB776" s="377">
        <f t="shared" si="304"/>
        <v>0</v>
      </c>
      <c r="BC776" s="377">
        <f t="shared" si="305"/>
        <v>0</v>
      </c>
      <c r="BD776" s="377">
        <f t="shared" si="306"/>
        <v>0</v>
      </c>
      <c r="BE776" s="377">
        <f t="shared" si="307"/>
        <v>0</v>
      </c>
      <c r="BF776" s="377">
        <f t="shared" si="308"/>
        <v>0</v>
      </c>
      <c r="BG776" s="328"/>
    </row>
    <row r="777" spans="2:59">
      <c r="B777" s="332">
        <v>762</v>
      </c>
      <c r="C777" s="350">
        <v>8154184.8185402928</v>
      </c>
      <c r="D777" s="350">
        <v>15458898.666057786</v>
      </c>
      <c r="E777" s="350">
        <v>22818634.520162851</v>
      </c>
      <c r="F777" s="350">
        <v>30233873.101536959</v>
      </c>
      <c r="G777" s="350">
        <v>37705786.813685037</v>
      </c>
      <c r="H777" s="348">
        <v>114371377.91998291</v>
      </c>
      <c r="I777" s="369"/>
      <c r="J777" s="350">
        <v>9142875.9298489057</v>
      </c>
      <c r="K777" s="350">
        <v>18373051.208083253</v>
      </c>
      <c r="L777" s="350">
        <v>27357757.33412528</v>
      </c>
      <c r="M777" s="350">
        <v>36090315.713827193</v>
      </c>
      <c r="N777" s="350">
        <v>44566198.121415906</v>
      </c>
      <c r="O777" s="348">
        <v>135530198.30730054</v>
      </c>
      <c r="P777" s="369"/>
      <c r="Q777" s="350">
        <f t="shared" si="309"/>
        <v>988691.11130861286</v>
      </c>
      <c r="R777" s="350">
        <f t="shared" si="310"/>
        <v>2914152.5420254674</v>
      </c>
      <c r="S777" s="350">
        <f t="shared" si="311"/>
        <v>4539122.8139624298</v>
      </c>
      <c r="T777" s="350">
        <f t="shared" si="312"/>
        <v>5856442.6122902334</v>
      </c>
      <c r="U777" s="350">
        <f t="shared" si="313"/>
        <v>6860411.3077308685</v>
      </c>
      <c r="V777" s="350">
        <f t="shared" si="314"/>
        <v>21158820.387317628</v>
      </c>
      <c r="W777" s="365"/>
      <c r="X777" s="377">
        <f t="shared" si="292"/>
        <v>0</v>
      </c>
      <c r="Y777" s="377">
        <f t="shared" si="293"/>
        <v>0</v>
      </c>
      <c r="Z777" s="377">
        <f t="shared" si="294"/>
        <v>0</v>
      </c>
      <c r="AA777" s="377">
        <f t="shared" si="295"/>
        <v>0</v>
      </c>
      <c r="AB777" s="377">
        <f t="shared" si="296"/>
        <v>0</v>
      </c>
      <c r="AC777" s="377">
        <f t="shared" si="297"/>
        <v>0</v>
      </c>
      <c r="AD777" s="376"/>
      <c r="AE777" s="332">
        <v>762</v>
      </c>
      <c r="AF777" s="350">
        <v>8287242.6895751981</v>
      </c>
      <c r="AG777" s="350">
        <v>16639566.526095621</v>
      </c>
      <c r="AH777" s="350">
        <v>25055101.195960801</v>
      </c>
      <c r="AI777" s="350">
        <v>33534125.734301709</v>
      </c>
      <c r="AJ777" s="350">
        <v>42077862.935695127</v>
      </c>
      <c r="AK777" s="348">
        <v>125593899.08162846</v>
      </c>
      <c r="AL777" s="369"/>
      <c r="AM777" s="350">
        <v>9729366.3288549986</v>
      </c>
      <c r="AN777" s="350">
        <v>20895763.646851309</v>
      </c>
      <c r="AO777" s="350">
        <v>31753876.31580995</v>
      </c>
      <c r="AP777" s="350">
        <v>42297081.397460505</v>
      </c>
      <c r="AQ777" s="350">
        <v>52521827.185755</v>
      </c>
      <c r="AR777" s="348">
        <v>157197914.87473178</v>
      </c>
      <c r="AS777" s="369"/>
      <c r="AT777" s="350">
        <f t="shared" si="315"/>
        <v>1442123.6392798005</v>
      </c>
      <c r="AU777" s="350">
        <f t="shared" si="298"/>
        <v>4256197.1207556874</v>
      </c>
      <c r="AV777" s="350">
        <f t="shared" si="299"/>
        <v>6698775.1198491491</v>
      </c>
      <c r="AW777" s="350">
        <f t="shared" si="300"/>
        <v>8762955.6631587967</v>
      </c>
      <c r="AX777" s="350">
        <f t="shared" si="301"/>
        <v>10443964.250059873</v>
      </c>
      <c r="AY777" s="350">
        <f t="shared" si="302"/>
        <v>31604015.793103322</v>
      </c>
      <c r="AZ777" s="365"/>
      <c r="BA777" s="377">
        <f t="shared" si="303"/>
        <v>0</v>
      </c>
      <c r="BB777" s="377">
        <f t="shared" si="304"/>
        <v>0</v>
      </c>
      <c r="BC777" s="377">
        <f t="shared" si="305"/>
        <v>0</v>
      </c>
      <c r="BD777" s="377">
        <f t="shared" si="306"/>
        <v>0</v>
      </c>
      <c r="BE777" s="377">
        <f t="shared" si="307"/>
        <v>0</v>
      </c>
      <c r="BF777" s="377">
        <f t="shared" si="308"/>
        <v>0</v>
      </c>
      <c r="BG777" s="328"/>
    </row>
    <row r="778" spans="2:59">
      <c r="B778" s="332">
        <v>763</v>
      </c>
      <c r="C778" s="350">
        <v>9941186.0204503573</v>
      </c>
      <c r="D778" s="350">
        <v>18618034.60592553</v>
      </c>
      <c r="E778" s="350">
        <v>27360167.299435541</v>
      </c>
      <c r="F778" s="350">
        <v>36168221.787475459</v>
      </c>
      <c r="G778" s="350">
        <v>45043619.706891388</v>
      </c>
      <c r="H778" s="348">
        <v>137131229.42017826</v>
      </c>
      <c r="I778" s="369"/>
      <c r="J778" s="350">
        <v>11591923.838679582</v>
      </c>
      <c r="K778" s="350">
        <v>23492264.826239295</v>
      </c>
      <c r="L778" s="350">
        <v>35117131.525062121</v>
      </c>
      <c r="M778" s="350">
        <v>46458470.622654296</v>
      </c>
      <c r="N778" s="350">
        <v>57511360.020460024</v>
      </c>
      <c r="O778" s="348">
        <v>174171150.83309531</v>
      </c>
      <c r="P778" s="369"/>
      <c r="Q778" s="350">
        <f t="shared" si="309"/>
        <v>1650737.8182292245</v>
      </c>
      <c r="R778" s="350">
        <f t="shared" si="310"/>
        <v>4874230.2203137651</v>
      </c>
      <c r="S778" s="350">
        <f t="shared" si="311"/>
        <v>7756964.2256265804</v>
      </c>
      <c r="T778" s="350">
        <f t="shared" si="312"/>
        <v>10290248.835178837</v>
      </c>
      <c r="U778" s="350">
        <f t="shared" si="313"/>
        <v>12467740.313568637</v>
      </c>
      <c r="V778" s="350">
        <f t="shared" si="314"/>
        <v>37039921.412917048</v>
      </c>
      <c r="W778" s="365"/>
      <c r="X778" s="377">
        <f t="shared" si="292"/>
        <v>0</v>
      </c>
      <c r="Y778" s="377">
        <f t="shared" si="293"/>
        <v>0</v>
      </c>
      <c r="Z778" s="377">
        <f t="shared" si="294"/>
        <v>0</v>
      </c>
      <c r="AA778" s="377">
        <f t="shared" si="295"/>
        <v>0</v>
      </c>
      <c r="AB778" s="377">
        <f t="shared" si="296"/>
        <v>0</v>
      </c>
      <c r="AC778" s="377">
        <f t="shared" si="297"/>
        <v>0</v>
      </c>
      <c r="AD778" s="376"/>
      <c r="AE778" s="332">
        <v>763</v>
      </c>
      <c r="AF778" s="350">
        <v>6698011.7875465285</v>
      </c>
      <c r="AG778" s="350">
        <v>13448624.217515958</v>
      </c>
      <c r="AH778" s="350">
        <v>20250325.643271215</v>
      </c>
      <c r="AI778" s="350">
        <v>27103341.589835081</v>
      </c>
      <c r="AJ778" s="350">
        <v>34008660.358479261</v>
      </c>
      <c r="AK778" s="348">
        <v>101508963.59664804</v>
      </c>
      <c r="AL778" s="369"/>
      <c r="AM778" s="350">
        <v>7888119.5703051845</v>
      </c>
      <c r="AN778" s="350">
        <v>16961389.390767619</v>
      </c>
      <c r="AO778" s="350">
        <v>25786228.717870843</v>
      </c>
      <c r="AP778" s="350">
        <v>34357277.743118674</v>
      </c>
      <c r="AQ778" s="350">
        <v>42671690.7163525</v>
      </c>
      <c r="AR778" s="348">
        <v>127664706.13841483</v>
      </c>
      <c r="AS778" s="369"/>
      <c r="AT778" s="350">
        <f t="shared" si="315"/>
        <v>1190107.782758656</v>
      </c>
      <c r="AU778" s="350">
        <f t="shared" si="298"/>
        <v>3512765.1732516605</v>
      </c>
      <c r="AV778" s="350">
        <f t="shared" si="299"/>
        <v>5535903.0745996274</v>
      </c>
      <c r="AW778" s="350">
        <f t="shared" si="300"/>
        <v>7253936.1532835923</v>
      </c>
      <c r="AX778" s="350">
        <f t="shared" si="301"/>
        <v>8663030.3578732386</v>
      </c>
      <c r="AY778" s="350">
        <f t="shared" si="302"/>
        <v>26155742.541766793</v>
      </c>
      <c r="AZ778" s="365"/>
      <c r="BA778" s="377">
        <f t="shared" si="303"/>
        <v>0</v>
      </c>
      <c r="BB778" s="377">
        <f t="shared" si="304"/>
        <v>0</v>
      </c>
      <c r="BC778" s="377">
        <f t="shared" si="305"/>
        <v>0</v>
      </c>
      <c r="BD778" s="377">
        <f t="shared" si="306"/>
        <v>0</v>
      </c>
      <c r="BE778" s="377">
        <f t="shared" si="307"/>
        <v>0</v>
      </c>
      <c r="BF778" s="377">
        <f t="shared" si="308"/>
        <v>0</v>
      </c>
      <c r="BG778" s="328"/>
    </row>
    <row r="779" spans="2:59">
      <c r="B779" s="332">
        <v>764</v>
      </c>
      <c r="C779" s="350">
        <v>8470079.4456825126</v>
      </c>
      <c r="D779" s="350">
        <v>16029423.629081193</v>
      </c>
      <c r="E779" s="350">
        <v>23645698.700126886</v>
      </c>
      <c r="F779" s="350">
        <v>31319410.40217397</v>
      </c>
      <c r="G779" s="350">
        <v>39051775.603109285</v>
      </c>
      <c r="H779" s="348">
        <v>118516387.78017385</v>
      </c>
      <c r="I779" s="369"/>
      <c r="J779" s="350">
        <v>9445380.953100292</v>
      </c>
      <c r="K779" s="350">
        <v>18903238.71532261</v>
      </c>
      <c r="L779" s="350">
        <v>28108485.155570902</v>
      </c>
      <c r="M779" s="350">
        <v>37054117.099114701</v>
      </c>
      <c r="N779" s="350">
        <v>45735285.606562644</v>
      </c>
      <c r="O779" s="348">
        <v>139246507.52967113</v>
      </c>
      <c r="P779" s="369"/>
      <c r="Q779" s="350">
        <f t="shared" si="309"/>
        <v>975301.50741777942</v>
      </c>
      <c r="R779" s="350">
        <f t="shared" si="310"/>
        <v>2873815.0862414166</v>
      </c>
      <c r="S779" s="350">
        <f t="shared" si="311"/>
        <v>4462786.4554440156</v>
      </c>
      <c r="T779" s="350">
        <f t="shared" si="312"/>
        <v>5734706.6969407313</v>
      </c>
      <c r="U779" s="350">
        <f t="shared" si="313"/>
        <v>6683510.003453359</v>
      </c>
      <c r="V779" s="350">
        <f t="shared" si="314"/>
        <v>20730119.74949728</v>
      </c>
      <c r="W779" s="365"/>
      <c r="X779" s="377">
        <f t="shared" si="292"/>
        <v>0</v>
      </c>
      <c r="Y779" s="377">
        <f t="shared" si="293"/>
        <v>0</v>
      </c>
      <c r="Z779" s="377">
        <f t="shared" si="294"/>
        <v>0</v>
      </c>
      <c r="AA779" s="377">
        <f t="shared" si="295"/>
        <v>0</v>
      </c>
      <c r="AB779" s="377">
        <f t="shared" si="296"/>
        <v>0</v>
      </c>
      <c r="AC779" s="377">
        <f t="shared" si="297"/>
        <v>0</v>
      </c>
      <c r="AD779" s="376"/>
      <c r="AE779" s="332">
        <v>764</v>
      </c>
      <c r="AF779" s="350">
        <v>7072686.3323972337</v>
      </c>
      <c r="AG779" s="350">
        <v>14200915.691074518</v>
      </c>
      <c r="AH779" s="350">
        <v>21383091.870643061</v>
      </c>
      <c r="AI779" s="350">
        <v>28619453.011583477</v>
      </c>
      <c r="AJ779" s="350">
        <v>35911042.69893539</v>
      </c>
      <c r="AK779" s="348">
        <v>107187189.60463367</v>
      </c>
      <c r="AL779" s="369"/>
      <c r="AM779" s="350">
        <v>8464422.9882616308</v>
      </c>
      <c r="AN779" s="350">
        <v>18310716.206295934</v>
      </c>
      <c r="AO779" s="350">
        <v>27898727.165256336</v>
      </c>
      <c r="AP779" s="350">
        <v>37222758.039784953</v>
      </c>
      <c r="AQ779" s="350">
        <v>46279940.674146615</v>
      </c>
      <c r="AR779" s="348">
        <v>138176565.07374546</v>
      </c>
      <c r="AS779" s="369"/>
      <c r="AT779" s="350">
        <f t="shared" si="315"/>
        <v>1391736.6558643971</v>
      </c>
      <c r="AU779" s="350">
        <f t="shared" si="298"/>
        <v>4109800.5152214151</v>
      </c>
      <c r="AV779" s="350">
        <f t="shared" si="299"/>
        <v>6515635.2946132757</v>
      </c>
      <c r="AW779" s="350">
        <f t="shared" si="300"/>
        <v>8603305.0282014757</v>
      </c>
      <c r="AX779" s="350">
        <f t="shared" si="301"/>
        <v>10368897.975211225</v>
      </c>
      <c r="AY779" s="350">
        <f t="shared" si="302"/>
        <v>30989375.469111785</v>
      </c>
      <c r="AZ779" s="365"/>
      <c r="BA779" s="377">
        <f t="shared" si="303"/>
        <v>0</v>
      </c>
      <c r="BB779" s="377">
        <f t="shared" si="304"/>
        <v>0</v>
      </c>
      <c r="BC779" s="377">
        <f t="shared" si="305"/>
        <v>0</v>
      </c>
      <c r="BD779" s="377">
        <f t="shared" si="306"/>
        <v>0</v>
      </c>
      <c r="BE779" s="377">
        <f t="shared" si="307"/>
        <v>0</v>
      </c>
      <c r="BF779" s="377">
        <f t="shared" si="308"/>
        <v>0</v>
      </c>
      <c r="BG779" s="328"/>
    </row>
    <row r="780" spans="2:59">
      <c r="B780" s="332">
        <v>765</v>
      </c>
      <c r="C780" s="350">
        <v>5775677.3976350632</v>
      </c>
      <c r="D780" s="350">
        <v>10882523.998220555</v>
      </c>
      <c r="E780" s="350">
        <v>16027815.858217072</v>
      </c>
      <c r="F780" s="350">
        <v>21211908.629424788</v>
      </c>
      <c r="G780" s="350">
        <v>26435630.474317215</v>
      </c>
      <c r="H780" s="348">
        <v>80333556.357814699</v>
      </c>
      <c r="I780" s="369"/>
      <c r="J780" s="350">
        <v>6406712.4399700025</v>
      </c>
      <c r="K780" s="350">
        <v>12741399.277316201</v>
      </c>
      <c r="L780" s="350">
        <v>18903012.250844151</v>
      </c>
      <c r="M780" s="350">
        <v>24886909.428084679</v>
      </c>
      <c r="N780" s="350">
        <v>30689862.739039063</v>
      </c>
      <c r="O780" s="348">
        <v>93627896.135254085</v>
      </c>
      <c r="P780" s="369"/>
      <c r="Q780" s="350">
        <f t="shared" si="309"/>
        <v>631035.04233493935</v>
      </c>
      <c r="R780" s="350">
        <f t="shared" si="310"/>
        <v>1858875.279095646</v>
      </c>
      <c r="S780" s="350">
        <f t="shared" si="311"/>
        <v>2875196.392627079</v>
      </c>
      <c r="T780" s="350">
        <f t="shared" si="312"/>
        <v>3675000.7986598909</v>
      </c>
      <c r="U780" s="350">
        <f t="shared" si="313"/>
        <v>4254232.2647218481</v>
      </c>
      <c r="V780" s="350">
        <f t="shared" si="314"/>
        <v>13294339.777439386</v>
      </c>
      <c r="W780" s="365"/>
      <c r="X780" s="377">
        <f t="shared" si="292"/>
        <v>0</v>
      </c>
      <c r="Y780" s="377">
        <f t="shared" si="293"/>
        <v>0</v>
      </c>
      <c r="Z780" s="377">
        <f t="shared" si="294"/>
        <v>0</v>
      </c>
      <c r="AA780" s="377">
        <f t="shared" si="295"/>
        <v>0</v>
      </c>
      <c r="AB780" s="377">
        <f t="shared" si="296"/>
        <v>0</v>
      </c>
      <c r="AC780" s="377">
        <f t="shared" si="297"/>
        <v>0</v>
      </c>
      <c r="AD780" s="376"/>
      <c r="AE780" s="332">
        <v>765</v>
      </c>
      <c r="AF780" s="350">
        <v>5527875.1287000701</v>
      </c>
      <c r="AG780" s="350">
        <v>11099161.614714237</v>
      </c>
      <c r="AH780" s="350">
        <v>16712611.894718707</v>
      </c>
      <c r="AI780" s="350">
        <v>22368412.094716817</v>
      </c>
      <c r="AJ780" s="350">
        <v>28067377.860633485</v>
      </c>
      <c r="AK780" s="348">
        <v>83775438.593483314</v>
      </c>
      <c r="AL780" s="369"/>
      <c r="AM780" s="350">
        <v>6491733.1403204259</v>
      </c>
      <c r="AN780" s="350">
        <v>13943861.747763073</v>
      </c>
      <c r="AO780" s="350">
        <v>21190411.187415831</v>
      </c>
      <c r="AP780" s="350">
        <v>28226963.191476837</v>
      </c>
      <c r="AQ780" s="350">
        <v>35051150.586675316</v>
      </c>
      <c r="AR780" s="348">
        <v>104904119.85365148</v>
      </c>
      <c r="AS780" s="369"/>
      <c r="AT780" s="350">
        <f t="shared" si="315"/>
        <v>963858.01162035577</v>
      </c>
      <c r="AU780" s="350">
        <f t="shared" si="298"/>
        <v>2844700.1330488361</v>
      </c>
      <c r="AV780" s="350">
        <f t="shared" si="299"/>
        <v>4477799.2926971242</v>
      </c>
      <c r="AW780" s="350">
        <f t="shared" si="300"/>
        <v>5858551.0967600197</v>
      </c>
      <c r="AX780" s="350">
        <f t="shared" si="301"/>
        <v>6983772.7260418311</v>
      </c>
      <c r="AY780" s="350">
        <f t="shared" si="302"/>
        <v>21128681.260168165</v>
      </c>
      <c r="AZ780" s="365"/>
      <c r="BA780" s="377">
        <f t="shared" si="303"/>
        <v>0</v>
      </c>
      <c r="BB780" s="377">
        <f t="shared" si="304"/>
        <v>0</v>
      </c>
      <c r="BC780" s="377">
        <f t="shared" si="305"/>
        <v>0</v>
      </c>
      <c r="BD780" s="377">
        <f t="shared" si="306"/>
        <v>0</v>
      </c>
      <c r="BE780" s="377">
        <f t="shared" si="307"/>
        <v>0</v>
      </c>
      <c r="BF780" s="377">
        <f t="shared" si="308"/>
        <v>0</v>
      </c>
      <c r="BG780" s="328"/>
    </row>
    <row r="781" spans="2:59">
      <c r="B781" s="332">
        <v>766</v>
      </c>
      <c r="C781" s="350">
        <v>7640279.9410668556</v>
      </c>
      <c r="D781" s="350">
        <v>14367838.048656881</v>
      </c>
      <c r="E781" s="350">
        <v>21146033.333987433</v>
      </c>
      <c r="F781" s="350">
        <v>27975342.578341942</v>
      </c>
      <c r="G781" s="350">
        <v>34856860.364023685</v>
      </c>
      <c r="H781" s="348">
        <v>105986354.2660768</v>
      </c>
      <c r="I781" s="369"/>
      <c r="J781" s="350">
        <v>8803404.8776344061</v>
      </c>
      <c r="K781" s="350">
        <v>17800754.81770692</v>
      </c>
      <c r="L781" s="350">
        <v>26581999.485089794</v>
      </c>
      <c r="M781" s="350">
        <v>35140872.99487713</v>
      </c>
      <c r="N781" s="350">
        <v>43473394.450412378</v>
      </c>
      <c r="O781" s="348">
        <v>131800426.62572064</v>
      </c>
      <c r="P781" s="369"/>
      <c r="Q781" s="350">
        <f t="shared" si="309"/>
        <v>1163124.9365675505</v>
      </c>
      <c r="R781" s="350">
        <f t="shared" si="310"/>
        <v>3432916.7690500394</v>
      </c>
      <c r="S781" s="350">
        <f t="shared" si="311"/>
        <v>5435966.1511023603</v>
      </c>
      <c r="T781" s="350">
        <f t="shared" si="312"/>
        <v>7165530.4165351875</v>
      </c>
      <c r="U781" s="350">
        <f t="shared" si="313"/>
        <v>8616534.0863886923</v>
      </c>
      <c r="V781" s="350">
        <f t="shared" si="314"/>
        <v>25814072.359643832</v>
      </c>
      <c r="W781" s="365"/>
      <c r="X781" s="377">
        <f t="shared" si="292"/>
        <v>0</v>
      </c>
      <c r="Y781" s="377">
        <f t="shared" si="293"/>
        <v>0</v>
      </c>
      <c r="Z781" s="377">
        <f t="shared" si="294"/>
        <v>0</v>
      </c>
      <c r="AA781" s="377">
        <f t="shared" si="295"/>
        <v>0</v>
      </c>
      <c r="AB781" s="377">
        <f t="shared" si="296"/>
        <v>0</v>
      </c>
      <c r="AC781" s="377">
        <f t="shared" si="297"/>
        <v>0</v>
      </c>
      <c r="AD781" s="376"/>
      <c r="AE781" s="332">
        <v>766</v>
      </c>
      <c r="AF781" s="350">
        <v>5501912.8115817495</v>
      </c>
      <c r="AG781" s="350">
        <v>11047033.093921028</v>
      </c>
      <c r="AH781" s="350">
        <v>16634119.143022245</v>
      </c>
      <c r="AI781" s="350">
        <v>22263356.210726023</v>
      </c>
      <c r="AJ781" s="350">
        <v>27935556.112180054</v>
      </c>
      <c r="AK781" s="348">
        <v>83381977.371431097</v>
      </c>
      <c r="AL781" s="369"/>
      <c r="AM781" s="350">
        <v>6476216.4222337976</v>
      </c>
      <c r="AN781" s="350">
        <v>13922776.712089673</v>
      </c>
      <c r="AO781" s="350">
        <v>21165171.791201457</v>
      </c>
      <c r="AP781" s="350">
        <v>28198999.907912385</v>
      </c>
      <c r="AQ781" s="350">
        <v>35021920.170263857</v>
      </c>
      <c r="AR781" s="348">
        <v>104785085.00370117</v>
      </c>
      <c r="AS781" s="369"/>
      <c r="AT781" s="350">
        <f t="shared" si="315"/>
        <v>974303.61065204814</v>
      </c>
      <c r="AU781" s="350">
        <f t="shared" si="298"/>
        <v>2875743.6181686446</v>
      </c>
      <c r="AV781" s="350">
        <f t="shared" si="299"/>
        <v>4531052.6481792126</v>
      </c>
      <c r="AW781" s="350">
        <f t="shared" si="300"/>
        <v>5935643.697186362</v>
      </c>
      <c r="AX781" s="350">
        <f t="shared" si="301"/>
        <v>7086364.0580838025</v>
      </c>
      <c r="AY781" s="350">
        <f t="shared" si="302"/>
        <v>21403107.632270068</v>
      </c>
      <c r="AZ781" s="365"/>
      <c r="BA781" s="377">
        <f t="shared" si="303"/>
        <v>0</v>
      </c>
      <c r="BB781" s="377">
        <f t="shared" si="304"/>
        <v>0</v>
      </c>
      <c r="BC781" s="377">
        <f t="shared" si="305"/>
        <v>0</v>
      </c>
      <c r="BD781" s="377">
        <f t="shared" si="306"/>
        <v>0</v>
      </c>
      <c r="BE781" s="377">
        <f t="shared" si="307"/>
        <v>0</v>
      </c>
      <c r="BF781" s="377">
        <f t="shared" si="308"/>
        <v>0</v>
      </c>
      <c r="BG781" s="328"/>
    </row>
    <row r="782" spans="2:59">
      <c r="B782" s="332">
        <v>767</v>
      </c>
      <c r="C782" s="350">
        <v>9727058.5849187635</v>
      </c>
      <c r="D782" s="350">
        <v>18385063.163541485</v>
      </c>
      <c r="E782" s="350">
        <v>27108265.396234177</v>
      </c>
      <c r="F782" s="350">
        <v>35897251.307506472</v>
      </c>
      <c r="G782" s="350">
        <v>44753417.57129249</v>
      </c>
      <c r="H782" s="348">
        <v>135871056.02349338</v>
      </c>
      <c r="I782" s="369"/>
      <c r="J782" s="350">
        <v>10762208.898377072</v>
      </c>
      <c r="K782" s="350">
        <v>21433688.660767339</v>
      </c>
      <c r="L782" s="350">
        <v>31811780.92306301</v>
      </c>
      <c r="M782" s="350">
        <v>41888581.899245739</v>
      </c>
      <c r="N782" s="350">
        <v>51658548.071030624</v>
      </c>
      <c r="O782" s="348">
        <v>157554808.45248377</v>
      </c>
      <c r="P782" s="369"/>
      <c r="Q782" s="350">
        <f t="shared" si="309"/>
        <v>1035150.3134583086</v>
      </c>
      <c r="R782" s="350">
        <f t="shared" si="310"/>
        <v>3048625.4972258545</v>
      </c>
      <c r="S782" s="350">
        <f t="shared" si="311"/>
        <v>4703515.5268288329</v>
      </c>
      <c r="T782" s="350">
        <f t="shared" si="312"/>
        <v>5991330.5917392671</v>
      </c>
      <c r="U782" s="350">
        <f t="shared" si="313"/>
        <v>6905130.4997381344</v>
      </c>
      <c r="V782" s="350">
        <f t="shared" si="314"/>
        <v>21683752.428990394</v>
      </c>
      <c r="W782" s="365"/>
      <c r="X782" s="377">
        <f t="shared" si="292"/>
        <v>0</v>
      </c>
      <c r="Y782" s="377">
        <f t="shared" si="293"/>
        <v>0</v>
      </c>
      <c r="Z782" s="377">
        <f t="shared" si="294"/>
        <v>0</v>
      </c>
      <c r="AA782" s="377">
        <f t="shared" si="295"/>
        <v>0</v>
      </c>
      <c r="AB782" s="377">
        <f t="shared" si="296"/>
        <v>0</v>
      </c>
      <c r="AC782" s="377">
        <f t="shared" si="297"/>
        <v>0</v>
      </c>
      <c r="AD782" s="376"/>
      <c r="AE782" s="332">
        <v>767</v>
      </c>
      <c r="AF782" s="350">
        <v>8059945.4171475377</v>
      </c>
      <c r="AG782" s="350">
        <v>16183186.976535933</v>
      </c>
      <c r="AH782" s="350">
        <v>24367905.662348062</v>
      </c>
      <c r="AI782" s="350">
        <v>32614372.856515076</v>
      </c>
      <c r="AJ782" s="350">
        <v>40923777.815574348</v>
      </c>
      <c r="AK782" s="348">
        <v>122149188.72812095</v>
      </c>
      <c r="AL782" s="369"/>
      <c r="AM782" s="350">
        <v>9428008.8794181794</v>
      </c>
      <c r="AN782" s="350">
        <v>20220311.603594899</v>
      </c>
      <c r="AO782" s="350">
        <v>30711751.634798393</v>
      </c>
      <c r="AP782" s="350">
        <v>40895897.444260731</v>
      </c>
      <c r="AQ782" s="350">
        <v>50769259.79287675</v>
      </c>
      <c r="AR782" s="348">
        <v>152025229.35494894</v>
      </c>
      <c r="AS782" s="369"/>
      <c r="AT782" s="350">
        <f t="shared" si="315"/>
        <v>1368063.4622706417</v>
      </c>
      <c r="AU782" s="350">
        <f t="shared" si="298"/>
        <v>4037124.6270589661</v>
      </c>
      <c r="AV782" s="350">
        <f t="shared" si="299"/>
        <v>6343845.9724503309</v>
      </c>
      <c r="AW782" s="350">
        <f t="shared" si="300"/>
        <v>8281524.5877456553</v>
      </c>
      <c r="AX782" s="350">
        <f t="shared" si="301"/>
        <v>9845481.9773024023</v>
      </c>
      <c r="AY782" s="350">
        <f t="shared" si="302"/>
        <v>29876040.626827985</v>
      </c>
      <c r="AZ782" s="365"/>
      <c r="BA782" s="377">
        <f t="shared" si="303"/>
        <v>0</v>
      </c>
      <c r="BB782" s="377">
        <f t="shared" si="304"/>
        <v>0</v>
      </c>
      <c r="BC782" s="377">
        <f t="shared" si="305"/>
        <v>0</v>
      </c>
      <c r="BD782" s="377">
        <f t="shared" si="306"/>
        <v>0</v>
      </c>
      <c r="BE782" s="377">
        <f t="shared" si="307"/>
        <v>0</v>
      </c>
      <c r="BF782" s="377">
        <f t="shared" si="308"/>
        <v>0</v>
      </c>
      <c r="BG782" s="328"/>
    </row>
    <row r="783" spans="2:59">
      <c r="B783" s="332">
        <v>768</v>
      </c>
      <c r="C783" s="350">
        <v>8091609.9533994934</v>
      </c>
      <c r="D783" s="350">
        <v>15234253.505635282</v>
      </c>
      <c r="E783" s="350">
        <v>22430664.279861953</v>
      </c>
      <c r="F783" s="350">
        <v>29681343.23364599</v>
      </c>
      <c r="G783" s="350">
        <v>36987450.203971826</v>
      </c>
      <c r="H783" s="348">
        <v>112425321.17651454</v>
      </c>
      <c r="I783" s="369"/>
      <c r="J783" s="350">
        <v>9414008.4051715191</v>
      </c>
      <c r="K783" s="350">
        <v>19138475.422183905</v>
      </c>
      <c r="L783" s="350">
        <v>28632958.331793658</v>
      </c>
      <c r="M783" s="350">
        <v>37890873.116915762</v>
      </c>
      <c r="N783" s="350">
        <v>46908182.512644336</v>
      </c>
      <c r="O783" s="348">
        <v>141984497.78870916</v>
      </c>
      <c r="P783" s="369"/>
      <c r="Q783" s="350">
        <f t="shared" si="309"/>
        <v>1322398.4517720258</v>
      </c>
      <c r="R783" s="350">
        <f t="shared" si="310"/>
        <v>3904221.9165486228</v>
      </c>
      <c r="S783" s="350">
        <f t="shared" si="311"/>
        <v>6202294.0519317053</v>
      </c>
      <c r="T783" s="350">
        <f t="shared" si="312"/>
        <v>8209529.8832697719</v>
      </c>
      <c r="U783" s="350">
        <f t="shared" si="313"/>
        <v>9920732.3086725101</v>
      </c>
      <c r="V783" s="350">
        <f t="shared" si="314"/>
        <v>29559176.612194628</v>
      </c>
      <c r="W783" s="365"/>
      <c r="X783" s="377">
        <f t="shared" si="292"/>
        <v>0</v>
      </c>
      <c r="Y783" s="377">
        <f t="shared" si="293"/>
        <v>0</v>
      </c>
      <c r="Z783" s="377">
        <f t="shared" si="294"/>
        <v>0</v>
      </c>
      <c r="AA783" s="377">
        <f t="shared" si="295"/>
        <v>0</v>
      </c>
      <c r="AB783" s="377">
        <f t="shared" si="296"/>
        <v>0</v>
      </c>
      <c r="AC783" s="377">
        <f t="shared" si="297"/>
        <v>0</v>
      </c>
      <c r="AD783" s="376"/>
      <c r="AE783" s="332">
        <v>768</v>
      </c>
      <c r="AF783" s="350">
        <v>6617867.5044544879</v>
      </c>
      <c r="AG783" s="350">
        <v>13287706.264446503</v>
      </c>
      <c r="AH783" s="350">
        <v>20008022.720771458</v>
      </c>
      <c r="AI783" s="350">
        <v>26779039.699958637</v>
      </c>
      <c r="AJ783" s="350">
        <v>33601733.677875519</v>
      </c>
      <c r="AK783" s="348">
        <v>100294369.86750661</v>
      </c>
      <c r="AL783" s="369"/>
      <c r="AM783" s="350">
        <v>7975269.3356380407</v>
      </c>
      <c r="AN783" s="350">
        <v>17296816.819322735</v>
      </c>
      <c r="AO783" s="350">
        <v>26378343.380797938</v>
      </c>
      <c r="AP783" s="350">
        <v>35214501.999144316</v>
      </c>
      <c r="AQ783" s="350">
        <v>43802664.826227985</v>
      </c>
      <c r="AR783" s="348">
        <v>130667596.36113101</v>
      </c>
      <c r="AS783" s="369"/>
      <c r="AT783" s="350">
        <f t="shared" si="315"/>
        <v>1357401.8311835527</v>
      </c>
      <c r="AU783" s="350">
        <f t="shared" si="298"/>
        <v>4009110.5548762325</v>
      </c>
      <c r="AV783" s="350">
        <f t="shared" si="299"/>
        <v>6370320.6600264795</v>
      </c>
      <c r="AW783" s="350">
        <f t="shared" si="300"/>
        <v>8435462.2991856784</v>
      </c>
      <c r="AX783" s="350">
        <f t="shared" si="301"/>
        <v>10200931.148352467</v>
      </c>
      <c r="AY783" s="350">
        <f t="shared" si="302"/>
        <v>30373226.493624404</v>
      </c>
      <c r="AZ783" s="365"/>
      <c r="BA783" s="377">
        <f t="shared" si="303"/>
        <v>0</v>
      </c>
      <c r="BB783" s="377">
        <f t="shared" si="304"/>
        <v>0</v>
      </c>
      <c r="BC783" s="377">
        <f t="shared" si="305"/>
        <v>0</v>
      </c>
      <c r="BD783" s="377">
        <f t="shared" si="306"/>
        <v>0</v>
      </c>
      <c r="BE783" s="377">
        <f t="shared" si="307"/>
        <v>0</v>
      </c>
      <c r="BF783" s="377">
        <f t="shared" si="308"/>
        <v>0</v>
      </c>
      <c r="BG783" s="328"/>
    </row>
    <row r="784" spans="2:59">
      <c r="B784" s="332">
        <v>769</v>
      </c>
      <c r="C784" s="350">
        <v>9924560.4067498557</v>
      </c>
      <c r="D784" s="350">
        <v>18825679.474138051</v>
      </c>
      <c r="E784" s="350">
        <v>27793848.661863521</v>
      </c>
      <c r="F784" s="350">
        <v>36829650.700317517</v>
      </c>
      <c r="G784" s="350">
        <v>45934512.888687283</v>
      </c>
      <c r="H784" s="348">
        <v>139308252.13175625</v>
      </c>
      <c r="I784" s="369"/>
      <c r="J784" s="350">
        <v>11249253.700179748</v>
      </c>
      <c r="K784" s="350">
        <v>22732394.612526082</v>
      </c>
      <c r="L784" s="350">
        <v>33920718.964300744</v>
      </c>
      <c r="M784" s="350">
        <v>44806037.825448722</v>
      </c>
      <c r="N784" s="350">
        <v>55382938.839068249</v>
      </c>
      <c r="O784" s="348">
        <v>168091343.94152355</v>
      </c>
      <c r="P784" s="369"/>
      <c r="Q784" s="350">
        <f t="shared" si="309"/>
        <v>1324693.2934298925</v>
      </c>
      <c r="R784" s="350">
        <f t="shared" si="310"/>
        <v>3906715.1383880302</v>
      </c>
      <c r="S784" s="350">
        <f t="shared" si="311"/>
        <v>6126870.3024372235</v>
      </c>
      <c r="T784" s="350">
        <f t="shared" si="312"/>
        <v>7976387.1251312047</v>
      </c>
      <c r="U784" s="350">
        <f t="shared" si="313"/>
        <v>9448425.9503809661</v>
      </c>
      <c r="V784" s="350">
        <f t="shared" si="314"/>
        <v>28783091.809767306</v>
      </c>
      <c r="W784" s="365"/>
      <c r="X784" s="377">
        <f t="shared" ref="X784:X847" si="316">IF(Q784&lt;Q$8,1,0)</f>
        <v>0</v>
      </c>
      <c r="Y784" s="377">
        <f t="shared" ref="Y784:Y847" si="317">IF(R784&lt;R$8,1,0)</f>
        <v>0</v>
      </c>
      <c r="Z784" s="377">
        <f t="shared" ref="Z784:Z847" si="318">IF(S784&lt;S$8,1,0)</f>
        <v>0</v>
      </c>
      <c r="AA784" s="377">
        <f t="shared" ref="AA784:AA847" si="319">IF(T784&lt;T$8,1,0)</f>
        <v>0</v>
      </c>
      <c r="AB784" s="377">
        <f t="shared" ref="AB784:AB847" si="320">IF(U784&lt;U$8,1,0)</f>
        <v>0</v>
      </c>
      <c r="AC784" s="377">
        <f t="shared" ref="AC784:AC847" si="321">IF(V784&lt;V$8,1,0)</f>
        <v>0</v>
      </c>
      <c r="AD784" s="376"/>
      <c r="AE784" s="332">
        <v>769</v>
      </c>
      <c r="AF784" s="350">
        <v>8406201.9214669205</v>
      </c>
      <c r="AG784" s="350">
        <v>16878419.197255541</v>
      </c>
      <c r="AH784" s="350">
        <v>25414754.666347302</v>
      </c>
      <c r="AI784" s="350">
        <v>34015491.369283184</v>
      </c>
      <c r="AJ784" s="350">
        <v>42681869.653245717</v>
      </c>
      <c r="AK784" s="348">
        <v>127396736.80759867</v>
      </c>
      <c r="AL784" s="369"/>
      <c r="AM784" s="350">
        <v>10376466.731597818</v>
      </c>
      <c r="AN784" s="350">
        <v>22700630.541451022</v>
      </c>
      <c r="AO784" s="350">
        <v>34727282.424232095</v>
      </c>
      <c r="AP784" s="350">
        <v>46449560.849784806</v>
      </c>
      <c r="AQ784" s="350">
        <v>57864377.04706163</v>
      </c>
      <c r="AR784" s="348">
        <v>172118317.59412739</v>
      </c>
      <c r="AS784" s="369"/>
      <c r="AT784" s="350">
        <f t="shared" si="315"/>
        <v>1970264.8101308979</v>
      </c>
      <c r="AU784" s="350">
        <f t="shared" ref="AU784:AU847" si="322">AN784-AG784</f>
        <v>5822211.3441954814</v>
      </c>
      <c r="AV784" s="350">
        <f t="shared" ref="AV784:AV847" si="323">AO784-AH784</f>
        <v>9312527.757884793</v>
      </c>
      <c r="AW784" s="350">
        <f t="shared" ref="AW784:AW847" si="324">AP784-AI784</f>
        <v>12434069.480501622</v>
      </c>
      <c r="AX784" s="350">
        <f t="shared" ref="AX784:AX847" si="325">AQ784-AJ784</f>
        <v>15182507.393815912</v>
      </c>
      <c r="AY784" s="350">
        <f t="shared" ref="AY784:AY847" si="326">AR784-AK784</f>
        <v>44721580.786528721</v>
      </c>
      <c r="AZ784" s="365"/>
      <c r="BA784" s="377">
        <f t="shared" ref="BA784:BA847" si="327">IF(AT784&lt;AT$8,1,0)</f>
        <v>0</v>
      </c>
      <c r="BB784" s="377">
        <f t="shared" ref="BB784:BB847" si="328">IF(AU784&lt;AU$8,1,0)</f>
        <v>0</v>
      </c>
      <c r="BC784" s="377">
        <f t="shared" ref="BC784:BC847" si="329">IF(AV784&lt;AV$8,1,0)</f>
        <v>0</v>
      </c>
      <c r="BD784" s="377">
        <f t="shared" ref="BD784:BD847" si="330">IF(AW784&lt;AW$8,1,0)</f>
        <v>0</v>
      </c>
      <c r="BE784" s="377">
        <f t="shared" ref="BE784:BE847" si="331">IF(AX784&lt;AX$8,1,0)</f>
        <v>0</v>
      </c>
      <c r="BF784" s="377">
        <f t="shared" ref="BF784:BF847" si="332">IF(AY784&lt;AY$8,1,0)</f>
        <v>0</v>
      </c>
      <c r="BG784" s="328"/>
    </row>
    <row r="785" spans="2:59">
      <c r="B785" s="332">
        <v>770</v>
      </c>
      <c r="C785" s="350">
        <v>8860265.6523726545</v>
      </c>
      <c r="D785" s="350">
        <v>16595111.644263892</v>
      </c>
      <c r="E785" s="350">
        <v>24388154.646587037</v>
      </c>
      <c r="F785" s="350">
        <v>32239962.683221184</v>
      </c>
      <c r="G785" s="350">
        <v>40151802.862897404</v>
      </c>
      <c r="H785" s="348">
        <v>122235297.48934215</v>
      </c>
      <c r="I785" s="369"/>
      <c r="J785" s="350">
        <v>10013615.940698758</v>
      </c>
      <c r="K785" s="350">
        <v>19996550.593083397</v>
      </c>
      <c r="L785" s="350">
        <v>29725262.013707563</v>
      </c>
      <c r="M785" s="350">
        <v>39192620.26701647</v>
      </c>
      <c r="N785" s="350">
        <v>48393873.257355779</v>
      </c>
      <c r="O785" s="348">
        <v>147321922.07186198</v>
      </c>
      <c r="P785" s="369"/>
      <c r="Q785" s="350">
        <f t="shared" ref="Q785:Q848" si="333">J785-C785</f>
        <v>1153350.2883261032</v>
      </c>
      <c r="R785" s="350">
        <f t="shared" ref="R785:R848" si="334">K785-D785</f>
        <v>3401438.9488195051</v>
      </c>
      <c r="S785" s="350">
        <f t="shared" ref="S785:S848" si="335">L785-E785</f>
        <v>5337107.3671205267</v>
      </c>
      <c r="T785" s="350">
        <f t="shared" ref="T785:T848" si="336">M785-F785</f>
        <v>6952657.5837952867</v>
      </c>
      <c r="U785" s="350">
        <f t="shared" ref="U785:U848" si="337">N785-G785</f>
        <v>8242070.3944583759</v>
      </c>
      <c r="V785" s="350">
        <f t="shared" ref="V785:V848" si="338">O785-H785</f>
        <v>25086624.582519829</v>
      </c>
      <c r="W785" s="365"/>
      <c r="X785" s="377">
        <f t="shared" si="316"/>
        <v>0</v>
      </c>
      <c r="Y785" s="377">
        <f t="shared" si="317"/>
        <v>0</v>
      </c>
      <c r="Z785" s="377">
        <f t="shared" si="318"/>
        <v>0</v>
      </c>
      <c r="AA785" s="377">
        <f t="shared" si="319"/>
        <v>0</v>
      </c>
      <c r="AB785" s="377">
        <f t="shared" si="320"/>
        <v>0</v>
      </c>
      <c r="AC785" s="377">
        <f t="shared" si="321"/>
        <v>0</v>
      </c>
      <c r="AD785" s="376"/>
      <c r="AE785" s="332">
        <v>770</v>
      </c>
      <c r="AF785" s="350">
        <v>6278772.9588851221</v>
      </c>
      <c r="AG785" s="350">
        <v>12606854.205324912</v>
      </c>
      <c r="AH785" s="350">
        <v>18982826.708963301</v>
      </c>
      <c r="AI785" s="350">
        <v>25406901.878866069</v>
      </c>
      <c r="AJ785" s="350">
        <v>31880006.15701285</v>
      </c>
      <c r="AK785" s="348">
        <v>95155361.909052253</v>
      </c>
      <c r="AL785" s="369"/>
      <c r="AM785" s="350">
        <v>7507135.7209265865</v>
      </c>
      <c r="AN785" s="350">
        <v>16234120.510440212</v>
      </c>
      <c r="AO785" s="350">
        <v>24731601.219909661</v>
      </c>
      <c r="AP785" s="350">
        <v>32994521.630819302</v>
      </c>
      <c r="AQ785" s="350">
        <v>41020328.297789156</v>
      </c>
      <c r="AR785" s="348">
        <v>122487707.37988491</v>
      </c>
      <c r="AS785" s="369"/>
      <c r="AT785" s="350">
        <f t="shared" ref="AT785:AT848" si="339">AM785-AF785</f>
        <v>1228362.7620414644</v>
      </c>
      <c r="AU785" s="350">
        <f t="shared" si="322"/>
        <v>3627266.3051152993</v>
      </c>
      <c r="AV785" s="350">
        <f t="shared" si="323"/>
        <v>5748774.5109463595</v>
      </c>
      <c r="AW785" s="350">
        <f t="shared" si="324"/>
        <v>7587619.751953233</v>
      </c>
      <c r="AX785" s="350">
        <f t="shared" si="325"/>
        <v>9140322.1407763064</v>
      </c>
      <c r="AY785" s="350">
        <f t="shared" si="326"/>
        <v>27332345.470832661</v>
      </c>
      <c r="AZ785" s="365"/>
      <c r="BA785" s="377">
        <f t="shared" si="327"/>
        <v>0</v>
      </c>
      <c r="BB785" s="377">
        <f t="shared" si="328"/>
        <v>0</v>
      </c>
      <c r="BC785" s="377">
        <f t="shared" si="329"/>
        <v>0</v>
      </c>
      <c r="BD785" s="377">
        <f t="shared" si="330"/>
        <v>0</v>
      </c>
      <c r="BE785" s="377">
        <f t="shared" si="331"/>
        <v>0</v>
      </c>
      <c r="BF785" s="377">
        <f t="shared" si="332"/>
        <v>0</v>
      </c>
      <c r="BG785" s="328"/>
    </row>
    <row r="786" spans="2:59">
      <c r="B786" s="332">
        <v>771</v>
      </c>
      <c r="C786" s="350">
        <v>6760801.6480122032</v>
      </c>
      <c r="D786" s="350">
        <v>12717935.555657335</v>
      </c>
      <c r="E786" s="350">
        <v>18719909.092143532</v>
      </c>
      <c r="F786" s="350">
        <v>24767143.255619019</v>
      </c>
      <c r="G786" s="350">
        <v>30860606.76455123</v>
      </c>
      <c r="H786" s="348">
        <v>93826396.315983325</v>
      </c>
      <c r="I786" s="369"/>
      <c r="J786" s="350">
        <v>7798904.1110817809</v>
      </c>
      <c r="K786" s="350">
        <v>15781964.928716641</v>
      </c>
      <c r="L786" s="350">
        <v>23570631.552581485</v>
      </c>
      <c r="M786" s="350">
        <v>31159478.427633602</v>
      </c>
      <c r="N786" s="350">
        <v>38545119.587212548</v>
      </c>
      <c r="O786" s="348">
        <v>116856098.60722606</v>
      </c>
      <c r="P786" s="369"/>
      <c r="Q786" s="350">
        <f t="shared" si="333"/>
        <v>1038102.4630695777</v>
      </c>
      <c r="R786" s="350">
        <f t="shared" si="334"/>
        <v>3064029.3730593063</v>
      </c>
      <c r="S786" s="350">
        <f t="shared" si="335"/>
        <v>4850722.4604379535</v>
      </c>
      <c r="T786" s="350">
        <f t="shared" si="336"/>
        <v>6392335.1720145829</v>
      </c>
      <c r="U786" s="350">
        <f t="shared" si="337"/>
        <v>7684512.8226613179</v>
      </c>
      <c r="V786" s="350">
        <f t="shared" si="338"/>
        <v>23029702.291242734</v>
      </c>
      <c r="W786" s="365"/>
      <c r="X786" s="377">
        <f t="shared" si="316"/>
        <v>0</v>
      </c>
      <c r="Y786" s="377">
        <f t="shared" si="317"/>
        <v>0</v>
      </c>
      <c r="Z786" s="377">
        <f t="shared" si="318"/>
        <v>0</v>
      </c>
      <c r="AA786" s="377">
        <f t="shared" si="319"/>
        <v>0</v>
      </c>
      <c r="AB786" s="377">
        <f t="shared" si="320"/>
        <v>0</v>
      </c>
      <c r="AC786" s="377">
        <f t="shared" si="321"/>
        <v>0</v>
      </c>
      <c r="AD786" s="376"/>
      <c r="AE786" s="332">
        <v>771</v>
      </c>
      <c r="AF786" s="350">
        <v>6106176.9576924499</v>
      </c>
      <c r="AG786" s="350">
        <v>12260306.776757842</v>
      </c>
      <c r="AH786" s="350">
        <v>18461011.379319295</v>
      </c>
      <c r="AI786" s="350">
        <v>24708496.363058809</v>
      </c>
      <c r="AJ786" s="350">
        <v>31003662.703167826</v>
      </c>
      <c r="AK786" s="348">
        <v>92539654.179996222</v>
      </c>
      <c r="AL786" s="369"/>
      <c r="AM786" s="350">
        <v>7262609.1333605628</v>
      </c>
      <c r="AN786" s="350">
        <v>15674679.575459478</v>
      </c>
      <c r="AO786" s="350">
        <v>23862411.697253987</v>
      </c>
      <c r="AP786" s="350">
        <v>31820899.063957252</v>
      </c>
      <c r="AQ786" s="350">
        <v>39547619.769821361</v>
      </c>
      <c r="AR786" s="348">
        <v>118168219.23985265</v>
      </c>
      <c r="AS786" s="369"/>
      <c r="AT786" s="350">
        <f t="shared" si="339"/>
        <v>1156432.1756681129</v>
      </c>
      <c r="AU786" s="350">
        <f t="shared" si="322"/>
        <v>3414372.7987016365</v>
      </c>
      <c r="AV786" s="350">
        <f t="shared" si="323"/>
        <v>5401400.3179346919</v>
      </c>
      <c r="AW786" s="350">
        <f t="shared" si="324"/>
        <v>7112402.7008984424</v>
      </c>
      <c r="AX786" s="350">
        <f t="shared" si="325"/>
        <v>8543957.0666535348</v>
      </c>
      <c r="AY786" s="350">
        <f t="shared" si="326"/>
        <v>25628565.05985643</v>
      </c>
      <c r="AZ786" s="365"/>
      <c r="BA786" s="377">
        <f t="shared" si="327"/>
        <v>0</v>
      </c>
      <c r="BB786" s="377">
        <f t="shared" si="328"/>
        <v>0</v>
      </c>
      <c r="BC786" s="377">
        <f t="shared" si="329"/>
        <v>0</v>
      </c>
      <c r="BD786" s="377">
        <f t="shared" si="330"/>
        <v>0</v>
      </c>
      <c r="BE786" s="377">
        <f t="shared" si="331"/>
        <v>0</v>
      </c>
      <c r="BF786" s="377">
        <f t="shared" si="332"/>
        <v>0</v>
      </c>
      <c r="BG786" s="328"/>
    </row>
    <row r="787" spans="2:59">
      <c r="B787" s="332">
        <v>772</v>
      </c>
      <c r="C787" s="350">
        <v>8412655.5603194758</v>
      </c>
      <c r="D787" s="350">
        <v>15867374.00698657</v>
      </c>
      <c r="E787" s="350">
        <v>23378218.198559076</v>
      </c>
      <c r="F787" s="350">
        <v>30945702.495919522</v>
      </c>
      <c r="G787" s="350">
        <v>38571033.719854653</v>
      </c>
      <c r="H787" s="348">
        <v>117174983.9816393</v>
      </c>
      <c r="I787" s="369"/>
      <c r="J787" s="350">
        <v>9463264.46912992</v>
      </c>
      <c r="K787" s="350">
        <v>18964796.846580818</v>
      </c>
      <c r="L787" s="350">
        <v>28217646.898331769</v>
      </c>
      <c r="M787" s="350">
        <v>37214996.265964754</v>
      </c>
      <c r="N787" s="350">
        <v>45952260.82745944</v>
      </c>
      <c r="O787" s="348">
        <v>139812965.30746669</v>
      </c>
      <c r="P787" s="369"/>
      <c r="Q787" s="350">
        <f t="shared" si="333"/>
        <v>1050608.9088104442</v>
      </c>
      <c r="R787" s="350">
        <f t="shared" si="334"/>
        <v>3097422.8395942487</v>
      </c>
      <c r="S787" s="350">
        <f t="shared" si="335"/>
        <v>4839428.6997726932</v>
      </c>
      <c r="T787" s="350">
        <f t="shared" si="336"/>
        <v>6269293.770045232</v>
      </c>
      <c r="U787" s="350">
        <f t="shared" si="337"/>
        <v>7381227.1076047868</v>
      </c>
      <c r="V787" s="350">
        <f t="shared" si="338"/>
        <v>22637981.32582739</v>
      </c>
      <c r="W787" s="365"/>
      <c r="X787" s="377">
        <f t="shared" si="316"/>
        <v>0</v>
      </c>
      <c r="Y787" s="377">
        <f t="shared" si="317"/>
        <v>0</v>
      </c>
      <c r="Z787" s="377">
        <f t="shared" si="318"/>
        <v>0</v>
      </c>
      <c r="AA787" s="377">
        <f t="shared" si="319"/>
        <v>0</v>
      </c>
      <c r="AB787" s="377">
        <f t="shared" si="320"/>
        <v>0</v>
      </c>
      <c r="AC787" s="377">
        <f t="shared" si="321"/>
        <v>0</v>
      </c>
      <c r="AD787" s="376"/>
      <c r="AE787" s="332">
        <v>772</v>
      </c>
      <c r="AF787" s="350">
        <v>8251193.9050503485</v>
      </c>
      <c r="AG787" s="350">
        <v>16567185.859720221</v>
      </c>
      <c r="AH787" s="350">
        <v>24946113.686110552</v>
      </c>
      <c r="AI787" s="350">
        <v>33388255.205573775</v>
      </c>
      <c r="AJ787" s="350">
        <v>41894827.893636674</v>
      </c>
      <c r="AK787" s="348">
        <v>125047576.55009156</v>
      </c>
      <c r="AL787" s="369"/>
      <c r="AM787" s="350">
        <v>9364373.3957186509</v>
      </c>
      <c r="AN787" s="350">
        <v>19847921.353705447</v>
      </c>
      <c r="AO787" s="350">
        <v>30014861.574745797</v>
      </c>
      <c r="AP787" s="350">
        <v>39858691.193112537</v>
      </c>
      <c r="AQ787" s="350">
        <v>49375547.162254944</v>
      </c>
      <c r="AR787" s="348">
        <v>148461394.67953736</v>
      </c>
      <c r="AS787" s="369"/>
      <c r="AT787" s="350">
        <f t="shared" si="339"/>
        <v>1113179.4906683024</v>
      </c>
      <c r="AU787" s="350">
        <f t="shared" si="322"/>
        <v>3280735.4939852264</v>
      </c>
      <c r="AV787" s="350">
        <f t="shared" si="323"/>
        <v>5068747.8886352442</v>
      </c>
      <c r="AW787" s="350">
        <f t="shared" si="324"/>
        <v>6470435.9875387624</v>
      </c>
      <c r="AX787" s="350">
        <f t="shared" si="325"/>
        <v>7480719.2686182708</v>
      </c>
      <c r="AY787" s="350">
        <f t="shared" si="326"/>
        <v>23413818.129445791</v>
      </c>
      <c r="AZ787" s="365"/>
      <c r="BA787" s="377">
        <f t="shared" si="327"/>
        <v>0</v>
      </c>
      <c r="BB787" s="377">
        <f t="shared" si="328"/>
        <v>0</v>
      </c>
      <c r="BC787" s="377">
        <f t="shared" si="329"/>
        <v>0</v>
      </c>
      <c r="BD787" s="377">
        <f t="shared" si="330"/>
        <v>0</v>
      </c>
      <c r="BE787" s="377">
        <f t="shared" si="331"/>
        <v>0</v>
      </c>
      <c r="BF787" s="377">
        <f t="shared" si="332"/>
        <v>0</v>
      </c>
      <c r="BG787" s="328"/>
    </row>
    <row r="788" spans="2:59">
      <c r="B788" s="332">
        <v>773</v>
      </c>
      <c r="C788" s="350">
        <v>6586141.6044960786</v>
      </c>
      <c r="D788" s="350">
        <v>12211162.128783455</v>
      </c>
      <c r="E788" s="350">
        <v>17878464.32819498</v>
      </c>
      <c r="F788" s="350">
        <v>23588498.545433562</v>
      </c>
      <c r="G788" s="350">
        <v>29342202.472285938</v>
      </c>
      <c r="H788" s="348">
        <v>89606469.079194024</v>
      </c>
      <c r="I788" s="369"/>
      <c r="J788" s="350">
        <v>7273846.0022099037</v>
      </c>
      <c r="K788" s="350">
        <v>14236828.005628577</v>
      </c>
      <c r="L788" s="350">
        <v>21013965.119765017</v>
      </c>
      <c r="M788" s="350">
        <v>27600006.784452952</v>
      </c>
      <c r="N788" s="350">
        <v>33991209.321684785</v>
      </c>
      <c r="O788" s="348">
        <v>104115855.23374122</v>
      </c>
      <c r="P788" s="369"/>
      <c r="Q788" s="350">
        <f t="shared" si="333"/>
        <v>687704.39771382511</v>
      </c>
      <c r="R788" s="350">
        <f t="shared" si="334"/>
        <v>2025665.8768451214</v>
      </c>
      <c r="S788" s="350">
        <f t="shared" si="335"/>
        <v>3135500.7915700376</v>
      </c>
      <c r="T788" s="350">
        <f t="shared" si="336"/>
        <v>4011508.2390193902</v>
      </c>
      <c r="U788" s="350">
        <f t="shared" si="337"/>
        <v>4649006.8493988477</v>
      </c>
      <c r="V788" s="350">
        <f t="shared" si="338"/>
        <v>14509386.1545472</v>
      </c>
      <c r="W788" s="365"/>
      <c r="X788" s="377">
        <f t="shared" si="316"/>
        <v>0</v>
      </c>
      <c r="Y788" s="377">
        <f t="shared" si="317"/>
        <v>0</v>
      </c>
      <c r="Z788" s="377">
        <f t="shared" si="318"/>
        <v>0</v>
      </c>
      <c r="AA788" s="377">
        <f t="shared" si="319"/>
        <v>0</v>
      </c>
      <c r="AB788" s="377">
        <f t="shared" si="320"/>
        <v>0</v>
      </c>
      <c r="AC788" s="377">
        <f t="shared" si="321"/>
        <v>0</v>
      </c>
      <c r="AD788" s="376"/>
      <c r="AE788" s="332">
        <v>773</v>
      </c>
      <c r="AF788" s="350">
        <v>7032595.5116843209</v>
      </c>
      <c r="AG788" s="350">
        <v>14120419.209515285</v>
      </c>
      <c r="AH788" s="350">
        <v>21261883.936035968</v>
      </c>
      <c r="AI788" s="350">
        <v>28457226.481851298</v>
      </c>
      <c r="AJ788" s="350">
        <v>35707484.516542651</v>
      </c>
      <c r="AK788" s="348">
        <v>106579609.65562952</v>
      </c>
      <c r="AL788" s="369"/>
      <c r="AM788" s="350">
        <v>8320609.5363106858</v>
      </c>
      <c r="AN788" s="350">
        <v>17922709.086191874</v>
      </c>
      <c r="AO788" s="350">
        <v>27265120.174515039</v>
      </c>
      <c r="AP788" s="350">
        <v>36342204.378808036</v>
      </c>
      <c r="AQ788" s="350">
        <v>45151012.744110174</v>
      </c>
      <c r="AR788" s="348">
        <v>135001655.91993579</v>
      </c>
      <c r="AS788" s="369"/>
      <c r="AT788" s="350">
        <f t="shared" si="339"/>
        <v>1288014.0246263649</v>
      </c>
      <c r="AU788" s="350">
        <f t="shared" si="322"/>
        <v>3802289.8766765893</v>
      </c>
      <c r="AV788" s="350">
        <f t="shared" si="323"/>
        <v>6003236.2384790704</v>
      </c>
      <c r="AW788" s="350">
        <f t="shared" si="324"/>
        <v>7884977.8969567381</v>
      </c>
      <c r="AX788" s="350">
        <f t="shared" si="325"/>
        <v>9443528.2275675237</v>
      </c>
      <c r="AY788" s="350">
        <f t="shared" si="326"/>
        <v>28422046.264306277</v>
      </c>
      <c r="AZ788" s="365"/>
      <c r="BA788" s="377">
        <f t="shared" si="327"/>
        <v>0</v>
      </c>
      <c r="BB788" s="377">
        <f t="shared" si="328"/>
        <v>0</v>
      </c>
      <c r="BC788" s="377">
        <f t="shared" si="329"/>
        <v>0</v>
      </c>
      <c r="BD788" s="377">
        <f t="shared" si="330"/>
        <v>0</v>
      </c>
      <c r="BE788" s="377">
        <f t="shared" si="331"/>
        <v>0</v>
      </c>
      <c r="BF788" s="377">
        <f t="shared" si="332"/>
        <v>0</v>
      </c>
      <c r="BG788" s="328"/>
    </row>
    <row r="789" spans="2:59">
      <c r="B789" s="332">
        <v>774</v>
      </c>
      <c r="C789" s="350">
        <v>7988835.8259313852</v>
      </c>
      <c r="D789" s="350">
        <v>14707152.451746374</v>
      </c>
      <c r="E789" s="350">
        <v>21475933.519961752</v>
      </c>
      <c r="F789" s="350">
        <v>28295748.915466011</v>
      </c>
      <c r="G789" s="350">
        <v>35167732.511123657</v>
      </c>
      <c r="H789" s="348">
        <v>107635403.22422919</v>
      </c>
      <c r="I789" s="369"/>
      <c r="J789" s="350">
        <v>9154882.3353641927</v>
      </c>
      <c r="K789" s="350">
        <v>18148776.76815467</v>
      </c>
      <c r="L789" s="350">
        <v>26929555.368107293</v>
      </c>
      <c r="M789" s="350">
        <v>35490967.042368054</v>
      </c>
      <c r="N789" s="350">
        <v>43828991.646968499</v>
      </c>
      <c r="O789" s="348">
        <v>133553173.16096272</v>
      </c>
      <c r="P789" s="369"/>
      <c r="Q789" s="350">
        <f t="shared" si="333"/>
        <v>1166046.5094328076</v>
      </c>
      <c r="R789" s="350">
        <f t="shared" si="334"/>
        <v>3441624.3164082952</v>
      </c>
      <c r="S789" s="350">
        <f t="shared" si="335"/>
        <v>5453621.8481455408</v>
      </c>
      <c r="T789" s="350">
        <f t="shared" si="336"/>
        <v>7195218.1269020438</v>
      </c>
      <c r="U789" s="350">
        <f t="shared" si="337"/>
        <v>8661259.1358448416</v>
      </c>
      <c r="V789" s="350">
        <f t="shared" si="338"/>
        <v>25917769.936733529</v>
      </c>
      <c r="W789" s="365"/>
      <c r="X789" s="377">
        <f t="shared" si="316"/>
        <v>0</v>
      </c>
      <c r="Y789" s="377">
        <f t="shared" si="317"/>
        <v>0</v>
      </c>
      <c r="Z789" s="377">
        <f t="shared" si="318"/>
        <v>0</v>
      </c>
      <c r="AA789" s="377">
        <f t="shared" si="319"/>
        <v>0</v>
      </c>
      <c r="AB789" s="377">
        <f t="shared" si="320"/>
        <v>0</v>
      </c>
      <c r="AC789" s="377">
        <f t="shared" si="321"/>
        <v>0</v>
      </c>
      <c r="AD789" s="376"/>
      <c r="AE789" s="332">
        <v>774</v>
      </c>
      <c r="AF789" s="350">
        <v>4881618.581778965</v>
      </c>
      <c r="AG789" s="350">
        <v>9801573.3566865474</v>
      </c>
      <c r="AH789" s="350">
        <v>14758762.612371877</v>
      </c>
      <c r="AI789" s="350">
        <v>19753350.715094194</v>
      </c>
      <c r="AJ789" s="350">
        <v>24786057.954695527</v>
      </c>
      <c r="AK789" s="348">
        <v>73981363.220627114</v>
      </c>
      <c r="AL789" s="369"/>
      <c r="AM789" s="350">
        <v>5894446.940404023</v>
      </c>
      <c r="AN789" s="350">
        <v>12793120.799937941</v>
      </c>
      <c r="AO789" s="350">
        <v>19515091.058974057</v>
      </c>
      <c r="AP789" s="350">
        <v>26056410.261872023</v>
      </c>
      <c r="AQ789" s="350">
        <v>32415151.695756923</v>
      </c>
      <c r="AR789" s="348">
        <v>96674220.756944969</v>
      </c>
      <c r="AS789" s="369"/>
      <c r="AT789" s="350">
        <f t="shared" si="339"/>
        <v>1012828.3586250581</v>
      </c>
      <c r="AU789" s="350">
        <f t="shared" si="322"/>
        <v>2991547.4432513937</v>
      </c>
      <c r="AV789" s="350">
        <f t="shared" si="323"/>
        <v>4756328.4466021806</v>
      </c>
      <c r="AW789" s="350">
        <f t="shared" si="324"/>
        <v>6303059.5467778295</v>
      </c>
      <c r="AX789" s="350">
        <f t="shared" si="325"/>
        <v>7629093.7410613969</v>
      </c>
      <c r="AY789" s="350">
        <f t="shared" si="326"/>
        <v>22692857.536317855</v>
      </c>
      <c r="AZ789" s="365"/>
      <c r="BA789" s="377">
        <f t="shared" si="327"/>
        <v>0</v>
      </c>
      <c r="BB789" s="377">
        <f t="shared" si="328"/>
        <v>0</v>
      </c>
      <c r="BC789" s="377">
        <f t="shared" si="329"/>
        <v>0</v>
      </c>
      <c r="BD789" s="377">
        <f t="shared" si="330"/>
        <v>0</v>
      </c>
      <c r="BE789" s="377">
        <f t="shared" si="331"/>
        <v>0</v>
      </c>
      <c r="BF789" s="377">
        <f t="shared" si="332"/>
        <v>0</v>
      </c>
      <c r="BG789" s="328"/>
    </row>
    <row r="790" spans="2:59">
      <c r="B790" s="332">
        <v>775</v>
      </c>
      <c r="C790" s="350">
        <v>7685400.2548950035</v>
      </c>
      <c r="D790" s="350">
        <v>14614125.548740197</v>
      </c>
      <c r="E790" s="350">
        <v>21595054.855262563</v>
      </c>
      <c r="F790" s="350">
        <v>28628631.337360859</v>
      </c>
      <c r="G790" s="350">
        <v>35715961.477142133</v>
      </c>
      <c r="H790" s="348">
        <v>108239173.47340074</v>
      </c>
      <c r="I790" s="369"/>
      <c r="J790" s="350">
        <v>8673213.0406731423</v>
      </c>
      <c r="K790" s="350">
        <v>17526603.231416997</v>
      </c>
      <c r="L790" s="350">
        <v>26140373.164920181</v>
      </c>
      <c r="M790" s="350">
        <v>34508493.965171978</v>
      </c>
      <c r="N790" s="350">
        <v>42627061.371523783</v>
      </c>
      <c r="O790" s="348">
        <v>129475744.77370608</v>
      </c>
      <c r="P790" s="369"/>
      <c r="Q790" s="350">
        <f t="shared" si="333"/>
        <v>987812.78577813879</v>
      </c>
      <c r="R790" s="350">
        <f t="shared" si="334"/>
        <v>2912477.6826767996</v>
      </c>
      <c r="S790" s="350">
        <f t="shared" si="335"/>
        <v>4545318.3096576184</v>
      </c>
      <c r="T790" s="350">
        <f t="shared" si="336"/>
        <v>5879862.627811119</v>
      </c>
      <c r="U790" s="350">
        <f t="shared" si="337"/>
        <v>6911099.8943816498</v>
      </c>
      <c r="V790" s="350">
        <f t="shared" si="338"/>
        <v>21236571.300305337</v>
      </c>
      <c r="W790" s="365"/>
      <c r="X790" s="377">
        <f t="shared" si="316"/>
        <v>0</v>
      </c>
      <c r="Y790" s="377">
        <f t="shared" si="317"/>
        <v>0</v>
      </c>
      <c r="Z790" s="377">
        <f t="shared" si="318"/>
        <v>0</v>
      </c>
      <c r="AA790" s="377">
        <f t="shared" si="319"/>
        <v>0</v>
      </c>
      <c r="AB790" s="377">
        <f t="shared" si="320"/>
        <v>0</v>
      </c>
      <c r="AC790" s="377">
        <f t="shared" si="321"/>
        <v>0</v>
      </c>
      <c r="AD790" s="376"/>
      <c r="AE790" s="332">
        <v>775</v>
      </c>
      <c r="AF790" s="350">
        <v>9446026.7183571309</v>
      </c>
      <c r="AG790" s="350">
        <v>18966234.714605309</v>
      </c>
      <c r="AH790" s="350">
        <v>28558492.153959006</v>
      </c>
      <c r="AI790" s="350">
        <v>38223117.088320553</v>
      </c>
      <c r="AJ790" s="350">
        <v>47961503.292516649</v>
      </c>
      <c r="AK790" s="348">
        <v>143155373.96775866</v>
      </c>
      <c r="AL790" s="369"/>
      <c r="AM790" s="350">
        <v>10835556.40294937</v>
      </c>
      <c r="AN790" s="350">
        <v>23063556.650156457</v>
      </c>
      <c r="AO790" s="350">
        <v>34932550.9504622</v>
      </c>
      <c r="AP790" s="350">
        <v>46435062.206203133</v>
      </c>
      <c r="AQ790" s="350">
        <v>57566784.597347356</v>
      </c>
      <c r="AR790" s="348">
        <v>172833510.80711851</v>
      </c>
      <c r="AS790" s="369"/>
      <c r="AT790" s="350">
        <f t="shared" si="339"/>
        <v>1389529.6845922396</v>
      </c>
      <c r="AU790" s="350">
        <f t="shared" si="322"/>
        <v>4097321.9355511479</v>
      </c>
      <c r="AV790" s="350">
        <f t="shared" si="323"/>
        <v>6374058.7965031937</v>
      </c>
      <c r="AW790" s="350">
        <f t="shared" si="324"/>
        <v>8211945.1178825796</v>
      </c>
      <c r="AX790" s="350">
        <f t="shared" si="325"/>
        <v>9605281.3048307076</v>
      </c>
      <c r="AY790" s="350">
        <f t="shared" si="326"/>
        <v>29678136.83935985</v>
      </c>
      <c r="AZ790" s="365"/>
      <c r="BA790" s="377">
        <f t="shared" si="327"/>
        <v>0</v>
      </c>
      <c r="BB790" s="377">
        <f t="shared" si="328"/>
        <v>0</v>
      </c>
      <c r="BC790" s="377">
        <f t="shared" si="329"/>
        <v>0</v>
      </c>
      <c r="BD790" s="377">
        <f t="shared" si="330"/>
        <v>0</v>
      </c>
      <c r="BE790" s="377">
        <f t="shared" si="331"/>
        <v>0</v>
      </c>
      <c r="BF790" s="377">
        <f t="shared" si="332"/>
        <v>0</v>
      </c>
      <c r="BG790" s="328"/>
    </row>
    <row r="791" spans="2:59">
      <c r="B791" s="332">
        <v>776</v>
      </c>
      <c r="C791" s="350">
        <v>7927773.2545427568</v>
      </c>
      <c r="D791" s="350">
        <v>14977676.931038996</v>
      </c>
      <c r="E791" s="350">
        <v>22080666.607095711</v>
      </c>
      <c r="F791" s="350">
        <v>29237221.387900621</v>
      </c>
      <c r="G791" s="350">
        <v>36448479.373280793</v>
      </c>
      <c r="H791" s="348">
        <v>110671817.55385888</v>
      </c>
      <c r="I791" s="369"/>
      <c r="J791" s="350">
        <v>8904685.1527671516</v>
      </c>
      <c r="K791" s="350">
        <v>17857536.548387565</v>
      </c>
      <c r="L791" s="350">
        <v>26568475.15470631</v>
      </c>
      <c r="M791" s="350">
        <v>35031301.366645716</v>
      </c>
      <c r="N791" s="350">
        <v>43241920.775757045</v>
      </c>
      <c r="O791" s="348">
        <v>131603918.99826378</v>
      </c>
      <c r="P791" s="369"/>
      <c r="Q791" s="350">
        <f t="shared" si="333"/>
        <v>976911.89822439477</v>
      </c>
      <c r="R791" s="350">
        <f t="shared" si="334"/>
        <v>2879859.6173485685</v>
      </c>
      <c r="S791" s="350">
        <f t="shared" si="335"/>
        <v>4487808.5476105995</v>
      </c>
      <c r="T791" s="350">
        <f t="shared" si="336"/>
        <v>5794079.9787450954</v>
      </c>
      <c r="U791" s="350">
        <f t="shared" si="337"/>
        <v>6793441.4024762511</v>
      </c>
      <c r="V791" s="350">
        <f t="shared" si="338"/>
        <v>20932101.4444049</v>
      </c>
      <c r="W791" s="365"/>
      <c r="X791" s="377">
        <f t="shared" si="316"/>
        <v>0</v>
      </c>
      <c r="Y791" s="377">
        <f t="shared" si="317"/>
        <v>0</v>
      </c>
      <c r="Z791" s="377">
        <f t="shared" si="318"/>
        <v>0</v>
      </c>
      <c r="AA791" s="377">
        <f t="shared" si="319"/>
        <v>0</v>
      </c>
      <c r="AB791" s="377">
        <f t="shared" si="320"/>
        <v>0</v>
      </c>
      <c r="AC791" s="377">
        <f t="shared" si="321"/>
        <v>0</v>
      </c>
      <c r="AD791" s="376"/>
      <c r="AE791" s="332">
        <v>776</v>
      </c>
      <c r="AF791" s="350">
        <v>7943386.7827095892</v>
      </c>
      <c r="AG791" s="350">
        <v>15949154.352589631</v>
      </c>
      <c r="AH791" s="350">
        <v>24015509.999460157</v>
      </c>
      <c r="AI791" s="350">
        <v>32142721.180671491</v>
      </c>
      <c r="AJ791" s="350">
        <v>40331959.954366863</v>
      </c>
      <c r="AK791" s="348">
        <v>120382732.26979774</v>
      </c>
      <c r="AL791" s="369"/>
      <c r="AM791" s="350">
        <v>9321027.1913426388</v>
      </c>
      <c r="AN791" s="350">
        <v>20014972.786828682</v>
      </c>
      <c r="AO791" s="350">
        <v>30413285.980969552</v>
      </c>
      <c r="AP791" s="350">
        <v>40509619.949915566</v>
      </c>
      <c r="AQ791" s="350">
        <v>50300565.650040314</v>
      </c>
      <c r="AR791" s="348">
        <v>150559471.55909675</v>
      </c>
      <c r="AS791" s="369"/>
      <c r="AT791" s="350">
        <f t="shared" si="339"/>
        <v>1377640.4086330496</v>
      </c>
      <c r="AU791" s="350">
        <f t="shared" si="322"/>
        <v>4065818.4342390504</v>
      </c>
      <c r="AV791" s="350">
        <f t="shared" si="323"/>
        <v>6397775.9815093949</v>
      </c>
      <c r="AW791" s="350">
        <f t="shared" si="324"/>
        <v>8366898.7692440748</v>
      </c>
      <c r="AX791" s="350">
        <f t="shared" si="325"/>
        <v>9968605.6956734508</v>
      </c>
      <c r="AY791" s="350">
        <f t="shared" si="326"/>
        <v>30176739.289299011</v>
      </c>
      <c r="AZ791" s="365"/>
      <c r="BA791" s="377">
        <f t="shared" si="327"/>
        <v>0</v>
      </c>
      <c r="BB791" s="377">
        <f t="shared" si="328"/>
        <v>0</v>
      </c>
      <c r="BC791" s="377">
        <f t="shared" si="329"/>
        <v>0</v>
      </c>
      <c r="BD791" s="377">
        <f t="shared" si="330"/>
        <v>0</v>
      </c>
      <c r="BE791" s="377">
        <f t="shared" si="331"/>
        <v>0</v>
      </c>
      <c r="BF791" s="377">
        <f t="shared" si="332"/>
        <v>0</v>
      </c>
      <c r="BG791" s="328"/>
    </row>
    <row r="792" spans="2:59">
      <c r="B792" s="332">
        <v>777</v>
      </c>
      <c r="C792" s="350">
        <v>7449720.4468517238</v>
      </c>
      <c r="D792" s="350">
        <v>13916542.428769697</v>
      </c>
      <c r="E792" s="350">
        <v>20432008.741470642</v>
      </c>
      <c r="F792" s="350">
        <v>26996605.250151634</v>
      </c>
      <c r="G792" s="350">
        <v>33611396.107297972</v>
      </c>
      <c r="H792" s="348">
        <v>102406272.97454166</v>
      </c>
      <c r="I792" s="369"/>
      <c r="J792" s="350">
        <v>8683797.552060863</v>
      </c>
      <c r="K792" s="350">
        <v>17560509.277557187</v>
      </c>
      <c r="L792" s="350">
        <v>26235719.845516205</v>
      </c>
      <c r="M792" s="350">
        <v>34703276.585902244</v>
      </c>
      <c r="N792" s="350">
        <v>42959353.477332376</v>
      </c>
      <c r="O792" s="348">
        <v>130142656.73836887</v>
      </c>
      <c r="P792" s="369"/>
      <c r="Q792" s="350">
        <f t="shared" si="333"/>
        <v>1234077.1052091392</v>
      </c>
      <c r="R792" s="350">
        <f t="shared" si="334"/>
        <v>3643966.8487874903</v>
      </c>
      <c r="S792" s="350">
        <f t="shared" si="335"/>
        <v>5803711.1040455624</v>
      </c>
      <c r="T792" s="350">
        <f t="shared" si="336"/>
        <v>7706671.3357506096</v>
      </c>
      <c r="U792" s="350">
        <f t="shared" si="337"/>
        <v>9347957.3700344041</v>
      </c>
      <c r="V792" s="350">
        <f t="shared" si="338"/>
        <v>27736383.763827205</v>
      </c>
      <c r="W792" s="365"/>
      <c r="X792" s="377">
        <f t="shared" si="316"/>
        <v>0</v>
      </c>
      <c r="Y792" s="377">
        <f t="shared" si="317"/>
        <v>0</v>
      </c>
      <c r="Z792" s="377">
        <f t="shared" si="318"/>
        <v>0</v>
      </c>
      <c r="AA792" s="377">
        <f t="shared" si="319"/>
        <v>0</v>
      </c>
      <c r="AB792" s="377">
        <f t="shared" si="320"/>
        <v>0</v>
      </c>
      <c r="AC792" s="377">
        <f t="shared" si="321"/>
        <v>0</v>
      </c>
      <c r="AD792" s="376"/>
      <c r="AE792" s="332">
        <v>777</v>
      </c>
      <c r="AF792" s="350">
        <v>6577773.4867495168</v>
      </c>
      <c r="AG792" s="350">
        <v>13207203.363796623</v>
      </c>
      <c r="AH792" s="350">
        <v>19886805.120590117</v>
      </c>
      <c r="AI792" s="350">
        <v>26616800.233675949</v>
      </c>
      <c r="AJ792" s="350">
        <v>33398159.262991633</v>
      </c>
      <c r="AK792" s="348">
        <v>99686741.467803836</v>
      </c>
      <c r="AL792" s="369"/>
      <c r="AM792" s="350">
        <v>7636179.2174513461</v>
      </c>
      <c r="AN792" s="350">
        <v>16329679.521348197</v>
      </c>
      <c r="AO792" s="350">
        <v>24775904.33414996</v>
      </c>
      <c r="AP792" s="350">
        <v>32969621.27080116</v>
      </c>
      <c r="AQ792" s="350">
        <v>40907923.9196302</v>
      </c>
      <c r="AR792" s="348">
        <v>122619308.26338086</v>
      </c>
      <c r="AS792" s="369"/>
      <c r="AT792" s="350">
        <f t="shared" si="339"/>
        <v>1058405.7307018293</v>
      </c>
      <c r="AU792" s="350">
        <f t="shared" si="322"/>
        <v>3122476.1575515736</v>
      </c>
      <c r="AV792" s="350">
        <f t="shared" si="323"/>
        <v>4889099.2135598436</v>
      </c>
      <c r="AW792" s="350">
        <f t="shared" si="324"/>
        <v>6352821.0371252112</v>
      </c>
      <c r="AX792" s="350">
        <f t="shared" si="325"/>
        <v>7509764.6566385664</v>
      </c>
      <c r="AY792" s="350">
        <f t="shared" si="326"/>
        <v>22932566.795577019</v>
      </c>
      <c r="AZ792" s="365"/>
      <c r="BA792" s="377">
        <f t="shared" si="327"/>
        <v>0</v>
      </c>
      <c r="BB792" s="377">
        <f t="shared" si="328"/>
        <v>0</v>
      </c>
      <c r="BC792" s="377">
        <f t="shared" si="329"/>
        <v>0</v>
      </c>
      <c r="BD792" s="377">
        <f t="shared" si="330"/>
        <v>0</v>
      </c>
      <c r="BE792" s="377">
        <f t="shared" si="331"/>
        <v>0</v>
      </c>
      <c r="BF792" s="377">
        <f t="shared" si="332"/>
        <v>0</v>
      </c>
      <c r="BG792" s="328"/>
    </row>
    <row r="793" spans="2:59">
      <c r="B793" s="332">
        <v>778</v>
      </c>
      <c r="C793" s="350">
        <v>7012243.5005640788</v>
      </c>
      <c r="D793" s="350">
        <v>13263532.234992836</v>
      </c>
      <c r="E793" s="350">
        <v>19561898.393002573</v>
      </c>
      <c r="F793" s="350">
        <v>25907762.244828146</v>
      </c>
      <c r="G793" s="350">
        <v>32302130.981222488</v>
      </c>
      <c r="H793" s="348">
        <v>98047567.354610115</v>
      </c>
      <c r="I793" s="369"/>
      <c r="J793" s="350">
        <v>7861891.8768782429</v>
      </c>
      <c r="K793" s="350">
        <v>15767925.483190097</v>
      </c>
      <c r="L793" s="350">
        <v>23460251.406904258</v>
      </c>
      <c r="M793" s="350">
        <v>30933313.40109551</v>
      </c>
      <c r="N793" s="350">
        <v>38183400.878697932</v>
      </c>
      <c r="O793" s="348">
        <v>116206783.04676604</v>
      </c>
      <c r="P793" s="369"/>
      <c r="Q793" s="350">
        <f t="shared" si="333"/>
        <v>849648.37631416414</v>
      </c>
      <c r="R793" s="350">
        <f t="shared" si="334"/>
        <v>2504393.2481972612</v>
      </c>
      <c r="S793" s="350">
        <f t="shared" si="335"/>
        <v>3898353.0139016844</v>
      </c>
      <c r="T793" s="350">
        <f t="shared" si="336"/>
        <v>5025551.1562673636</v>
      </c>
      <c r="U793" s="350">
        <f t="shared" si="337"/>
        <v>5881269.8974754438</v>
      </c>
      <c r="V793" s="350">
        <f t="shared" si="338"/>
        <v>18159215.692155927</v>
      </c>
      <c r="W793" s="365"/>
      <c r="X793" s="377">
        <f t="shared" si="316"/>
        <v>0</v>
      </c>
      <c r="Y793" s="377">
        <f t="shared" si="317"/>
        <v>0</v>
      </c>
      <c r="Z793" s="377">
        <f t="shared" si="318"/>
        <v>0</v>
      </c>
      <c r="AA793" s="377">
        <f t="shared" si="319"/>
        <v>0</v>
      </c>
      <c r="AB793" s="377">
        <f t="shared" si="320"/>
        <v>0</v>
      </c>
      <c r="AC793" s="377">
        <f t="shared" si="321"/>
        <v>0</v>
      </c>
      <c r="AD793" s="376"/>
      <c r="AE793" s="332">
        <v>778</v>
      </c>
      <c r="AF793" s="350">
        <v>5607856.2406717297</v>
      </c>
      <c r="AG793" s="350">
        <v>11259751.944131963</v>
      </c>
      <c r="AH793" s="350">
        <v>16954421.496449836</v>
      </c>
      <c r="AI793" s="350">
        <v>22692053.716628142</v>
      </c>
      <c r="AJ793" s="350">
        <v>28473476.051919889</v>
      </c>
      <c r="AK793" s="348">
        <v>84987559.449801564</v>
      </c>
      <c r="AL793" s="369"/>
      <c r="AM793" s="350">
        <v>7047843.7274687542</v>
      </c>
      <c r="AN793" s="350">
        <v>15516312.330037566</v>
      </c>
      <c r="AO793" s="350">
        <v>23790069.851506967</v>
      </c>
      <c r="AP793" s="350">
        <v>31864503.374829672</v>
      </c>
      <c r="AQ793" s="350">
        <v>39737679.560587928</v>
      </c>
      <c r="AR793" s="348">
        <v>117956408.84443088</v>
      </c>
      <c r="AS793" s="369"/>
      <c r="AT793" s="350">
        <f t="shared" si="339"/>
        <v>1439987.4867970245</v>
      </c>
      <c r="AU793" s="350">
        <f t="shared" si="322"/>
        <v>4256560.3859056029</v>
      </c>
      <c r="AV793" s="350">
        <f t="shared" si="323"/>
        <v>6835648.3550571315</v>
      </c>
      <c r="AW793" s="350">
        <f t="shared" si="324"/>
        <v>9172449.6582015306</v>
      </c>
      <c r="AX793" s="350">
        <f t="shared" si="325"/>
        <v>11264203.508668039</v>
      </c>
      <c r="AY793" s="350">
        <f t="shared" si="326"/>
        <v>32968849.394629315</v>
      </c>
      <c r="AZ793" s="365"/>
      <c r="BA793" s="377">
        <f t="shared" si="327"/>
        <v>0</v>
      </c>
      <c r="BB793" s="377">
        <f t="shared" si="328"/>
        <v>0</v>
      </c>
      <c r="BC793" s="377">
        <f t="shared" si="329"/>
        <v>0</v>
      </c>
      <c r="BD793" s="377">
        <f t="shared" si="330"/>
        <v>0</v>
      </c>
      <c r="BE793" s="377">
        <f t="shared" si="331"/>
        <v>0</v>
      </c>
      <c r="BF793" s="377">
        <f t="shared" si="332"/>
        <v>0</v>
      </c>
      <c r="BG793" s="328"/>
    </row>
    <row r="794" spans="2:59">
      <c r="B794" s="332">
        <v>779</v>
      </c>
      <c r="C794" s="350">
        <v>10468456.452327972</v>
      </c>
      <c r="D794" s="350">
        <v>19686225.254552104</v>
      </c>
      <c r="E794" s="350">
        <v>28973374.589139994</v>
      </c>
      <c r="F794" s="350">
        <v>38330557.749959812</v>
      </c>
      <c r="G794" s="350">
        <v>47759274.493541732</v>
      </c>
      <c r="H794" s="348">
        <v>145217888.53952163</v>
      </c>
      <c r="I794" s="369"/>
      <c r="J794" s="350">
        <v>11639144.4613466</v>
      </c>
      <c r="K794" s="350">
        <v>23135405.757228423</v>
      </c>
      <c r="L794" s="350">
        <v>34314346.136858754</v>
      </c>
      <c r="M794" s="350">
        <v>45167811.639856949</v>
      </c>
      <c r="N794" s="350">
        <v>55690243.830011562</v>
      </c>
      <c r="O794" s="348">
        <v>169946951.8253023</v>
      </c>
      <c r="P794" s="369"/>
      <c r="Q794" s="350">
        <f t="shared" si="333"/>
        <v>1170688.0090186279</v>
      </c>
      <c r="R794" s="350">
        <f t="shared" si="334"/>
        <v>3449180.5026763193</v>
      </c>
      <c r="S794" s="350">
        <f t="shared" si="335"/>
        <v>5340971.5477187596</v>
      </c>
      <c r="T794" s="350">
        <f t="shared" si="336"/>
        <v>6837253.8898971379</v>
      </c>
      <c r="U794" s="350">
        <f t="shared" si="337"/>
        <v>7930969.3364698291</v>
      </c>
      <c r="V794" s="350">
        <f t="shared" si="338"/>
        <v>24729063.285780668</v>
      </c>
      <c r="W794" s="365"/>
      <c r="X794" s="377">
        <f t="shared" si="316"/>
        <v>0</v>
      </c>
      <c r="Y794" s="377">
        <f t="shared" si="317"/>
        <v>0</v>
      </c>
      <c r="Z794" s="377">
        <f t="shared" si="318"/>
        <v>0</v>
      </c>
      <c r="AA794" s="377">
        <f t="shared" si="319"/>
        <v>0</v>
      </c>
      <c r="AB794" s="377">
        <f t="shared" si="320"/>
        <v>0</v>
      </c>
      <c r="AC794" s="377">
        <f t="shared" si="321"/>
        <v>0</v>
      </c>
      <c r="AD794" s="376"/>
      <c r="AE794" s="332">
        <v>779</v>
      </c>
      <c r="AF794" s="350">
        <v>4896727.5154425688</v>
      </c>
      <c r="AG794" s="350">
        <v>9831909.8770771176</v>
      </c>
      <c r="AH794" s="350">
        <v>14804441.962679893</v>
      </c>
      <c r="AI794" s="350">
        <v>19814488.647234619</v>
      </c>
      <c r="AJ794" s="350">
        <v>24862772.44992822</v>
      </c>
      <c r="AK794" s="348">
        <v>74210340.452362418</v>
      </c>
      <c r="AL794" s="369"/>
      <c r="AM794" s="350">
        <v>5735915.3049343359</v>
      </c>
      <c r="AN794" s="350">
        <v>12308452.610343095</v>
      </c>
      <c r="AO794" s="350">
        <v>18698444.928685606</v>
      </c>
      <c r="AP794" s="350">
        <v>24901982.585307635</v>
      </c>
      <c r="AQ794" s="350">
        <v>30916953.872052394</v>
      </c>
      <c r="AR794" s="348">
        <v>92561749.301323056</v>
      </c>
      <c r="AS794" s="369"/>
      <c r="AT794" s="350">
        <f t="shared" si="339"/>
        <v>839187.78949176706</v>
      </c>
      <c r="AU794" s="350">
        <f t="shared" si="322"/>
        <v>2476542.7332659774</v>
      </c>
      <c r="AV794" s="350">
        <f t="shared" si="323"/>
        <v>3894002.9660057127</v>
      </c>
      <c r="AW794" s="350">
        <f t="shared" si="324"/>
        <v>5087493.9380730167</v>
      </c>
      <c r="AX794" s="350">
        <f t="shared" si="325"/>
        <v>6054181.4221241735</v>
      </c>
      <c r="AY794" s="350">
        <f t="shared" si="326"/>
        <v>18351408.848960638</v>
      </c>
      <c r="AZ794" s="365"/>
      <c r="BA794" s="377">
        <f t="shared" si="327"/>
        <v>0</v>
      </c>
      <c r="BB794" s="377">
        <f t="shared" si="328"/>
        <v>0</v>
      </c>
      <c r="BC794" s="377">
        <f t="shared" si="329"/>
        <v>0</v>
      </c>
      <c r="BD794" s="377">
        <f t="shared" si="330"/>
        <v>0</v>
      </c>
      <c r="BE794" s="377">
        <f t="shared" si="331"/>
        <v>0</v>
      </c>
      <c r="BF794" s="377">
        <f t="shared" si="332"/>
        <v>0</v>
      </c>
      <c r="BG794" s="328"/>
    </row>
    <row r="795" spans="2:59">
      <c r="B795" s="332">
        <v>780</v>
      </c>
      <c r="C795" s="350">
        <v>7322962.3381447913</v>
      </c>
      <c r="D795" s="350">
        <v>13525005.547388997</v>
      </c>
      <c r="E795" s="350">
        <v>19773650.159003288</v>
      </c>
      <c r="F795" s="350">
        <v>26069408.694837354</v>
      </c>
      <c r="G795" s="350">
        <v>32413321.99033577</v>
      </c>
      <c r="H795" s="348">
        <v>99104348.729710191</v>
      </c>
      <c r="I795" s="369"/>
      <c r="J795" s="350">
        <v>8312692.5185726257</v>
      </c>
      <c r="K795" s="350">
        <v>16444997.64241771</v>
      </c>
      <c r="L795" s="350">
        <v>24377967.590549547</v>
      </c>
      <c r="M795" s="350">
        <v>32105843.119206514</v>
      </c>
      <c r="N795" s="350">
        <v>39624819.839427404</v>
      </c>
      <c r="O795" s="348">
        <v>120866320.71017382</v>
      </c>
      <c r="P795" s="369"/>
      <c r="Q795" s="350">
        <f t="shared" si="333"/>
        <v>989730.18042783439</v>
      </c>
      <c r="R795" s="350">
        <f t="shared" si="334"/>
        <v>2919992.0950287133</v>
      </c>
      <c r="S795" s="350">
        <f t="shared" si="335"/>
        <v>4604317.4315462597</v>
      </c>
      <c r="T795" s="350">
        <f t="shared" si="336"/>
        <v>6036434.4243691601</v>
      </c>
      <c r="U795" s="350">
        <f t="shared" si="337"/>
        <v>7211497.8490916342</v>
      </c>
      <c r="V795" s="350">
        <f t="shared" si="338"/>
        <v>21761971.980463624</v>
      </c>
      <c r="W795" s="365"/>
      <c r="X795" s="377">
        <f t="shared" si="316"/>
        <v>0</v>
      </c>
      <c r="Y795" s="377">
        <f t="shared" si="317"/>
        <v>0</v>
      </c>
      <c r="Z795" s="377">
        <f t="shared" si="318"/>
        <v>0</v>
      </c>
      <c r="AA795" s="377">
        <f t="shared" si="319"/>
        <v>0</v>
      </c>
      <c r="AB795" s="377">
        <f t="shared" si="320"/>
        <v>0</v>
      </c>
      <c r="AC795" s="377">
        <f t="shared" si="321"/>
        <v>0</v>
      </c>
      <c r="AD795" s="376"/>
      <c r="AE795" s="332">
        <v>780</v>
      </c>
      <c r="AF795" s="350">
        <v>6353929.8545672968</v>
      </c>
      <c r="AG795" s="350">
        <v>12757758.216760647</v>
      </c>
      <c r="AH795" s="350">
        <v>19210051.094374377</v>
      </c>
      <c r="AI795" s="350">
        <v>25711022.427040223</v>
      </c>
      <c r="AJ795" s="350">
        <v>32261609.746245857</v>
      </c>
      <c r="AK795" s="348">
        <v>96294371.338988408</v>
      </c>
      <c r="AL795" s="369"/>
      <c r="AM795" s="350">
        <v>7652510.9339113934</v>
      </c>
      <c r="AN795" s="350">
        <v>16593083.538805783</v>
      </c>
      <c r="AO795" s="350">
        <v>25303067.586742833</v>
      </c>
      <c r="AP795" s="350">
        <v>33777330.634634815</v>
      </c>
      <c r="AQ795" s="350">
        <v>42013344.895863749</v>
      </c>
      <c r="AR795" s="348">
        <v>125339337.58995858</v>
      </c>
      <c r="AS795" s="369"/>
      <c r="AT795" s="350">
        <f t="shared" si="339"/>
        <v>1298581.0793440966</v>
      </c>
      <c r="AU795" s="350">
        <f t="shared" si="322"/>
        <v>3835325.3220451362</v>
      </c>
      <c r="AV795" s="350">
        <f t="shared" si="323"/>
        <v>6093016.492368456</v>
      </c>
      <c r="AW795" s="350">
        <f t="shared" si="324"/>
        <v>8066308.2075945921</v>
      </c>
      <c r="AX795" s="350">
        <f t="shared" si="325"/>
        <v>9751735.1496178918</v>
      </c>
      <c r="AY795" s="350">
        <f t="shared" si="326"/>
        <v>29044966.25097017</v>
      </c>
      <c r="AZ795" s="365"/>
      <c r="BA795" s="377">
        <f t="shared" si="327"/>
        <v>0</v>
      </c>
      <c r="BB795" s="377">
        <f t="shared" si="328"/>
        <v>0</v>
      </c>
      <c r="BC795" s="377">
        <f t="shared" si="329"/>
        <v>0</v>
      </c>
      <c r="BD795" s="377">
        <f t="shared" si="330"/>
        <v>0</v>
      </c>
      <c r="BE795" s="377">
        <f t="shared" si="331"/>
        <v>0</v>
      </c>
      <c r="BF795" s="377">
        <f t="shared" si="332"/>
        <v>0</v>
      </c>
      <c r="BG795" s="328"/>
    </row>
    <row r="796" spans="2:59">
      <c r="B796" s="332">
        <v>781</v>
      </c>
      <c r="C796" s="350">
        <v>7902550.656445846</v>
      </c>
      <c r="D796" s="350">
        <v>15075551.194780752</v>
      </c>
      <c r="E796" s="350">
        <v>22302611.681494795</v>
      </c>
      <c r="F796" s="350">
        <v>29584176.854209583</v>
      </c>
      <c r="G796" s="350">
        <v>36921386.09177281</v>
      </c>
      <c r="H796" s="348">
        <v>111786276.47870378</v>
      </c>
      <c r="I796" s="369"/>
      <c r="J796" s="350">
        <v>8767813.0617950168</v>
      </c>
      <c r="K796" s="350">
        <v>17623976.28223335</v>
      </c>
      <c r="L796" s="350">
        <v>26234582.198734757</v>
      </c>
      <c r="M796" s="350">
        <v>34593130.721511126</v>
      </c>
      <c r="N796" s="350">
        <v>42695114.117612563</v>
      </c>
      <c r="O796" s="348">
        <v>129914616.38188681</v>
      </c>
      <c r="P796" s="369"/>
      <c r="Q796" s="350">
        <f t="shared" si="333"/>
        <v>865262.40534917079</v>
      </c>
      <c r="R796" s="350">
        <f t="shared" si="334"/>
        <v>2548425.0874525979</v>
      </c>
      <c r="S796" s="350">
        <f t="shared" si="335"/>
        <v>3931970.5172399618</v>
      </c>
      <c r="T796" s="350">
        <f t="shared" si="336"/>
        <v>5008953.8673015423</v>
      </c>
      <c r="U796" s="350">
        <f t="shared" si="337"/>
        <v>5773728.0258397534</v>
      </c>
      <c r="V796" s="350">
        <f t="shared" si="338"/>
        <v>18128339.903183028</v>
      </c>
      <c r="W796" s="365"/>
      <c r="X796" s="377">
        <f t="shared" si="316"/>
        <v>0</v>
      </c>
      <c r="Y796" s="377">
        <f t="shared" si="317"/>
        <v>0</v>
      </c>
      <c r="Z796" s="377">
        <f t="shared" si="318"/>
        <v>0</v>
      </c>
      <c r="AA796" s="377">
        <f t="shared" si="319"/>
        <v>0</v>
      </c>
      <c r="AB796" s="377">
        <f t="shared" si="320"/>
        <v>0</v>
      </c>
      <c r="AC796" s="377">
        <f t="shared" si="321"/>
        <v>0</v>
      </c>
      <c r="AD796" s="376"/>
      <c r="AE796" s="332">
        <v>781</v>
      </c>
      <c r="AF796" s="350">
        <v>5450732.4697240582</v>
      </c>
      <c r="AG796" s="350">
        <v>10944270.482149001</v>
      </c>
      <c r="AH796" s="350">
        <v>16479383.883959368</v>
      </c>
      <c r="AI796" s="350">
        <v>22056256.203731012</v>
      </c>
      <c r="AJ796" s="350">
        <v>27675691.704878572</v>
      </c>
      <c r="AK796" s="348">
        <v>82606334.744442016</v>
      </c>
      <c r="AL796" s="369"/>
      <c r="AM796" s="350">
        <v>6224138.5165213542</v>
      </c>
      <c r="AN796" s="350">
        <v>13224338.871326324</v>
      </c>
      <c r="AO796" s="350">
        <v>20016527.719344866</v>
      </c>
      <c r="AP796" s="350">
        <v>26596398.513114098</v>
      </c>
      <c r="AQ796" s="350">
        <v>32961437.853120241</v>
      </c>
      <c r="AR796" s="348">
        <v>99022841.473426878</v>
      </c>
      <c r="AS796" s="369"/>
      <c r="AT796" s="350">
        <f t="shared" si="339"/>
        <v>773406.04679729603</v>
      </c>
      <c r="AU796" s="350">
        <f t="shared" si="322"/>
        <v>2280068.3891773224</v>
      </c>
      <c r="AV796" s="350">
        <f t="shared" si="323"/>
        <v>3537143.8353854977</v>
      </c>
      <c r="AW796" s="350">
        <f t="shared" si="324"/>
        <v>4540142.3093830869</v>
      </c>
      <c r="AX796" s="350">
        <f t="shared" si="325"/>
        <v>5285746.1482416689</v>
      </c>
      <c r="AY796" s="350">
        <f t="shared" si="326"/>
        <v>16416506.728984863</v>
      </c>
      <c r="AZ796" s="365"/>
      <c r="BA796" s="377">
        <f t="shared" si="327"/>
        <v>0</v>
      </c>
      <c r="BB796" s="377">
        <f t="shared" si="328"/>
        <v>0</v>
      </c>
      <c r="BC796" s="377">
        <f t="shared" si="329"/>
        <v>0</v>
      </c>
      <c r="BD796" s="377">
        <f t="shared" si="330"/>
        <v>0</v>
      </c>
      <c r="BE796" s="377">
        <f t="shared" si="331"/>
        <v>0</v>
      </c>
      <c r="BF796" s="377">
        <f t="shared" si="332"/>
        <v>0</v>
      </c>
      <c r="BG796" s="328"/>
    </row>
    <row r="797" spans="2:59">
      <c r="B797" s="332">
        <v>782</v>
      </c>
      <c r="C797" s="350">
        <v>8043522.4177824231</v>
      </c>
      <c r="D797" s="350">
        <v>15179105.206785422</v>
      </c>
      <c r="E797" s="350">
        <v>22368413.586734489</v>
      </c>
      <c r="F797" s="350">
        <v>29611937.551676605</v>
      </c>
      <c r="G797" s="350">
        <v>36910831.23731605</v>
      </c>
      <c r="H797" s="348">
        <v>112113810.00029498</v>
      </c>
      <c r="I797" s="369"/>
      <c r="J797" s="350">
        <v>8790479.8518561758</v>
      </c>
      <c r="K797" s="350">
        <v>17376758.061450109</v>
      </c>
      <c r="L797" s="350">
        <v>25717848.920263585</v>
      </c>
      <c r="M797" s="350">
        <v>33807259.135421142</v>
      </c>
      <c r="N797" s="350">
        <v>41640299.032707006</v>
      </c>
      <c r="O797" s="348">
        <v>127332645.00169802</v>
      </c>
      <c r="P797" s="369"/>
      <c r="Q797" s="350">
        <f t="shared" si="333"/>
        <v>746957.43407375272</v>
      </c>
      <c r="R797" s="350">
        <f t="shared" si="334"/>
        <v>2197652.8546646871</v>
      </c>
      <c r="S797" s="350">
        <f t="shared" si="335"/>
        <v>3349435.3335290961</v>
      </c>
      <c r="T797" s="350">
        <f t="shared" si="336"/>
        <v>4195321.5837445371</v>
      </c>
      <c r="U797" s="350">
        <f t="shared" si="337"/>
        <v>4729467.7953909561</v>
      </c>
      <c r="V797" s="350">
        <f t="shared" si="338"/>
        <v>15218835.001403034</v>
      </c>
      <c r="W797" s="365"/>
      <c r="X797" s="377">
        <f t="shared" si="316"/>
        <v>0</v>
      </c>
      <c r="Y797" s="377">
        <f t="shared" si="317"/>
        <v>0</v>
      </c>
      <c r="Z797" s="377">
        <f t="shared" si="318"/>
        <v>0</v>
      </c>
      <c r="AA797" s="377">
        <f t="shared" si="319"/>
        <v>0</v>
      </c>
      <c r="AB797" s="377">
        <f t="shared" si="320"/>
        <v>0</v>
      </c>
      <c r="AC797" s="377">
        <f t="shared" si="321"/>
        <v>0</v>
      </c>
      <c r="AD797" s="376"/>
      <c r="AE797" s="332">
        <v>782</v>
      </c>
      <c r="AF797" s="350">
        <v>7284273.4842502642</v>
      </c>
      <c r="AG797" s="350">
        <v>14625751.625197025</v>
      </c>
      <c r="AH797" s="350">
        <v>22022790.465220425</v>
      </c>
      <c r="AI797" s="350">
        <v>29475635.269034177</v>
      </c>
      <c r="AJ797" s="350">
        <v>36985360.841666445</v>
      </c>
      <c r="AK797" s="348">
        <v>110393811.68536834</v>
      </c>
      <c r="AL797" s="369"/>
      <c r="AM797" s="350">
        <v>8379379.5180941513</v>
      </c>
      <c r="AN797" s="350">
        <v>17855303.854651581</v>
      </c>
      <c r="AO797" s="350">
        <v>27055087.963891249</v>
      </c>
      <c r="AP797" s="350">
        <v>35972959.237931468</v>
      </c>
      <c r="AQ797" s="350">
        <v>44605621.132915676</v>
      </c>
      <c r="AR797" s="348">
        <v>133868351.70748413</v>
      </c>
      <c r="AS797" s="369"/>
      <c r="AT797" s="350">
        <f t="shared" si="339"/>
        <v>1095106.033843887</v>
      </c>
      <c r="AU797" s="350">
        <f t="shared" si="322"/>
        <v>3229552.2294545565</v>
      </c>
      <c r="AV797" s="350">
        <f t="shared" si="323"/>
        <v>5032297.4986708239</v>
      </c>
      <c r="AW797" s="350">
        <f t="shared" si="324"/>
        <v>6497323.9688972905</v>
      </c>
      <c r="AX797" s="350">
        <f t="shared" si="325"/>
        <v>7620260.2912492305</v>
      </c>
      <c r="AY797" s="350">
        <f t="shared" si="326"/>
        <v>23474540.022115782</v>
      </c>
      <c r="AZ797" s="365"/>
      <c r="BA797" s="377">
        <f t="shared" si="327"/>
        <v>0</v>
      </c>
      <c r="BB797" s="377">
        <f t="shared" si="328"/>
        <v>0</v>
      </c>
      <c r="BC797" s="377">
        <f t="shared" si="329"/>
        <v>0</v>
      </c>
      <c r="BD797" s="377">
        <f t="shared" si="330"/>
        <v>0</v>
      </c>
      <c r="BE797" s="377">
        <f t="shared" si="331"/>
        <v>0</v>
      </c>
      <c r="BF797" s="377">
        <f t="shared" si="332"/>
        <v>0</v>
      </c>
      <c r="BG797" s="328"/>
    </row>
    <row r="798" spans="2:59">
      <c r="B798" s="332">
        <v>783</v>
      </c>
      <c r="C798" s="350">
        <v>8369332.8775539482</v>
      </c>
      <c r="D798" s="350">
        <v>15627998.600686211</v>
      </c>
      <c r="E798" s="350">
        <v>22941262.881981552</v>
      </c>
      <c r="F798" s="350">
        <v>30309673.015858199</v>
      </c>
      <c r="G798" s="350">
        <v>37734424.299746029</v>
      </c>
      <c r="H798" s="348">
        <v>114982691.67582595</v>
      </c>
      <c r="I798" s="369"/>
      <c r="J798" s="350">
        <v>9558138.3310500458</v>
      </c>
      <c r="K798" s="350">
        <v>19135758.636002909</v>
      </c>
      <c r="L798" s="350">
        <v>28473860.088662878</v>
      </c>
      <c r="M798" s="350">
        <v>37565898.511197448</v>
      </c>
      <c r="N798" s="350">
        <v>46407697.4213534</v>
      </c>
      <c r="O798" s="348">
        <v>141141352.98826668</v>
      </c>
      <c r="P798" s="369"/>
      <c r="Q798" s="350">
        <f t="shared" si="333"/>
        <v>1188805.4534960976</v>
      </c>
      <c r="R798" s="350">
        <f t="shared" si="334"/>
        <v>3507760.0353166983</v>
      </c>
      <c r="S798" s="350">
        <f t="shared" si="335"/>
        <v>5532597.206681326</v>
      </c>
      <c r="T798" s="350">
        <f t="shared" si="336"/>
        <v>7256225.4953392483</v>
      </c>
      <c r="U798" s="350">
        <f t="shared" si="337"/>
        <v>8673273.1216073707</v>
      </c>
      <c r="V798" s="350">
        <f t="shared" si="338"/>
        <v>26158661.312440723</v>
      </c>
      <c r="W798" s="365"/>
      <c r="X798" s="377">
        <f t="shared" si="316"/>
        <v>0</v>
      </c>
      <c r="Y798" s="377">
        <f t="shared" si="317"/>
        <v>0</v>
      </c>
      <c r="Z798" s="377">
        <f t="shared" si="318"/>
        <v>0</v>
      </c>
      <c r="AA798" s="377">
        <f t="shared" si="319"/>
        <v>0</v>
      </c>
      <c r="AB798" s="377">
        <f t="shared" si="320"/>
        <v>0</v>
      </c>
      <c r="AC798" s="377">
        <f t="shared" si="321"/>
        <v>0</v>
      </c>
      <c r="AD798" s="376"/>
      <c r="AE798" s="332">
        <v>783</v>
      </c>
      <c r="AF798" s="350">
        <v>4857741.0385367433</v>
      </c>
      <c r="AG798" s="350">
        <v>9753630.7557345517</v>
      </c>
      <c r="AH798" s="350">
        <v>14686572.82806674</v>
      </c>
      <c r="AI798" s="350">
        <v>19656730.817825094</v>
      </c>
      <c r="AJ798" s="350">
        <v>24664821.4916858</v>
      </c>
      <c r="AK798" s="348">
        <v>73619496.931848928</v>
      </c>
      <c r="AL798" s="369"/>
      <c r="AM798" s="350">
        <v>5772378.4266204517</v>
      </c>
      <c r="AN798" s="350">
        <v>12454032.308474716</v>
      </c>
      <c r="AO798" s="350">
        <v>18957054.428385872</v>
      </c>
      <c r="AP798" s="350">
        <v>25277543.009825438</v>
      </c>
      <c r="AQ798" s="350">
        <v>31413486.336953562</v>
      </c>
      <c r="AR798" s="348">
        <v>93874494.510260046</v>
      </c>
      <c r="AS798" s="369"/>
      <c r="AT798" s="350">
        <f t="shared" si="339"/>
        <v>914637.38808370847</v>
      </c>
      <c r="AU798" s="350">
        <f t="shared" si="322"/>
        <v>2700401.5527401641</v>
      </c>
      <c r="AV798" s="350">
        <f t="shared" si="323"/>
        <v>4270481.6003191322</v>
      </c>
      <c r="AW798" s="350">
        <f t="shared" si="324"/>
        <v>5620812.1920003444</v>
      </c>
      <c r="AX798" s="350">
        <f t="shared" si="325"/>
        <v>6748664.8452677615</v>
      </c>
      <c r="AY798" s="350">
        <f t="shared" si="326"/>
        <v>20254997.578411117</v>
      </c>
      <c r="AZ798" s="365"/>
      <c r="BA798" s="377">
        <f t="shared" si="327"/>
        <v>0</v>
      </c>
      <c r="BB798" s="377">
        <f t="shared" si="328"/>
        <v>0</v>
      </c>
      <c r="BC798" s="377">
        <f t="shared" si="329"/>
        <v>0</v>
      </c>
      <c r="BD798" s="377">
        <f t="shared" si="330"/>
        <v>0</v>
      </c>
      <c r="BE798" s="377">
        <f t="shared" si="331"/>
        <v>0</v>
      </c>
      <c r="BF798" s="377">
        <f t="shared" si="332"/>
        <v>0</v>
      </c>
      <c r="BG798" s="328"/>
    </row>
    <row r="799" spans="2:59">
      <c r="B799" s="332">
        <v>784</v>
      </c>
      <c r="C799" s="350">
        <v>7012076.3229056187</v>
      </c>
      <c r="D799" s="350">
        <v>13099610.89414159</v>
      </c>
      <c r="E799" s="350">
        <v>19232936.947296306</v>
      </c>
      <c r="F799" s="350">
        <v>25412511.665951014</v>
      </c>
      <c r="G799" s="350">
        <v>31639336.70818929</v>
      </c>
      <c r="H799" s="348">
        <v>96396472.538483813</v>
      </c>
      <c r="I799" s="369"/>
      <c r="J799" s="350">
        <v>7870735.2593432907</v>
      </c>
      <c r="K799" s="350">
        <v>15631126.643280841</v>
      </c>
      <c r="L799" s="350">
        <v>23183249.493966676</v>
      </c>
      <c r="M799" s="350">
        <v>30521770.941510834</v>
      </c>
      <c r="N799" s="350">
        <v>37643170.434514299</v>
      </c>
      <c r="O799" s="348">
        <v>114850052.77261594</v>
      </c>
      <c r="P799" s="369"/>
      <c r="Q799" s="350">
        <f t="shared" si="333"/>
        <v>858658.936437672</v>
      </c>
      <c r="R799" s="350">
        <f t="shared" si="334"/>
        <v>2531515.7491392512</v>
      </c>
      <c r="S799" s="350">
        <f t="shared" si="335"/>
        <v>3950312.5466703698</v>
      </c>
      <c r="T799" s="350">
        <f t="shared" si="336"/>
        <v>5109259.2755598202</v>
      </c>
      <c r="U799" s="350">
        <f t="shared" si="337"/>
        <v>6003833.726325009</v>
      </c>
      <c r="V799" s="350">
        <f t="shared" si="338"/>
        <v>18453580.234132126</v>
      </c>
      <c r="W799" s="365"/>
      <c r="X799" s="377">
        <f t="shared" si="316"/>
        <v>0</v>
      </c>
      <c r="Y799" s="377">
        <f t="shared" si="317"/>
        <v>0</v>
      </c>
      <c r="Z799" s="377">
        <f t="shared" si="318"/>
        <v>0</v>
      </c>
      <c r="AA799" s="377">
        <f t="shared" si="319"/>
        <v>0</v>
      </c>
      <c r="AB799" s="377">
        <f t="shared" si="320"/>
        <v>0</v>
      </c>
      <c r="AC799" s="377">
        <f t="shared" si="321"/>
        <v>0</v>
      </c>
      <c r="AD799" s="376"/>
      <c r="AE799" s="332">
        <v>784</v>
      </c>
      <c r="AF799" s="350">
        <v>6067168.0830564965</v>
      </c>
      <c r="AG799" s="350">
        <v>12181982.684061777</v>
      </c>
      <c r="AH799" s="350">
        <v>18343074.528890885</v>
      </c>
      <c r="AI799" s="350">
        <v>24550647.901779737</v>
      </c>
      <c r="AJ799" s="350">
        <v>30805598.022104222</v>
      </c>
      <c r="AK799" s="348">
        <v>91948471.219893113</v>
      </c>
      <c r="AL799" s="369"/>
      <c r="AM799" s="350">
        <v>7155374.3655619938</v>
      </c>
      <c r="AN799" s="350">
        <v>15394115.040695209</v>
      </c>
      <c r="AO799" s="350">
        <v>23408128.444282562</v>
      </c>
      <c r="AP799" s="350">
        <v>31192556.693218753</v>
      </c>
      <c r="AQ799" s="350">
        <v>38744832.378028408</v>
      </c>
      <c r="AR799" s="348">
        <v>115895006.92178692</v>
      </c>
      <c r="AS799" s="369"/>
      <c r="AT799" s="350">
        <f t="shared" si="339"/>
        <v>1088206.2825054973</v>
      </c>
      <c r="AU799" s="350">
        <f t="shared" si="322"/>
        <v>3212132.3566334322</v>
      </c>
      <c r="AV799" s="350">
        <f t="shared" si="323"/>
        <v>5065053.9153916761</v>
      </c>
      <c r="AW799" s="350">
        <f t="shared" si="324"/>
        <v>6641908.7914390154</v>
      </c>
      <c r="AX799" s="350">
        <f t="shared" si="325"/>
        <v>7939234.3559241854</v>
      </c>
      <c r="AY799" s="350">
        <f t="shared" si="326"/>
        <v>23946535.701893806</v>
      </c>
      <c r="AZ799" s="365"/>
      <c r="BA799" s="377">
        <f t="shared" si="327"/>
        <v>0</v>
      </c>
      <c r="BB799" s="377">
        <f t="shared" si="328"/>
        <v>0</v>
      </c>
      <c r="BC799" s="377">
        <f t="shared" si="329"/>
        <v>0</v>
      </c>
      <c r="BD799" s="377">
        <f t="shared" si="330"/>
        <v>0</v>
      </c>
      <c r="BE799" s="377">
        <f t="shared" si="331"/>
        <v>0</v>
      </c>
      <c r="BF799" s="377">
        <f t="shared" si="332"/>
        <v>0</v>
      </c>
      <c r="BG799" s="328"/>
    </row>
    <row r="800" spans="2:59">
      <c r="B800" s="332">
        <v>785</v>
      </c>
      <c r="C800" s="350">
        <v>10047653.169812357</v>
      </c>
      <c r="D800" s="350">
        <v>19045849.229356632</v>
      </c>
      <c r="E800" s="350">
        <v>28111822.399895974</v>
      </c>
      <c r="F800" s="350">
        <v>37246165.645964921</v>
      </c>
      <c r="G800" s="350">
        <v>46450323.520754248</v>
      </c>
      <c r="H800" s="348">
        <v>140901813.96578413</v>
      </c>
      <c r="I800" s="369"/>
      <c r="J800" s="350">
        <v>11257817.240726238</v>
      </c>
      <c r="K800" s="350">
        <v>22612639.375508409</v>
      </c>
      <c r="L800" s="350">
        <v>33662469.576689906</v>
      </c>
      <c r="M800" s="350">
        <v>44399170.135218605</v>
      </c>
      <c r="N800" s="350">
        <v>54817245.306539729</v>
      </c>
      <c r="O800" s="348">
        <v>166749341.63468289</v>
      </c>
      <c r="P800" s="369"/>
      <c r="Q800" s="350">
        <f t="shared" si="333"/>
        <v>1210164.0709138811</v>
      </c>
      <c r="R800" s="350">
        <f t="shared" si="334"/>
        <v>3566790.1461517774</v>
      </c>
      <c r="S800" s="350">
        <f t="shared" si="335"/>
        <v>5550647.1767939329</v>
      </c>
      <c r="T800" s="350">
        <f t="shared" si="336"/>
        <v>7153004.4892536849</v>
      </c>
      <c r="U800" s="350">
        <f t="shared" si="337"/>
        <v>8366921.7857854813</v>
      </c>
      <c r="V800" s="350">
        <f t="shared" si="338"/>
        <v>25847527.668898761</v>
      </c>
      <c r="W800" s="365"/>
      <c r="X800" s="377">
        <f t="shared" si="316"/>
        <v>0</v>
      </c>
      <c r="Y800" s="377">
        <f t="shared" si="317"/>
        <v>0</v>
      </c>
      <c r="Z800" s="377">
        <f t="shared" si="318"/>
        <v>0</v>
      </c>
      <c r="AA800" s="377">
        <f t="shared" si="319"/>
        <v>0</v>
      </c>
      <c r="AB800" s="377">
        <f t="shared" si="320"/>
        <v>0</v>
      </c>
      <c r="AC800" s="377">
        <f t="shared" si="321"/>
        <v>0</v>
      </c>
      <c r="AD800" s="376"/>
      <c r="AE800" s="332">
        <v>785</v>
      </c>
      <c r="AF800" s="350">
        <v>5661745.8678424601</v>
      </c>
      <c r="AG800" s="350">
        <v>11367954.403015163</v>
      </c>
      <c r="AH800" s="350">
        <v>17117347.829459697</v>
      </c>
      <c r="AI800" s="350">
        <v>22910116.780666463</v>
      </c>
      <c r="AJ800" s="350">
        <v>28747096.655380458</v>
      </c>
      <c r="AK800" s="348">
        <v>85804261.536364242</v>
      </c>
      <c r="AL800" s="369"/>
      <c r="AM800" s="350">
        <v>6845472.6211422682</v>
      </c>
      <c r="AN800" s="350">
        <v>14864385.98151149</v>
      </c>
      <c r="AO800" s="350">
        <v>22678627.616023351</v>
      </c>
      <c r="AP800" s="350">
        <v>30283616.67292105</v>
      </c>
      <c r="AQ800" s="350">
        <v>37677127.687546566</v>
      </c>
      <c r="AR800" s="348">
        <v>112349230.57914472</v>
      </c>
      <c r="AS800" s="369"/>
      <c r="AT800" s="350">
        <f t="shared" si="339"/>
        <v>1183726.7532998081</v>
      </c>
      <c r="AU800" s="350">
        <f t="shared" si="322"/>
        <v>3496431.5784963276</v>
      </c>
      <c r="AV800" s="350">
        <f t="shared" si="323"/>
        <v>5561279.7865636535</v>
      </c>
      <c r="AW800" s="350">
        <f t="shared" si="324"/>
        <v>7373499.8922545873</v>
      </c>
      <c r="AX800" s="350">
        <f t="shared" si="325"/>
        <v>8930031.0321661085</v>
      </c>
      <c r="AY800" s="350">
        <f t="shared" si="326"/>
        <v>26544969.042780474</v>
      </c>
      <c r="AZ800" s="365"/>
      <c r="BA800" s="377">
        <f t="shared" si="327"/>
        <v>0</v>
      </c>
      <c r="BB800" s="377">
        <f t="shared" si="328"/>
        <v>0</v>
      </c>
      <c r="BC800" s="377">
        <f t="shared" si="329"/>
        <v>0</v>
      </c>
      <c r="BD800" s="377">
        <f t="shared" si="330"/>
        <v>0</v>
      </c>
      <c r="BE800" s="377">
        <f t="shared" si="331"/>
        <v>0</v>
      </c>
      <c r="BF800" s="377">
        <f t="shared" si="332"/>
        <v>0</v>
      </c>
      <c r="BG800" s="328"/>
    </row>
    <row r="801" spans="2:59">
      <c r="B801" s="332">
        <v>786</v>
      </c>
      <c r="C801" s="350">
        <v>5317133.4086867459</v>
      </c>
      <c r="D801" s="350">
        <v>10053801.886319904</v>
      </c>
      <c r="E801" s="350">
        <v>14826140.317055788</v>
      </c>
      <c r="F801" s="350">
        <v>19634468.157687329</v>
      </c>
      <c r="G801" s="350">
        <v>24479549.008428983</v>
      </c>
      <c r="H801" s="348">
        <v>74311092.778178751</v>
      </c>
      <c r="I801" s="369"/>
      <c r="J801" s="350">
        <v>6136962.6970132589</v>
      </c>
      <c r="K801" s="350">
        <v>12473505.606229654</v>
      </c>
      <c r="L801" s="350">
        <v>18657475.677100554</v>
      </c>
      <c r="M801" s="350">
        <v>24684460.722904563</v>
      </c>
      <c r="N801" s="350">
        <v>30551668.369669452</v>
      </c>
      <c r="O801" s="348">
        <v>92504073.072917491</v>
      </c>
      <c r="P801" s="369"/>
      <c r="Q801" s="350">
        <f t="shared" si="333"/>
        <v>819829.28832651302</v>
      </c>
      <c r="R801" s="350">
        <f t="shared" si="334"/>
        <v>2419703.7199097499</v>
      </c>
      <c r="S801" s="350">
        <f t="shared" si="335"/>
        <v>3831335.3600447662</v>
      </c>
      <c r="T801" s="350">
        <f t="shared" si="336"/>
        <v>5049992.5652172342</v>
      </c>
      <c r="U801" s="350">
        <f t="shared" si="337"/>
        <v>6072119.3612404689</v>
      </c>
      <c r="V801" s="350">
        <f t="shared" si="338"/>
        <v>18192980.29473874</v>
      </c>
      <c r="W801" s="365"/>
      <c r="X801" s="377">
        <f t="shared" si="316"/>
        <v>0</v>
      </c>
      <c r="Y801" s="377">
        <f t="shared" si="317"/>
        <v>0</v>
      </c>
      <c r="Z801" s="377">
        <f t="shared" si="318"/>
        <v>0</v>
      </c>
      <c r="AA801" s="377">
        <f t="shared" si="319"/>
        <v>0</v>
      </c>
      <c r="AB801" s="377">
        <f t="shared" si="320"/>
        <v>0</v>
      </c>
      <c r="AC801" s="377">
        <f t="shared" si="321"/>
        <v>0</v>
      </c>
      <c r="AD801" s="376"/>
      <c r="AE801" s="332">
        <v>786</v>
      </c>
      <c r="AF801" s="350">
        <v>8283434.1070786119</v>
      </c>
      <c r="AG801" s="350">
        <v>16631919.451646864</v>
      </c>
      <c r="AH801" s="350">
        <v>25043586.57964756</v>
      </c>
      <c r="AI801" s="350">
        <v>33518714.397975005</v>
      </c>
      <c r="AJ801" s="350">
        <v>42058525.139244169</v>
      </c>
      <c r="AK801" s="348">
        <v>125536179.67559221</v>
      </c>
      <c r="AL801" s="369"/>
      <c r="AM801" s="350">
        <v>9288030.7274115849</v>
      </c>
      <c r="AN801" s="350">
        <v>19590549.437600691</v>
      </c>
      <c r="AO801" s="350">
        <v>29571840.955301829</v>
      </c>
      <c r="AP801" s="350">
        <v>39225408.947377361</v>
      </c>
      <c r="AQ801" s="350">
        <v>48547260.898963414</v>
      </c>
      <c r="AR801" s="348">
        <v>146223090.9666549</v>
      </c>
      <c r="AS801" s="369"/>
      <c r="AT801" s="350">
        <f t="shared" si="339"/>
        <v>1004596.6203329731</v>
      </c>
      <c r="AU801" s="350">
        <f t="shared" si="322"/>
        <v>2958629.9859538265</v>
      </c>
      <c r="AV801" s="350">
        <f t="shared" si="323"/>
        <v>4528254.375654269</v>
      </c>
      <c r="AW801" s="350">
        <f t="shared" si="324"/>
        <v>5706694.5494023561</v>
      </c>
      <c r="AX801" s="350">
        <f t="shared" si="325"/>
        <v>6488735.7597192451</v>
      </c>
      <c r="AY801" s="350">
        <f t="shared" si="326"/>
        <v>20686911.291062683</v>
      </c>
      <c r="AZ801" s="365"/>
      <c r="BA801" s="377">
        <f t="shared" si="327"/>
        <v>0</v>
      </c>
      <c r="BB801" s="377">
        <f t="shared" si="328"/>
        <v>0</v>
      </c>
      <c r="BC801" s="377">
        <f t="shared" si="329"/>
        <v>0</v>
      </c>
      <c r="BD801" s="377">
        <f t="shared" si="330"/>
        <v>0</v>
      </c>
      <c r="BE801" s="377">
        <f t="shared" si="331"/>
        <v>0</v>
      </c>
      <c r="BF801" s="377">
        <f t="shared" si="332"/>
        <v>0</v>
      </c>
      <c r="BG801" s="328"/>
    </row>
    <row r="802" spans="2:59">
      <c r="B802" s="332">
        <v>787</v>
      </c>
      <c r="C802" s="350">
        <v>6852025.7631328097</v>
      </c>
      <c r="D802" s="350">
        <v>12734081.027291413</v>
      </c>
      <c r="E802" s="350">
        <v>18660360.100750878</v>
      </c>
      <c r="F802" s="350">
        <v>24631324.747080095</v>
      </c>
      <c r="G802" s="350">
        <v>30647951.521386888</v>
      </c>
      <c r="H802" s="348">
        <v>93525743.159642085</v>
      </c>
      <c r="I802" s="369"/>
      <c r="J802" s="350">
        <v>7906983.3051146157</v>
      </c>
      <c r="K802" s="350">
        <v>15848298.439390067</v>
      </c>
      <c r="L802" s="350">
        <v>23601923.792279318</v>
      </c>
      <c r="M802" s="350">
        <v>31162418.952700622</v>
      </c>
      <c r="N802" s="350">
        <v>38526365.125594899</v>
      </c>
      <c r="O802" s="348">
        <v>117045989.61507952</v>
      </c>
      <c r="P802" s="369"/>
      <c r="Q802" s="350">
        <f t="shared" si="333"/>
        <v>1054957.541981806</v>
      </c>
      <c r="R802" s="350">
        <f t="shared" si="334"/>
        <v>3114217.4120986536</v>
      </c>
      <c r="S802" s="350">
        <f t="shared" si="335"/>
        <v>4941563.6915284395</v>
      </c>
      <c r="T802" s="350">
        <f t="shared" si="336"/>
        <v>6531094.2056205273</v>
      </c>
      <c r="U802" s="350">
        <f t="shared" si="337"/>
        <v>7878413.6042080112</v>
      </c>
      <c r="V802" s="350">
        <f t="shared" si="338"/>
        <v>23520246.455437437</v>
      </c>
      <c r="W802" s="365"/>
      <c r="X802" s="377">
        <f t="shared" si="316"/>
        <v>0</v>
      </c>
      <c r="Y802" s="377">
        <f t="shared" si="317"/>
        <v>0</v>
      </c>
      <c r="Z802" s="377">
        <f t="shared" si="318"/>
        <v>0</v>
      </c>
      <c r="AA802" s="377">
        <f t="shared" si="319"/>
        <v>0</v>
      </c>
      <c r="AB802" s="377">
        <f t="shared" si="320"/>
        <v>0</v>
      </c>
      <c r="AC802" s="377">
        <f t="shared" si="321"/>
        <v>0</v>
      </c>
      <c r="AD802" s="376"/>
      <c r="AE802" s="332">
        <v>787</v>
      </c>
      <c r="AF802" s="350">
        <v>5843818.759162141</v>
      </c>
      <c r="AG802" s="350">
        <v>11733530.035489816</v>
      </c>
      <c r="AH802" s="350">
        <v>17667814.961645201</v>
      </c>
      <c r="AI802" s="350">
        <v>23646870.301593572</v>
      </c>
      <c r="AJ802" s="350">
        <v>29671558.31919688</v>
      </c>
      <c r="AK802" s="348">
        <v>88563592.377087608</v>
      </c>
      <c r="AL802" s="369"/>
      <c r="AM802" s="350">
        <v>7263094.7119594328</v>
      </c>
      <c r="AN802" s="350">
        <v>15928076.187298732</v>
      </c>
      <c r="AO802" s="350">
        <v>24387718.674336731</v>
      </c>
      <c r="AP802" s="350">
        <v>32637238.152941566</v>
      </c>
      <c r="AQ802" s="350">
        <v>40674537.594366163</v>
      </c>
      <c r="AR802" s="348">
        <v>120890665.32090263</v>
      </c>
      <c r="AS802" s="369"/>
      <c r="AT802" s="350">
        <f t="shared" si="339"/>
        <v>1419275.9527972918</v>
      </c>
      <c r="AU802" s="350">
        <f t="shared" si="322"/>
        <v>4194546.1518089157</v>
      </c>
      <c r="AV802" s="350">
        <f t="shared" si="323"/>
        <v>6719903.7126915306</v>
      </c>
      <c r="AW802" s="350">
        <f t="shared" si="324"/>
        <v>8990367.8513479941</v>
      </c>
      <c r="AX802" s="350">
        <f t="shared" si="325"/>
        <v>11002979.275169283</v>
      </c>
      <c r="AY802" s="350">
        <f t="shared" si="326"/>
        <v>32327072.943815023</v>
      </c>
      <c r="AZ802" s="365"/>
      <c r="BA802" s="377">
        <f t="shared" si="327"/>
        <v>0</v>
      </c>
      <c r="BB802" s="377">
        <f t="shared" si="328"/>
        <v>0</v>
      </c>
      <c r="BC802" s="377">
        <f t="shared" si="329"/>
        <v>0</v>
      </c>
      <c r="BD802" s="377">
        <f t="shared" si="330"/>
        <v>0</v>
      </c>
      <c r="BE802" s="377">
        <f t="shared" si="331"/>
        <v>0</v>
      </c>
      <c r="BF802" s="377">
        <f t="shared" si="332"/>
        <v>0</v>
      </c>
      <c r="BG802" s="328"/>
    </row>
    <row r="803" spans="2:59">
      <c r="B803" s="332">
        <v>788</v>
      </c>
      <c r="C803" s="350">
        <v>8141313.4991521901</v>
      </c>
      <c r="D803" s="350">
        <v>15458129.212762136</v>
      </c>
      <c r="E803" s="350">
        <v>22830065.669681538</v>
      </c>
      <c r="F803" s="350">
        <v>30257597.498301186</v>
      </c>
      <c r="G803" s="350">
        <v>37741896.04720597</v>
      </c>
      <c r="H803" s="348">
        <v>114429001.92710303</v>
      </c>
      <c r="I803" s="369"/>
      <c r="J803" s="350">
        <v>9240468.8536370602</v>
      </c>
      <c r="K803" s="350">
        <v>18699863.164818298</v>
      </c>
      <c r="L803" s="350">
        <v>27920617.266460881</v>
      </c>
      <c r="M803" s="350">
        <v>36895851.647584289</v>
      </c>
      <c r="N803" s="350">
        <v>45620979.566069946</v>
      </c>
      <c r="O803" s="348">
        <v>138377780.49857047</v>
      </c>
      <c r="P803" s="369"/>
      <c r="Q803" s="350">
        <f t="shared" si="333"/>
        <v>1099155.3544848701</v>
      </c>
      <c r="R803" s="350">
        <f t="shared" si="334"/>
        <v>3241733.9520561621</v>
      </c>
      <c r="S803" s="350">
        <f t="shared" si="335"/>
        <v>5090551.5967793427</v>
      </c>
      <c r="T803" s="350">
        <f t="shared" si="336"/>
        <v>6638254.1492831036</v>
      </c>
      <c r="U803" s="350">
        <f t="shared" si="337"/>
        <v>7879083.518863976</v>
      </c>
      <c r="V803" s="350">
        <f t="shared" si="338"/>
        <v>23948778.571467444</v>
      </c>
      <c r="W803" s="365"/>
      <c r="X803" s="377">
        <f t="shared" si="316"/>
        <v>0</v>
      </c>
      <c r="Y803" s="377">
        <f t="shared" si="317"/>
        <v>0</v>
      </c>
      <c r="Z803" s="377">
        <f t="shared" si="318"/>
        <v>0</v>
      </c>
      <c r="AA803" s="377">
        <f t="shared" si="319"/>
        <v>0</v>
      </c>
      <c r="AB803" s="377">
        <f t="shared" si="320"/>
        <v>0</v>
      </c>
      <c r="AC803" s="377">
        <f t="shared" si="321"/>
        <v>0</v>
      </c>
      <c r="AD803" s="376"/>
      <c r="AE803" s="332">
        <v>788</v>
      </c>
      <c r="AF803" s="350">
        <v>5747915.7146928832</v>
      </c>
      <c r="AG803" s="350">
        <v>11540970.803393392</v>
      </c>
      <c r="AH803" s="350">
        <v>17377868.042726003</v>
      </c>
      <c r="AI803" s="350">
        <v>23258800.967558026</v>
      </c>
      <c r="AJ803" s="350">
        <v>29184617.691119276</v>
      </c>
      <c r="AK803" s="348">
        <v>87110173.219489574</v>
      </c>
      <c r="AL803" s="369"/>
      <c r="AM803" s="350">
        <v>6520330.8174153492</v>
      </c>
      <c r="AN803" s="350">
        <v>13817357.385327891</v>
      </c>
      <c r="AO803" s="350">
        <v>20893738.697208136</v>
      </c>
      <c r="AP803" s="350">
        <v>27744945.612055171</v>
      </c>
      <c r="AQ803" s="350">
        <v>34368283.98621662</v>
      </c>
      <c r="AR803" s="348">
        <v>103344656.49822317</v>
      </c>
      <c r="AS803" s="369"/>
      <c r="AT803" s="350">
        <f t="shared" si="339"/>
        <v>772415.10272246599</v>
      </c>
      <c r="AU803" s="350">
        <f t="shared" si="322"/>
        <v>2276386.5819344986</v>
      </c>
      <c r="AV803" s="350">
        <f t="shared" si="323"/>
        <v>3515870.6544821337</v>
      </c>
      <c r="AW803" s="350">
        <f t="shared" si="324"/>
        <v>4486144.644497145</v>
      </c>
      <c r="AX803" s="350">
        <f t="shared" si="325"/>
        <v>5183666.2950973436</v>
      </c>
      <c r="AY803" s="350">
        <f t="shared" si="326"/>
        <v>16234483.278733596</v>
      </c>
      <c r="AZ803" s="365"/>
      <c r="BA803" s="377">
        <f t="shared" si="327"/>
        <v>0</v>
      </c>
      <c r="BB803" s="377">
        <f t="shared" si="328"/>
        <v>0</v>
      </c>
      <c r="BC803" s="377">
        <f t="shared" si="329"/>
        <v>0</v>
      </c>
      <c r="BD803" s="377">
        <f t="shared" si="330"/>
        <v>0</v>
      </c>
      <c r="BE803" s="377">
        <f t="shared" si="331"/>
        <v>0</v>
      </c>
      <c r="BF803" s="377">
        <f t="shared" si="332"/>
        <v>0</v>
      </c>
      <c r="BG803" s="328"/>
    </row>
    <row r="804" spans="2:59">
      <c r="B804" s="332">
        <v>789</v>
      </c>
      <c r="C804" s="350">
        <v>7882949.7457580473</v>
      </c>
      <c r="D804" s="350">
        <v>14837575.269581169</v>
      </c>
      <c r="E804" s="350">
        <v>21844551.437592424</v>
      </c>
      <c r="F804" s="350">
        <v>28904367.15320953</v>
      </c>
      <c r="G804" s="350">
        <v>36018152.215508416</v>
      </c>
      <c r="H804" s="348">
        <v>109487595.8216496</v>
      </c>
      <c r="I804" s="369"/>
      <c r="J804" s="350">
        <v>8990682.395937847</v>
      </c>
      <c r="K804" s="350">
        <v>18105645.06054087</v>
      </c>
      <c r="L804" s="350">
        <v>26994117.909169383</v>
      </c>
      <c r="M804" s="350">
        <v>35649647.274912626</v>
      </c>
      <c r="N804" s="350">
        <v>44068021.459137678</v>
      </c>
      <c r="O804" s="348">
        <v>133808114.09969839</v>
      </c>
      <c r="P804" s="369"/>
      <c r="Q804" s="350">
        <f t="shared" si="333"/>
        <v>1107732.6501797996</v>
      </c>
      <c r="R804" s="350">
        <f t="shared" si="334"/>
        <v>3268069.7909597009</v>
      </c>
      <c r="S804" s="350">
        <f t="shared" si="335"/>
        <v>5149566.4715769589</v>
      </c>
      <c r="T804" s="350">
        <f t="shared" si="336"/>
        <v>6745280.1217030957</v>
      </c>
      <c r="U804" s="350">
        <f t="shared" si="337"/>
        <v>8049869.2436292619</v>
      </c>
      <c r="V804" s="350">
        <f t="shared" si="338"/>
        <v>24320518.278048798</v>
      </c>
      <c r="W804" s="365"/>
      <c r="X804" s="377">
        <f t="shared" si="316"/>
        <v>0</v>
      </c>
      <c r="Y804" s="377">
        <f t="shared" si="317"/>
        <v>0</v>
      </c>
      <c r="Z804" s="377">
        <f t="shared" si="318"/>
        <v>0</v>
      </c>
      <c r="AA804" s="377">
        <f t="shared" si="319"/>
        <v>0</v>
      </c>
      <c r="AB804" s="377">
        <f t="shared" si="320"/>
        <v>0</v>
      </c>
      <c r="AC804" s="377">
        <f t="shared" si="321"/>
        <v>0</v>
      </c>
      <c r="AD804" s="376"/>
      <c r="AE804" s="332">
        <v>789</v>
      </c>
      <c r="AF804" s="350">
        <v>6765746.6453454494</v>
      </c>
      <c r="AG804" s="350">
        <v>13584625.866640892</v>
      </c>
      <c r="AH804" s="350">
        <v>20455110.730448745</v>
      </c>
      <c r="AI804" s="350">
        <v>27377429.042454444</v>
      </c>
      <c r="AJ804" s="350">
        <v>34352579.098305374</v>
      </c>
      <c r="AK804" s="348">
        <v>102535491.38319489</v>
      </c>
      <c r="AL804" s="369"/>
      <c r="AM804" s="350">
        <v>8007038.0610227603</v>
      </c>
      <c r="AN804" s="350">
        <v>17249017.327661905</v>
      </c>
      <c r="AO804" s="350">
        <v>26241226.31105968</v>
      </c>
      <c r="AP804" s="350">
        <v>34978239.928050868</v>
      </c>
      <c r="AQ804" s="350">
        <v>43457223.298517272</v>
      </c>
      <c r="AR804" s="348">
        <v>129932744.92631249</v>
      </c>
      <c r="AS804" s="369"/>
      <c r="AT804" s="350">
        <f t="shared" si="339"/>
        <v>1241291.4156773109</v>
      </c>
      <c r="AU804" s="350">
        <f t="shared" si="322"/>
        <v>3664391.4610210136</v>
      </c>
      <c r="AV804" s="350">
        <f t="shared" si="323"/>
        <v>5786115.5806109346</v>
      </c>
      <c r="AW804" s="350">
        <f t="shared" si="324"/>
        <v>7600810.8855964243</v>
      </c>
      <c r="AX804" s="350">
        <f t="shared" si="325"/>
        <v>9104644.2002118975</v>
      </c>
      <c r="AY804" s="350">
        <f t="shared" si="326"/>
        <v>27397253.543117598</v>
      </c>
      <c r="AZ804" s="365"/>
      <c r="BA804" s="377">
        <f t="shared" si="327"/>
        <v>0</v>
      </c>
      <c r="BB804" s="377">
        <f t="shared" si="328"/>
        <v>0</v>
      </c>
      <c r="BC804" s="377">
        <f t="shared" si="329"/>
        <v>0</v>
      </c>
      <c r="BD804" s="377">
        <f t="shared" si="330"/>
        <v>0</v>
      </c>
      <c r="BE804" s="377">
        <f t="shared" si="331"/>
        <v>0</v>
      </c>
      <c r="BF804" s="377">
        <f t="shared" si="332"/>
        <v>0</v>
      </c>
      <c r="BG804" s="328"/>
    </row>
    <row r="805" spans="2:59">
      <c r="B805" s="332">
        <v>790</v>
      </c>
      <c r="C805" s="350">
        <v>6561833.1780989692</v>
      </c>
      <c r="D805" s="350">
        <v>12419958.859326717</v>
      </c>
      <c r="E805" s="350">
        <v>18322203.815927766</v>
      </c>
      <c r="F805" s="350">
        <v>24268959.434437253</v>
      </c>
      <c r="G805" s="350">
        <v>30261168.493555602</v>
      </c>
      <c r="H805" s="348">
        <v>91834123.781346306</v>
      </c>
      <c r="I805" s="369"/>
      <c r="J805" s="350">
        <v>7543197.6555842366</v>
      </c>
      <c r="K805" s="350">
        <v>15315965.068532921</v>
      </c>
      <c r="L805" s="350">
        <v>22903017.297727879</v>
      </c>
      <c r="M805" s="350">
        <v>30298744.90346013</v>
      </c>
      <c r="N805" s="350">
        <v>37499495.529245645</v>
      </c>
      <c r="O805" s="348">
        <v>113560420.45455082</v>
      </c>
      <c r="P805" s="369"/>
      <c r="Q805" s="350">
        <f t="shared" si="333"/>
        <v>981364.47748526745</v>
      </c>
      <c r="R805" s="350">
        <f t="shared" si="334"/>
        <v>2896006.2092062049</v>
      </c>
      <c r="S805" s="350">
        <f t="shared" si="335"/>
        <v>4580813.4818001129</v>
      </c>
      <c r="T805" s="350">
        <f t="shared" si="336"/>
        <v>6029785.4690228775</v>
      </c>
      <c r="U805" s="350">
        <f t="shared" si="337"/>
        <v>7238327.0356900431</v>
      </c>
      <c r="V805" s="350">
        <f t="shared" si="338"/>
        <v>21726296.673204511</v>
      </c>
      <c r="W805" s="365"/>
      <c r="X805" s="377">
        <f t="shared" si="316"/>
        <v>0</v>
      </c>
      <c r="Y805" s="377">
        <f t="shared" si="317"/>
        <v>0</v>
      </c>
      <c r="Z805" s="377">
        <f t="shared" si="318"/>
        <v>0</v>
      </c>
      <c r="AA805" s="377">
        <f t="shared" si="319"/>
        <v>0</v>
      </c>
      <c r="AB805" s="377">
        <f t="shared" si="320"/>
        <v>0</v>
      </c>
      <c r="AC805" s="377">
        <f t="shared" si="321"/>
        <v>0</v>
      </c>
      <c r="AD805" s="376"/>
      <c r="AE805" s="332">
        <v>790</v>
      </c>
      <c r="AF805" s="350">
        <v>6325254.9946248811</v>
      </c>
      <c r="AG805" s="350">
        <v>12700183.308252359</v>
      </c>
      <c r="AH805" s="350">
        <v>19123357.420187548</v>
      </c>
      <c r="AI805" s="350">
        <v>25594990.304566965</v>
      </c>
      <c r="AJ805" s="350">
        <v>32116015.261861451</v>
      </c>
      <c r="AK805" s="348">
        <v>95859801.289493203</v>
      </c>
      <c r="AL805" s="369"/>
      <c r="AM805" s="350">
        <v>7417511.016575343</v>
      </c>
      <c r="AN805" s="350">
        <v>15923680.785574935</v>
      </c>
      <c r="AO805" s="350">
        <v>24194298.648902494</v>
      </c>
      <c r="AP805" s="350">
        <v>32224312.024680674</v>
      </c>
      <c r="AQ805" s="350">
        <v>40011001.510330409</v>
      </c>
      <c r="AR805" s="348">
        <v>119770803.98606385</v>
      </c>
      <c r="AS805" s="369"/>
      <c r="AT805" s="350">
        <f t="shared" si="339"/>
        <v>1092256.0219504619</v>
      </c>
      <c r="AU805" s="350">
        <f t="shared" si="322"/>
        <v>3223497.4773225766</v>
      </c>
      <c r="AV805" s="350">
        <f t="shared" si="323"/>
        <v>5070941.2287149467</v>
      </c>
      <c r="AW805" s="350">
        <f t="shared" si="324"/>
        <v>6629321.7201137096</v>
      </c>
      <c r="AX805" s="350">
        <f t="shared" si="325"/>
        <v>7894986.2484689578</v>
      </c>
      <c r="AY805" s="350">
        <f t="shared" si="326"/>
        <v>23911002.69657065</v>
      </c>
      <c r="AZ805" s="365"/>
      <c r="BA805" s="377">
        <f t="shared" si="327"/>
        <v>0</v>
      </c>
      <c r="BB805" s="377">
        <f t="shared" si="328"/>
        <v>0</v>
      </c>
      <c r="BC805" s="377">
        <f t="shared" si="329"/>
        <v>0</v>
      </c>
      <c r="BD805" s="377">
        <f t="shared" si="330"/>
        <v>0</v>
      </c>
      <c r="BE805" s="377">
        <f t="shared" si="331"/>
        <v>0</v>
      </c>
      <c r="BF805" s="377">
        <f t="shared" si="332"/>
        <v>0</v>
      </c>
      <c r="BG805" s="328"/>
    </row>
    <row r="806" spans="2:59">
      <c r="B806" s="332">
        <v>791</v>
      </c>
      <c r="C806" s="350">
        <v>8345672.7275249837</v>
      </c>
      <c r="D806" s="350">
        <v>15743273.128878374</v>
      </c>
      <c r="E806" s="350">
        <v>23196569.965336382</v>
      </c>
      <c r="F806" s="350">
        <v>30706072.997379698</v>
      </c>
      <c r="G806" s="350">
        <v>38272979.512245119</v>
      </c>
      <c r="H806" s="348">
        <v>116264568.33136456</v>
      </c>
      <c r="I806" s="369"/>
      <c r="J806" s="350">
        <v>9625447.2187353894</v>
      </c>
      <c r="K806" s="350">
        <v>19520471.306257412</v>
      </c>
      <c r="L806" s="350">
        <v>29172866.08470238</v>
      </c>
      <c r="M806" s="350">
        <v>38575912.596785396</v>
      </c>
      <c r="N806" s="350">
        <v>47725421.245827444</v>
      </c>
      <c r="O806" s="348">
        <v>144620118.45230803</v>
      </c>
      <c r="P806" s="369"/>
      <c r="Q806" s="350">
        <f t="shared" si="333"/>
        <v>1279774.4912104057</v>
      </c>
      <c r="R806" s="350">
        <f t="shared" si="334"/>
        <v>3777198.1773790382</v>
      </c>
      <c r="S806" s="350">
        <f t="shared" si="335"/>
        <v>5976296.1193659976</v>
      </c>
      <c r="T806" s="350">
        <f t="shared" si="336"/>
        <v>7869839.5994056985</v>
      </c>
      <c r="U806" s="350">
        <f t="shared" si="337"/>
        <v>9452441.7335823253</v>
      </c>
      <c r="V806" s="350">
        <f t="shared" si="338"/>
        <v>28355550.120943472</v>
      </c>
      <c r="W806" s="365"/>
      <c r="X806" s="377">
        <f t="shared" si="316"/>
        <v>0</v>
      </c>
      <c r="Y806" s="377">
        <f t="shared" si="317"/>
        <v>0</v>
      </c>
      <c r="Z806" s="377">
        <f t="shared" si="318"/>
        <v>0</v>
      </c>
      <c r="AA806" s="377">
        <f t="shared" si="319"/>
        <v>0</v>
      </c>
      <c r="AB806" s="377">
        <f t="shared" si="320"/>
        <v>0</v>
      </c>
      <c r="AC806" s="377">
        <f t="shared" si="321"/>
        <v>0</v>
      </c>
      <c r="AD806" s="376"/>
      <c r="AE806" s="332">
        <v>791</v>
      </c>
      <c r="AF806" s="350">
        <v>6868280.8117370903</v>
      </c>
      <c r="AG806" s="350">
        <v>13790499.417926852</v>
      </c>
      <c r="AH806" s="350">
        <v>20765105.744618855</v>
      </c>
      <c r="AI806" s="350">
        <v>27792331.049869325</v>
      </c>
      <c r="AJ806" s="350">
        <v>34873188.758389354</v>
      </c>
      <c r="AK806" s="348">
        <v>104089405.78254148</v>
      </c>
      <c r="AL806" s="369"/>
      <c r="AM806" s="350">
        <v>7930203.9351109052</v>
      </c>
      <c r="AN806" s="350">
        <v>16922680.86093159</v>
      </c>
      <c r="AO806" s="350">
        <v>25655666.710162781</v>
      </c>
      <c r="AP806" s="350">
        <v>34123710.235720128</v>
      </c>
      <c r="AQ806" s="350">
        <v>42323732.885370567</v>
      </c>
      <c r="AR806" s="348">
        <v>126955994.62729597</v>
      </c>
      <c r="AS806" s="369"/>
      <c r="AT806" s="350">
        <f t="shared" si="339"/>
        <v>1061923.1233738149</v>
      </c>
      <c r="AU806" s="350">
        <f t="shared" si="322"/>
        <v>3132181.4430047385</v>
      </c>
      <c r="AV806" s="350">
        <f t="shared" si="323"/>
        <v>4890560.9655439258</v>
      </c>
      <c r="AW806" s="350">
        <f t="shared" si="324"/>
        <v>6331379.1858508028</v>
      </c>
      <c r="AX806" s="350">
        <f t="shared" si="325"/>
        <v>7450544.1269812137</v>
      </c>
      <c r="AY806" s="350">
        <f t="shared" si="326"/>
        <v>22866588.844754487</v>
      </c>
      <c r="AZ806" s="365"/>
      <c r="BA806" s="377">
        <f t="shared" si="327"/>
        <v>0</v>
      </c>
      <c r="BB806" s="377">
        <f t="shared" si="328"/>
        <v>0</v>
      </c>
      <c r="BC806" s="377">
        <f t="shared" si="329"/>
        <v>0</v>
      </c>
      <c r="BD806" s="377">
        <f t="shared" si="330"/>
        <v>0</v>
      </c>
      <c r="BE806" s="377">
        <f t="shared" si="331"/>
        <v>0</v>
      </c>
      <c r="BF806" s="377">
        <f t="shared" si="332"/>
        <v>0</v>
      </c>
      <c r="BG806" s="328"/>
    </row>
    <row r="807" spans="2:59">
      <c r="B807" s="332">
        <v>792</v>
      </c>
      <c r="C807" s="350">
        <v>6486810.8465512637</v>
      </c>
      <c r="D807" s="350">
        <v>12183370.619546477</v>
      </c>
      <c r="E807" s="350">
        <v>17922802.421238281</v>
      </c>
      <c r="F807" s="350">
        <v>23705514.510823511</v>
      </c>
      <c r="G807" s="350">
        <v>29532435.703226514</v>
      </c>
      <c r="H807" s="348">
        <v>89830934.10138604</v>
      </c>
      <c r="I807" s="369"/>
      <c r="J807" s="350">
        <v>7450579.6211322881</v>
      </c>
      <c r="K807" s="350">
        <v>15027589.597918522</v>
      </c>
      <c r="L807" s="350">
        <v>22414667.947904546</v>
      </c>
      <c r="M807" s="350">
        <v>29606766.151368637</v>
      </c>
      <c r="N807" s="350">
        <v>36600750.282402426</v>
      </c>
      <c r="O807" s="348">
        <v>111100353.60072641</v>
      </c>
      <c r="P807" s="369"/>
      <c r="Q807" s="350">
        <f t="shared" si="333"/>
        <v>963768.77458102442</v>
      </c>
      <c r="R807" s="350">
        <f t="shared" si="334"/>
        <v>2844218.9783720449</v>
      </c>
      <c r="S807" s="350">
        <f t="shared" si="335"/>
        <v>4491865.526666265</v>
      </c>
      <c r="T807" s="350">
        <f t="shared" si="336"/>
        <v>5901251.6405451261</v>
      </c>
      <c r="U807" s="350">
        <f t="shared" si="337"/>
        <v>7068314.5791759118</v>
      </c>
      <c r="V807" s="350">
        <f t="shared" si="338"/>
        <v>21269419.49934037</v>
      </c>
      <c r="W807" s="365"/>
      <c r="X807" s="377">
        <f t="shared" si="316"/>
        <v>0</v>
      </c>
      <c r="Y807" s="377">
        <f t="shared" si="317"/>
        <v>0</v>
      </c>
      <c r="Z807" s="377">
        <f t="shared" si="318"/>
        <v>0</v>
      </c>
      <c r="AA807" s="377">
        <f t="shared" si="319"/>
        <v>0</v>
      </c>
      <c r="AB807" s="377">
        <f t="shared" si="320"/>
        <v>0</v>
      </c>
      <c r="AC807" s="377">
        <f t="shared" si="321"/>
        <v>0</v>
      </c>
      <c r="AD807" s="376"/>
      <c r="AE807" s="332">
        <v>792</v>
      </c>
      <c r="AF807" s="350">
        <v>5884613.6788645722</v>
      </c>
      <c r="AG807" s="350">
        <v>11815440.244438957</v>
      </c>
      <c r="AH807" s="350">
        <v>17791151.622548267</v>
      </c>
      <c r="AI807" s="350">
        <v>23811945.950740784</v>
      </c>
      <c r="AJ807" s="350">
        <v>29878691.512227535</v>
      </c>
      <c r="AK807" s="348">
        <v>89181843.008820117</v>
      </c>
      <c r="AL807" s="369"/>
      <c r="AM807" s="350">
        <v>6783842.1567088682</v>
      </c>
      <c r="AN807" s="350">
        <v>14467576.312709678</v>
      </c>
      <c r="AO807" s="350">
        <v>21928665.709389776</v>
      </c>
      <c r="AP807" s="350">
        <v>29162442.82101354</v>
      </c>
      <c r="AQ807" s="350">
        <v>36166259.259325415</v>
      </c>
      <c r="AR807" s="348">
        <v>108508786.25914729</v>
      </c>
      <c r="AS807" s="369"/>
      <c r="AT807" s="350">
        <f t="shared" si="339"/>
        <v>899228.47784429602</v>
      </c>
      <c r="AU807" s="350">
        <f t="shared" si="322"/>
        <v>2652136.0682707205</v>
      </c>
      <c r="AV807" s="350">
        <f t="shared" si="323"/>
        <v>4137514.0868415087</v>
      </c>
      <c r="AW807" s="350">
        <f t="shared" si="324"/>
        <v>5350496.8702727556</v>
      </c>
      <c r="AX807" s="350">
        <f t="shared" si="325"/>
        <v>6287567.7470978796</v>
      </c>
      <c r="AY807" s="350">
        <f t="shared" si="326"/>
        <v>19326943.25032717</v>
      </c>
      <c r="AZ807" s="365"/>
      <c r="BA807" s="377">
        <f t="shared" si="327"/>
        <v>0</v>
      </c>
      <c r="BB807" s="377">
        <f t="shared" si="328"/>
        <v>0</v>
      </c>
      <c r="BC807" s="377">
        <f t="shared" si="329"/>
        <v>0</v>
      </c>
      <c r="BD807" s="377">
        <f t="shared" si="330"/>
        <v>0</v>
      </c>
      <c r="BE807" s="377">
        <f t="shared" si="331"/>
        <v>0</v>
      </c>
      <c r="BF807" s="377">
        <f t="shared" si="332"/>
        <v>0</v>
      </c>
      <c r="BG807" s="328"/>
    </row>
    <row r="808" spans="2:59">
      <c r="B808" s="332">
        <v>793</v>
      </c>
      <c r="C808" s="350">
        <v>9647986.3901374303</v>
      </c>
      <c r="D808" s="350">
        <v>17713652.029199336</v>
      </c>
      <c r="E808" s="350">
        <v>25839886.304463681</v>
      </c>
      <c r="F808" s="350">
        <v>34027388.274954014</v>
      </c>
      <c r="G808" s="350">
        <v>42277525.686378077</v>
      </c>
      <c r="H808" s="348">
        <v>129506438.68513255</v>
      </c>
      <c r="I808" s="369"/>
      <c r="J808" s="350">
        <v>11081193.034199938</v>
      </c>
      <c r="K808" s="350">
        <v>21944262.925638862</v>
      </c>
      <c r="L808" s="350">
        <v>32550925.071451884</v>
      </c>
      <c r="M808" s="350">
        <v>42893725.850074217</v>
      </c>
      <c r="N808" s="350">
        <v>52967926.867024794</v>
      </c>
      <c r="O808" s="348">
        <v>161438033.74838969</v>
      </c>
      <c r="P808" s="369"/>
      <c r="Q808" s="350">
        <f t="shared" si="333"/>
        <v>1433206.6440625079</v>
      </c>
      <c r="R808" s="350">
        <f t="shared" si="334"/>
        <v>4230610.8964395262</v>
      </c>
      <c r="S808" s="350">
        <f t="shared" si="335"/>
        <v>6711038.7669882029</v>
      </c>
      <c r="T808" s="350">
        <f t="shared" si="336"/>
        <v>8866337.5751202032</v>
      </c>
      <c r="U808" s="350">
        <f t="shared" si="337"/>
        <v>10690401.180646718</v>
      </c>
      <c r="V808" s="350">
        <f t="shared" si="338"/>
        <v>31931595.063257143</v>
      </c>
      <c r="W808" s="365"/>
      <c r="X808" s="377">
        <f t="shared" si="316"/>
        <v>0</v>
      </c>
      <c r="Y808" s="377">
        <f t="shared" si="317"/>
        <v>0</v>
      </c>
      <c r="Z808" s="377">
        <f t="shared" si="318"/>
        <v>0</v>
      </c>
      <c r="AA808" s="377">
        <f t="shared" si="319"/>
        <v>0</v>
      </c>
      <c r="AB808" s="377">
        <f t="shared" si="320"/>
        <v>0</v>
      </c>
      <c r="AC808" s="377">
        <f t="shared" si="321"/>
        <v>0</v>
      </c>
      <c r="AD808" s="376"/>
      <c r="AE808" s="332">
        <v>793</v>
      </c>
      <c r="AF808" s="350">
        <v>5361599.6881036675</v>
      </c>
      <c r="AG808" s="350">
        <v>10765304.943792786</v>
      </c>
      <c r="AH808" s="350">
        <v>16209905.729761519</v>
      </c>
      <c r="AI808" s="350">
        <v>21695582.573445491</v>
      </c>
      <c r="AJ808" s="350">
        <v>27223126.58658924</v>
      </c>
      <c r="AK808" s="348">
        <v>81255519.521692693</v>
      </c>
      <c r="AL808" s="369"/>
      <c r="AM808" s="350">
        <v>6237181.3591142884</v>
      </c>
      <c r="AN808" s="350">
        <v>13348619.061971627</v>
      </c>
      <c r="AO808" s="350">
        <v>20258885.730063919</v>
      </c>
      <c r="AP808" s="350">
        <v>26963712.762372926</v>
      </c>
      <c r="AQ808" s="350">
        <v>33460744.148080252</v>
      </c>
      <c r="AR808" s="348">
        <v>100269143.06160301</v>
      </c>
      <c r="AS808" s="369"/>
      <c r="AT808" s="350">
        <f t="shared" si="339"/>
        <v>875581.67101062089</v>
      </c>
      <c r="AU808" s="350">
        <f t="shared" si="322"/>
        <v>2583314.1181788407</v>
      </c>
      <c r="AV808" s="350">
        <f t="shared" si="323"/>
        <v>4048980.0003024004</v>
      </c>
      <c r="AW808" s="350">
        <f t="shared" si="324"/>
        <v>5268130.1889274344</v>
      </c>
      <c r="AX808" s="350">
        <f t="shared" si="325"/>
        <v>6237617.5614910126</v>
      </c>
      <c r="AY808" s="350">
        <f t="shared" si="326"/>
        <v>19013623.539910316</v>
      </c>
      <c r="AZ808" s="365"/>
      <c r="BA808" s="377">
        <f t="shared" si="327"/>
        <v>0</v>
      </c>
      <c r="BB808" s="377">
        <f t="shared" si="328"/>
        <v>0</v>
      </c>
      <c r="BC808" s="377">
        <f t="shared" si="329"/>
        <v>0</v>
      </c>
      <c r="BD808" s="377">
        <f t="shared" si="330"/>
        <v>0</v>
      </c>
      <c r="BE808" s="377">
        <f t="shared" si="331"/>
        <v>0</v>
      </c>
      <c r="BF808" s="377">
        <f t="shared" si="332"/>
        <v>0</v>
      </c>
      <c r="BG808" s="328"/>
    </row>
    <row r="809" spans="2:59">
      <c r="B809" s="332">
        <v>794</v>
      </c>
      <c r="C809" s="350">
        <v>9947324.5902459677</v>
      </c>
      <c r="D809" s="350">
        <v>19167368.55858811</v>
      </c>
      <c r="E809" s="350">
        <v>28456960.678075977</v>
      </c>
      <c r="F809" s="350">
        <v>37816617.646637037</v>
      </c>
      <c r="G809" s="350">
        <v>47247780.088189751</v>
      </c>
      <c r="H809" s="348">
        <v>142636051.56173685</v>
      </c>
      <c r="I809" s="369"/>
      <c r="J809" s="350">
        <v>10821673.042687688</v>
      </c>
      <c r="K809" s="350">
        <v>21737686.505188975</v>
      </c>
      <c r="L809" s="350">
        <v>32324527.577180453</v>
      </c>
      <c r="M809" s="350">
        <v>42574105.621385567</v>
      </c>
      <c r="N809" s="350">
        <v>52480623.770327136</v>
      </c>
      <c r="O809" s="348">
        <v>159938616.51676983</v>
      </c>
      <c r="P809" s="369"/>
      <c r="Q809" s="350">
        <f t="shared" si="333"/>
        <v>874348.45244172029</v>
      </c>
      <c r="R809" s="350">
        <f t="shared" si="334"/>
        <v>2570317.9466008656</v>
      </c>
      <c r="S809" s="350">
        <f t="shared" si="335"/>
        <v>3867566.899104476</v>
      </c>
      <c r="T809" s="350">
        <f t="shared" si="336"/>
        <v>4757487.9747485295</v>
      </c>
      <c r="U809" s="350">
        <f t="shared" si="337"/>
        <v>5232843.682137385</v>
      </c>
      <c r="V809" s="350">
        <f t="shared" si="338"/>
        <v>17302564.955032974</v>
      </c>
      <c r="W809" s="365"/>
      <c r="X809" s="377">
        <f t="shared" si="316"/>
        <v>0</v>
      </c>
      <c r="Y809" s="377">
        <f t="shared" si="317"/>
        <v>0</v>
      </c>
      <c r="Z809" s="377">
        <f t="shared" si="318"/>
        <v>0</v>
      </c>
      <c r="AA809" s="377">
        <f t="shared" si="319"/>
        <v>0</v>
      </c>
      <c r="AB809" s="377">
        <f t="shared" si="320"/>
        <v>0</v>
      </c>
      <c r="AC809" s="377">
        <f t="shared" si="321"/>
        <v>0</v>
      </c>
      <c r="AD809" s="376"/>
      <c r="AE809" s="332">
        <v>794</v>
      </c>
      <c r="AF809" s="350">
        <v>5400472.3115534857</v>
      </c>
      <c r="AG809" s="350">
        <v>10843355.464112503</v>
      </c>
      <c r="AH809" s="350">
        <v>16327430.647369258</v>
      </c>
      <c r="AI809" s="350">
        <v>21852879.697617825</v>
      </c>
      <c r="AJ809" s="350">
        <v>27420499.462314226</v>
      </c>
      <c r="AK809" s="348">
        <v>81844637.582967311</v>
      </c>
      <c r="AL809" s="369"/>
      <c r="AM809" s="350">
        <v>6053822.580156819</v>
      </c>
      <c r="AN809" s="350">
        <v>12767499.32052543</v>
      </c>
      <c r="AO809" s="350">
        <v>19271700.468415365</v>
      </c>
      <c r="AP809" s="350">
        <v>25562191.125406317</v>
      </c>
      <c r="AQ809" s="350">
        <v>31636366.701666351</v>
      </c>
      <c r="AR809" s="348">
        <v>95291580.196170285</v>
      </c>
      <c r="AS809" s="369"/>
      <c r="AT809" s="350">
        <f t="shared" si="339"/>
        <v>653350.26860333327</v>
      </c>
      <c r="AU809" s="350">
        <f t="shared" si="322"/>
        <v>1924143.8564129267</v>
      </c>
      <c r="AV809" s="350">
        <f t="shared" si="323"/>
        <v>2944269.8210461065</v>
      </c>
      <c r="AW809" s="350">
        <f t="shared" si="324"/>
        <v>3709311.4277884923</v>
      </c>
      <c r="AX809" s="350">
        <f t="shared" si="325"/>
        <v>4215867.2393521257</v>
      </c>
      <c r="AY809" s="350">
        <f t="shared" si="326"/>
        <v>13446942.613202974</v>
      </c>
      <c r="AZ809" s="365"/>
      <c r="BA809" s="377">
        <f t="shared" si="327"/>
        <v>0</v>
      </c>
      <c r="BB809" s="377">
        <f t="shared" si="328"/>
        <v>0</v>
      </c>
      <c r="BC809" s="377">
        <f t="shared" si="329"/>
        <v>0</v>
      </c>
      <c r="BD809" s="377">
        <f t="shared" si="330"/>
        <v>0</v>
      </c>
      <c r="BE809" s="377">
        <f t="shared" si="331"/>
        <v>0</v>
      </c>
      <c r="BF809" s="377">
        <f t="shared" si="332"/>
        <v>0</v>
      </c>
      <c r="BG809" s="328"/>
    </row>
    <row r="810" spans="2:59">
      <c r="B810" s="332">
        <v>795</v>
      </c>
      <c r="C810" s="350">
        <v>10714799.704604849</v>
      </c>
      <c r="D810" s="350">
        <v>20408476.723784268</v>
      </c>
      <c r="E810" s="350">
        <v>30175200.875929553</v>
      </c>
      <c r="F810" s="350">
        <v>40015582.376432307</v>
      </c>
      <c r="G810" s="350">
        <v>49931164.994539842</v>
      </c>
      <c r="H810" s="348">
        <v>151245224.67529082</v>
      </c>
      <c r="I810" s="369"/>
      <c r="J810" s="350">
        <v>11750622.894606713</v>
      </c>
      <c r="K810" s="350">
        <v>23456509.039724</v>
      </c>
      <c r="L810" s="350">
        <v>34821510.543383017</v>
      </c>
      <c r="M810" s="350">
        <v>45837081.701849006</v>
      </c>
      <c r="N810" s="350">
        <v>56497198.790367335</v>
      </c>
      <c r="O810" s="348">
        <v>172362922.96993008</v>
      </c>
      <c r="P810" s="369"/>
      <c r="Q810" s="350">
        <f t="shared" si="333"/>
        <v>1035823.190001864</v>
      </c>
      <c r="R810" s="350">
        <f t="shared" si="334"/>
        <v>3048032.3159397319</v>
      </c>
      <c r="S810" s="350">
        <f t="shared" si="335"/>
        <v>4646309.6674534641</v>
      </c>
      <c r="T810" s="350">
        <f t="shared" si="336"/>
        <v>5821499.3254166991</v>
      </c>
      <c r="U810" s="350">
        <f t="shared" si="337"/>
        <v>6566033.7958274931</v>
      </c>
      <c r="V810" s="350">
        <f t="shared" si="338"/>
        <v>21117698.29463926</v>
      </c>
      <c r="W810" s="365"/>
      <c r="X810" s="377">
        <f t="shared" si="316"/>
        <v>0</v>
      </c>
      <c r="Y810" s="377">
        <f t="shared" si="317"/>
        <v>0</v>
      </c>
      <c r="Z810" s="377">
        <f t="shared" si="318"/>
        <v>0</v>
      </c>
      <c r="AA810" s="377">
        <f t="shared" si="319"/>
        <v>0</v>
      </c>
      <c r="AB810" s="377">
        <f t="shared" si="320"/>
        <v>0</v>
      </c>
      <c r="AC810" s="377">
        <f t="shared" si="321"/>
        <v>0</v>
      </c>
      <c r="AD810" s="376"/>
      <c r="AE810" s="332">
        <v>795</v>
      </c>
      <c r="AF810" s="350">
        <v>7620639.3772120215</v>
      </c>
      <c r="AG810" s="350">
        <v>15301124.950523594</v>
      </c>
      <c r="AH810" s="350">
        <v>23039736.849284694</v>
      </c>
      <c r="AI810" s="350">
        <v>30836731.663797587</v>
      </c>
      <c r="AJ810" s="350">
        <v>38693233.830361672</v>
      </c>
      <c r="AK810" s="348">
        <v>115491466.67117956</v>
      </c>
      <c r="AL810" s="369"/>
      <c r="AM810" s="350">
        <v>9013743.5628788825</v>
      </c>
      <c r="AN810" s="350">
        <v>19413611.274945296</v>
      </c>
      <c r="AO810" s="350">
        <v>29531998.022355139</v>
      </c>
      <c r="AP810" s="350">
        <v>39362794.653291523</v>
      </c>
      <c r="AQ810" s="350">
        <v>48902802.987412021</v>
      </c>
      <c r="AR810" s="348">
        <v>146224950.50088286</v>
      </c>
      <c r="AS810" s="369"/>
      <c r="AT810" s="350">
        <f t="shared" si="339"/>
        <v>1393104.185666861</v>
      </c>
      <c r="AU810" s="350">
        <f t="shared" si="322"/>
        <v>4112486.324421702</v>
      </c>
      <c r="AV810" s="350">
        <f t="shared" si="323"/>
        <v>6492261.1730704457</v>
      </c>
      <c r="AW810" s="350">
        <f t="shared" si="324"/>
        <v>8526062.9894939363</v>
      </c>
      <c r="AX810" s="350">
        <f t="shared" si="325"/>
        <v>10209569.157050349</v>
      </c>
      <c r="AY810" s="350">
        <f t="shared" si="326"/>
        <v>30733483.829703301</v>
      </c>
      <c r="AZ810" s="365"/>
      <c r="BA810" s="377">
        <f t="shared" si="327"/>
        <v>0</v>
      </c>
      <c r="BB810" s="377">
        <f t="shared" si="328"/>
        <v>0</v>
      </c>
      <c r="BC810" s="377">
        <f t="shared" si="329"/>
        <v>0</v>
      </c>
      <c r="BD810" s="377">
        <f t="shared" si="330"/>
        <v>0</v>
      </c>
      <c r="BE810" s="377">
        <f t="shared" si="331"/>
        <v>0</v>
      </c>
      <c r="BF810" s="377">
        <f t="shared" si="332"/>
        <v>0</v>
      </c>
      <c r="BG810" s="328"/>
    </row>
    <row r="811" spans="2:59">
      <c r="B811" s="332">
        <v>796</v>
      </c>
      <c r="C811" s="350">
        <v>5397354.3112654798</v>
      </c>
      <c r="D811" s="350">
        <v>10136783.386385582</v>
      </c>
      <c r="E811" s="350">
        <v>14911881.041923316</v>
      </c>
      <c r="F811" s="350">
        <v>19722987.059621017</v>
      </c>
      <c r="G811" s="350">
        <v>24570874.247067921</v>
      </c>
      <c r="H811" s="348">
        <v>74739880.046263307</v>
      </c>
      <c r="I811" s="369"/>
      <c r="J811" s="350">
        <v>6099920.720863631</v>
      </c>
      <c r="K811" s="350">
        <v>12208703.121966917</v>
      </c>
      <c r="L811" s="350">
        <v>18164380.355578814</v>
      </c>
      <c r="M811" s="350">
        <v>23962458.75920495</v>
      </c>
      <c r="N811" s="350">
        <v>29599896.54803697</v>
      </c>
      <c r="O811" s="348">
        <v>90035359.505651295</v>
      </c>
      <c r="P811" s="369"/>
      <c r="Q811" s="350">
        <f t="shared" si="333"/>
        <v>702566.40959815122</v>
      </c>
      <c r="R811" s="350">
        <f t="shared" si="334"/>
        <v>2071919.7355813347</v>
      </c>
      <c r="S811" s="350">
        <f t="shared" si="335"/>
        <v>3252499.3136554975</v>
      </c>
      <c r="T811" s="350">
        <f t="shared" si="336"/>
        <v>4239471.6995839328</v>
      </c>
      <c r="U811" s="350">
        <f t="shared" si="337"/>
        <v>5029022.3009690493</v>
      </c>
      <c r="V811" s="350">
        <f t="shared" si="338"/>
        <v>15295479.459387988</v>
      </c>
      <c r="W811" s="365"/>
      <c r="X811" s="377">
        <f t="shared" si="316"/>
        <v>0</v>
      </c>
      <c r="Y811" s="377">
        <f t="shared" si="317"/>
        <v>0</v>
      </c>
      <c r="Z811" s="377">
        <f t="shared" si="318"/>
        <v>0</v>
      </c>
      <c r="AA811" s="377">
        <f t="shared" si="319"/>
        <v>0</v>
      </c>
      <c r="AB811" s="377">
        <f t="shared" si="320"/>
        <v>0</v>
      </c>
      <c r="AC811" s="377">
        <f t="shared" si="321"/>
        <v>0</v>
      </c>
      <c r="AD811" s="376"/>
      <c r="AE811" s="332">
        <v>796</v>
      </c>
      <c r="AF811" s="350">
        <v>7270478.3462415971</v>
      </c>
      <c r="AG811" s="350">
        <v>14598053.013580324</v>
      </c>
      <c r="AH811" s="350">
        <v>21981083.157764088</v>
      </c>
      <c r="AI811" s="350">
        <v>29419813.579018194</v>
      </c>
      <c r="AJ811" s="350">
        <v>36915317.046878353</v>
      </c>
      <c r="AK811" s="348">
        <v>110184745.14348255</v>
      </c>
      <c r="AL811" s="369"/>
      <c r="AM811" s="350">
        <v>9155533.9439732041</v>
      </c>
      <c r="AN811" s="350">
        <v>20170398.164837431</v>
      </c>
      <c r="AO811" s="350">
        <v>30933366.473313138</v>
      </c>
      <c r="AP811" s="350">
        <v>41438453.180201106</v>
      </c>
      <c r="AQ811" s="350">
        <v>51683170.118853241</v>
      </c>
      <c r="AR811" s="348">
        <v>153380921.88117811</v>
      </c>
      <c r="AS811" s="369"/>
      <c r="AT811" s="350">
        <f t="shared" si="339"/>
        <v>1885055.597731607</v>
      </c>
      <c r="AU811" s="350">
        <f t="shared" si="322"/>
        <v>5572345.151257107</v>
      </c>
      <c r="AV811" s="350">
        <f t="shared" si="323"/>
        <v>8952283.3155490495</v>
      </c>
      <c r="AW811" s="350">
        <f t="shared" si="324"/>
        <v>12018639.601182912</v>
      </c>
      <c r="AX811" s="350">
        <f t="shared" si="325"/>
        <v>14767853.071974888</v>
      </c>
      <c r="AY811" s="350">
        <f t="shared" si="326"/>
        <v>43196176.73769556</v>
      </c>
      <c r="AZ811" s="365"/>
      <c r="BA811" s="377">
        <f t="shared" si="327"/>
        <v>0</v>
      </c>
      <c r="BB811" s="377">
        <f t="shared" si="328"/>
        <v>0</v>
      </c>
      <c r="BC811" s="377">
        <f t="shared" si="329"/>
        <v>0</v>
      </c>
      <c r="BD811" s="377">
        <f t="shared" si="330"/>
        <v>0</v>
      </c>
      <c r="BE811" s="377">
        <f t="shared" si="331"/>
        <v>0</v>
      </c>
      <c r="BF811" s="377">
        <f t="shared" si="332"/>
        <v>0</v>
      </c>
      <c r="BG811" s="328"/>
    </row>
    <row r="812" spans="2:59">
      <c r="B812" s="332">
        <v>797</v>
      </c>
      <c r="C812" s="350">
        <v>8100208.2021127334</v>
      </c>
      <c r="D812" s="350">
        <v>15107112.580542583</v>
      </c>
      <c r="E812" s="350">
        <v>22166715.727030121</v>
      </c>
      <c r="F812" s="350">
        <v>29279551.478804976</v>
      </c>
      <c r="G812" s="350">
        <v>36446776.079357058</v>
      </c>
      <c r="H812" s="348">
        <v>111100364.06784748</v>
      </c>
      <c r="I812" s="369"/>
      <c r="J812" s="350">
        <v>9320379.6849634331</v>
      </c>
      <c r="K812" s="350">
        <v>18708544.505691398</v>
      </c>
      <c r="L812" s="350">
        <v>27867882.081092987</v>
      </c>
      <c r="M812" s="350">
        <v>36792077.819840796</v>
      </c>
      <c r="N812" s="350">
        <v>45477193.750630498</v>
      </c>
      <c r="O812" s="348">
        <v>138166077.84221911</v>
      </c>
      <c r="P812" s="369"/>
      <c r="Q812" s="350">
        <f t="shared" si="333"/>
        <v>1220171.4828506997</v>
      </c>
      <c r="R812" s="350">
        <f t="shared" si="334"/>
        <v>3601431.9251488149</v>
      </c>
      <c r="S812" s="350">
        <f t="shared" si="335"/>
        <v>5701166.3540628664</v>
      </c>
      <c r="T812" s="350">
        <f t="shared" si="336"/>
        <v>7512526.3410358205</v>
      </c>
      <c r="U812" s="350">
        <f t="shared" si="337"/>
        <v>9030417.6712734401</v>
      </c>
      <c r="V812" s="350">
        <f t="shared" si="338"/>
        <v>27065713.774371639</v>
      </c>
      <c r="W812" s="365"/>
      <c r="X812" s="377">
        <f t="shared" si="316"/>
        <v>0</v>
      </c>
      <c r="Y812" s="377">
        <f t="shared" si="317"/>
        <v>0</v>
      </c>
      <c r="Z812" s="377">
        <f t="shared" si="318"/>
        <v>0</v>
      </c>
      <c r="AA812" s="377">
        <f t="shared" si="319"/>
        <v>0</v>
      </c>
      <c r="AB812" s="377">
        <f t="shared" si="320"/>
        <v>0</v>
      </c>
      <c r="AC812" s="377">
        <f t="shared" si="321"/>
        <v>0</v>
      </c>
      <c r="AD812" s="376"/>
      <c r="AE812" s="332">
        <v>797</v>
      </c>
      <c r="AF812" s="350">
        <v>11846275.998125818</v>
      </c>
      <c r="AG812" s="350">
        <v>23785582.84594034</v>
      </c>
      <c r="AH812" s="350">
        <v>35815247.006304123</v>
      </c>
      <c r="AI812" s="350">
        <v>47935667.348575585</v>
      </c>
      <c r="AJ812" s="350">
        <v>60148591.807814464</v>
      </c>
      <c r="AK812" s="348">
        <v>179531365.00676036</v>
      </c>
      <c r="AL812" s="369"/>
      <c r="AM812" s="350">
        <v>13589789.006728988</v>
      </c>
      <c r="AN812" s="350">
        <v>28926714.748382859</v>
      </c>
      <c r="AO812" s="350">
        <v>43813437.612929426</v>
      </c>
      <c r="AP812" s="350">
        <v>58240580.306134634</v>
      </c>
      <c r="AQ812" s="350">
        <v>72202743.806064293</v>
      </c>
      <c r="AR812" s="348">
        <v>216773265.48024023</v>
      </c>
      <c r="AS812" s="369"/>
      <c r="AT812" s="350">
        <f t="shared" si="339"/>
        <v>1743513.0086031705</v>
      </c>
      <c r="AU812" s="350">
        <f t="shared" si="322"/>
        <v>5141131.9024425186</v>
      </c>
      <c r="AV812" s="350">
        <f t="shared" si="323"/>
        <v>7998190.6066253036</v>
      </c>
      <c r="AW812" s="350">
        <f t="shared" si="324"/>
        <v>10304912.957559049</v>
      </c>
      <c r="AX812" s="350">
        <f t="shared" si="325"/>
        <v>12054151.998249829</v>
      </c>
      <c r="AY812" s="350">
        <f t="shared" si="326"/>
        <v>37241900.473479867</v>
      </c>
      <c r="AZ812" s="365"/>
      <c r="BA812" s="377">
        <f t="shared" si="327"/>
        <v>0</v>
      </c>
      <c r="BB812" s="377">
        <f t="shared" si="328"/>
        <v>0</v>
      </c>
      <c r="BC812" s="377">
        <f t="shared" si="329"/>
        <v>0</v>
      </c>
      <c r="BD812" s="377">
        <f t="shared" si="330"/>
        <v>0</v>
      </c>
      <c r="BE812" s="377">
        <f t="shared" si="331"/>
        <v>0</v>
      </c>
      <c r="BF812" s="377">
        <f t="shared" si="332"/>
        <v>0</v>
      </c>
      <c r="BG812" s="328"/>
    </row>
    <row r="813" spans="2:59">
      <c r="B813" s="332">
        <v>798</v>
      </c>
      <c r="C813" s="350">
        <v>9575615.9093425889</v>
      </c>
      <c r="D813" s="350">
        <v>17871264.721448556</v>
      </c>
      <c r="E813" s="350">
        <v>26229309.063552901</v>
      </c>
      <c r="F813" s="350">
        <v>34650377.192718916</v>
      </c>
      <c r="G813" s="350">
        <v>43135836.375803418</v>
      </c>
      <c r="H813" s="348">
        <v>131462403.26286638</v>
      </c>
      <c r="I813" s="369"/>
      <c r="J813" s="350">
        <v>10774890.614973787</v>
      </c>
      <c r="K813" s="350">
        <v>21407521.811863739</v>
      </c>
      <c r="L813" s="350">
        <v>31768947.233718492</v>
      </c>
      <c r="M813" s="350">
        <v>41851447.929809093</v>
      </c>
      <c r="N813" s="350">
        <v>51649791.590697989</v>
      </c>
      <c r="O813" s="348">
        <v>157452599.18106312</v>
      </c>
      <c r="P813" s="369"/>
      <c r="Q813" s="350">
        <f t="shared" si="333"/>
        <v>1199274.7056311984</v>
      </c>
      <c r="R813" s="350">
        <f t="shared" si="334"/>
        <v>3536257.0904151835</v>
      </c>
      <c r="S813" s="350">
        <f t="shared" si="335"/>
        <v>5539638.1701655909</v>
      </c>
      <c r="T813" s="350">
        <f t="shared" si="336"/>
        <v>7201070.7370901778</v>
      </c>
      <c r="U813" s="350">
        <f t="shared" si="337"/>
        <v>8513955.2148945704</v>
      </c>
      <c r="V813" s="350">
        <f t="shared" si="338"/>
        <v>25990195.918196738</v>
      </c>
      <c r="W813" s="365"/>
      <c r="X813" s="377">
        <f t="shared" si="316"/>
        <v>0</v>
      </c>
      <c r="Y813" s="377">
        <f t="shared" si="317"/>
        <v>0</v>
      </c>
      <c r="Z813" s="377">
        <f t="shared" si="318"/>
        <v>0</v>
      </c>
      <c r="AA813" s="377">
        <f t="shared" si="319"/>
        <v>0</v>
      </c>
      <c r="AB813" s="377">
        <f t="shared" si="320"/>
        <v>0</v>
      </c>
      <c r="AC813" s="377">
        <f t="shared" si="321"/>
        <v>0</v>
      </c>
      <c r="AD813" s="376"/>
      <c r="AE813" s="332">
        <v>798</v>
      </c>
      <c r="AF813" s="350">
        <v>8700699.631793268</v>
      </c>
      <c r="AG813" s="350">
        <v>17469727.35924799</v>
      </c>
      <c r="AH813" s="350">
        <v>26305119.557372786</v>
      </c>
      <c r="AI813" s="350">
        <v>35207169.182576947</v>
      </c>
      <c r="AJ813" s="350">
        <v>44177160.03560368</v>
      </c>
      <c r="AK813" s="348">
        <v>131859875.76659468</v>
      </c>
      <c r="AL813" s="369"/>
      <c r="AM813" s="350">
        <v>10325054.940525245</v>
      </c>
      <c r="AN813" s="350">
        <v>22265336.456026789</v>
      </c>
      <c r="AO813" s="350">
        <v>33885255.773936048</v>
      </c>
      <c r="AP813" s="350">
        <v>45177828.340348966</v>
      </c>
      <c r="AQ813" s="350">
        <v>56139436.942689762</v>
      </c>
      <c r="AR813" s="348">
        <v>167792912.45352679</v>
      </c>
      <c r="AS813" s="369"/>
      <c r="AT813" s="350">
        <f t="shared" si="339"/>
        <v>1624355.3087319769</v>
      </c>
      <c r="AU813" s="350">
        <f t="shared" si="322"/>
        <v>4795609.0967787988</v>
      </c>
      <c r="AV813" s="350">
        <f t="shared" si="323"/>
        <v>7580136.216563262</v>
      </c>
      <c r="AW813" s="350">
        <f t="shared" si="324"/>
        <v>9970659.1577720195</v>
      </c>
      <c r="AX813" s="350">
        <f t="shared" si="325"/>
        <v>11962276.907086082</v>
      </c>
      <c r="AY813" s="350">
        <f t="shared" si="326"/>
        <v>35933036.686932117</v>
      </c>
      <c r="AZ813" s="365"/>
      <c r="BA813" s="377">
        <f t="shared" si="327"/>
        <v>0</v>
      </c>
      <c r="BB813" s="377">
        <f t="shared" si="328"/>
        <v>0</v>
      </c>
      <c r="BC813" s="377">
        <f t="shared" si="329"/>
        <v>0</v>
      </c>
      <c r="BD813" s="377">
        <f t="shared" si="330"/>
        <v>0</v>
      </c>
      <c r="BE813" s="377">
        <f t="shared" si="331"/>
        <v>0</v>
      </c>
      <c r="BF813" s="377">
        <f t="shared" si="332"/>
        <v>0</v>
      </c>
      <c r="BG813" s="328"/>
    </row>
    <row r="814" spans="2:59">
      <c r="B814" s="332">
        <v>799</v>
      </c>
      <c r="C814" s="350">
        <v>10990771.252576388</v>
      </c>
      <c r="D814" s="350">
        <v>20892556.503567442</v>
      </c>
      <c r="E814" s="350">
        <v>30868943.894696243</v>
      </c>
      <c r="F814" s="350">
        <v>40920568.738348544</v>
      </c>
      <c r="G814" s="350">
        <v>51049013.16581019</v>
      </c>
      <c r="H814" s="348">
        <v>154721853.55499882</v>
      </c>
      <c r="I814" s="369"/>
      <c r="J814" s="350">
        <v>12492396.248023961</v>
      </c>
      <c r="K814" s="350">
        <v>25321521.13550901</v>
      </c>
      <c r="L814" s="350">
        <v>37821358.943933979</v>
      </c>
      <c r="M814" s="350">
        <v>49982855.251300499</v>
      </c>
      <c r="N814" s="350">
        <v>61800091.138707653</v>
      </c>
      <c r="O814" s="348">
        <v>187418222.71747512</v>
      </c>
      <c r="P814" s="369"/>
      <c r="Q814" s="350">
        <f t="shared" si="333"/>
        <v>1501624.9954475723</v>
      </c>
      <c r="R814" s="350">
        <f t="shared" si="334"/>
        <v>4428964.6319415681</v>
      </c>
      <c r="S814" s="350">
        <f t="shared" si="335"/>
        <v>6952415.0492377356</v>
      </c>
      <c r="T814" s="350">
        <f t="shared" si="336"/>
        <v>9062286.5129519552</v>
      </c>
      <c r="U814" s="350">
        <f t="shared" si="337"/>
        <v>10751077.972897463</v>
      </c>
      <c r="V814" s="350">
        <f t="shared" si="338"/>
        <v>32696369.162476301</v>
      </c>
      <c r="W814" s="365"/>
      <c r="X814" s="377">
        <f t="shared" si="316"/>
        <v>0</v>
      </c>
      <c r="Y814" s="377">
        <f t="shared" si="317"/>
        <v>0</v>
      </c>
      <c r="Z814" s="377">
        <f t="shared" si="318"/>
        <v>0</v>
      </c>
      <c r="AA814" s="377">
        <f t="shared" si="319"/>
        <v>0</v>
      </c>
      <c r="AB814" s="377">
        <f t="shared" si="320"/>
        <v>0</v>
      </c>
      <c r="AC814" s="377">
        <f t="shared" si="321"/>
        <v>0</v>
      </c>
      <c r="AD814" s="376"/>
      <c r="AE814" s="332">
        <v>799</v>
      </c>
      <c r="AF814" s="350">
        <v>5132218.3538431227</v>
      </c>
      <c r="AG814" s="350">
        <v>10304740.904070118</v>
      </c>
      <c r="AH814" s="350">
        <v>15516409.381501799</v>
      </c>
      <c r="AI814" s="350">
        <v>20767396.5902027</v>
      </c>
      <c r="AJ814" s="350">
        <v>26058459.796371609</v>
      </c>
      <c r="AK814" s="348">
        <v>77779225.025989354</v>
      </c>
      <c r="AL814" s="369"/>
      <c r="AM814" s="350">
        <v>6194823.8351346683</v>
      </c>
      <c r="AN814" s="350">
        <v>13443286.176425857</v>
      </c>
      <c r="AO814" s="350">
        <v>20505907.375549883</v>
      </c>
      <c r="AP814" s="350">
        <v>27378537.959705673</v>
      </c>
      <c r="AQ814" s="350">
        <v>34059150.062359512</v>
      </c>
      <c r="AR814" s="348">
        <v>101581705.4091756</v>
      </c>
      <c r="AS814" s="369"/>
      <c r="AT814" s="350">
        <f t="shared" si="339"/>
        <v>1062605.4812915456</v>
      </c>
      <c r="AU814" s="350">
        <f t="shared" si="322"/>
        <v>3138545.272355739</v>
      </c>
      <c r="AV814" s="350">
        <f t="shared" si="323"/>
        <v>4989497.9940480832</v>
      </c>
      <c r="AW814" s="350">
        <f t="shared" si="324"/>
        <v>6611141.3695029728</v>
      </c>
      <c r="AX814" s="350">
        <f t="shared" si="325"/>
        <v>8000690.2659879029</v>
      </c>
      <c r="AY814" s="350">
        <f t="shared" si="326"/>
        <v>23802480.383186251</v>
      </c>
      <c r="AZ814" s="365"/>
      <c r="BA814" s="377">
        <f t="shared" si="327"/>
        <v>0</v>
      </c>
      <c r="BB814" s="377">
        <f t="shared" si="328"/>
        <v>0</v>
      </c>
      <c r="BC814" s="377">
        <f t="shared" si="329"/>
        <v>0</v>
      </c>
      <c r="BD814" s="377">
        <f t="shared" si="330"/>
        <v>0</v>
      </c>
      <c r="BE814" s="377">
        <f t="shared" si="331"/>
        <v>0</v>
      </c>
      <c r="BF814" s="377">
        <f t="shared" si="332"/>
        <v>0</v>
      </c>
      <c r="BG814" s="328"/>
    </row>
    <row r="815" spans="2:59">
      <c r="B815" s="332">
        <v>800</v>
      </c>
      <c r="C815" s="350">
        <v>6840098.1506967824</v>
      </c>
      <c r="D815" s="350">
        <v>12919993.582001857</v>
      </c>
      <c r="E815" s="350">
        <v>19045669.923078217</v>
      </c>
      <c r="F815" s="350">
        <v>25217541.173122399</v>
      </c>
      <c r="G815" s="350">
        <v>31436589.193433791</v>
      </c>
      <c r="H815" s="348">
        <v>95459892.022333056</v>
      </c>
      <c r="I815" s="369"/>
      <c r="J815" s="350">
        <v>7662315.9450833695</v>
      </c>
      <c r="K815" s="350">
        <v>15343463.564722175</v>
      </c>
      <c r="L815" s="350">
        <v>22819942.714602724</v>
      </c>
      <c r="M815" s="350">
        <v>30086228.755346805</v>
      </c>
      <c r="N815" s="350">
        <v>37138578.731010795</v>
      </c>
      <c r="O815" s="348">
        <v>113050529.71076587</v>
      </c>
      <c r="P815" s="369"/>
      <c r="Q815" s="350">
        <f t="shared" si="333"/>
        <v>822217.79438658711</v>
      </c>
      <c r="R815" s="350">
        <f t="shared" si="334"/>
        <v>2423469.9827203173</v>
      </c>
      <c r="S815" s="350">
        <f t="shared" si="335"/>
        <v>3774272.7915245071</v>
      </c>
      <c r="T815" s="350">
        <f t="shared" si="336"/>
        <v>4868687.5822244063</v>
      </c>
      <c r="U815" s="350">
        <f t="shared" si="337"/>
        <v>5701989.5375770032</v>
      </c>
      <c r="V815" s="350">
        <f t="shared" si="338"/>
        <v>17590637.688432813</v>
      </c>
      <c r="W815" s="365"/>
      <c r="X815" s="377">
        <f t="shared" si="316"/>
        <v>0</v>
      </c>
      <c r="Y815" s="377">
        <f t="shared" si="317"/>
        <v>0</v>
      </c>
      <c r="Z815" s="377">
        <f t="shared" si="318"/>
        <v>0</v>
      </c>
      <c r="AA815" s="377">
        <f t="shared" si="319"/>
        <v>0</v>
      </c>
      <c r="AB815" s="377">
        <f t="shared" si="320"/>
        <v>0</v>
      </c>
      <c r="AC815" s="377">
        <f t="shared" si="321"/>
        <v>0</v>
      </c>
      <c r="AD815" s="376"/>
      <c r="AE815" s="332">
        <v>800</v>
      </c>
      <c r="AF815" s="350">
        <v>8441785.6077384502</v>
      </c>
      <c r="AG815" s="350">
        <v>16949866.014627457</v>
      </c>
      <c r="AH815" s="350">
        <v>25522336.028913166</v>
      </c>
      <c r="AI815" s="350">
        <v>34159479.889255032</v>
      </c>
      <c r="AJ815" s="350">
        <v>42862543.193259664</v>
      </c>
      <c r="AK815" s="348">
        <v>127936010.73379377</v>
      </c>
      <c r="AL815" s="369"/>
      <c r="AM815" s="350">
        <v>9975017.2143847011</v>
      </c>
      <c r="AN815" s="350">
        <v>21475876.254998665</v>
      </c>
      <c r="AO815" s="350">
        <v>32664624.918815091</v>
      </c>
      <c r="AP815" s="350">
        <v>43534498.598744959</v>
      </c>
      <c r="AQ815" s="350">
        <v>54081944.390054151</v>
      </c>
      <c r="AR815" s="348">
        <v>161731961.37699759</v>
      </c>
      <c r="AS815" s="369"/>
      <c r="AT815" s="350">
        <f t="shared" si="339"/>
        <v>1533231.6066462509</v>
      </c>
      <c r="AU815" s="350">
        <f t="shared" si="322"/>
        <v>4526010.2403712086</v>
      </c>
      <c r="AV815" s="350">
        <f t="shared" si="323"/>
        <v>7142288.8899019249</v>
      </c>
      <c r="AW815" s="350">
        <f t="shared" si="324"/>
        <v>9375018.7094899267</v>
      </c>
      <c r="AX815" s="350">
        <f t="shared" si="325"/>
        <v>11219401.196794488</v>
      </c>
      <c r="AY815" s="350">
        <f t="shared" si="326"/>
        <v>33795950.643203825</v>
      </c>
      <c r="AZ815" s="365"/>
      <c r="BA815" s="377">
        <f t="shared" si="327"/>
        <v>0</v>
      </c>
      <c r="BB815" s="377">
        <f t="shared" si="328"/>
        <v>0</v>
      </c>
      <c r="BC815" s="377">
        <f t="shared" si="329"/>
        <v>0</v>
      </c>
      <c r="BD815" s="377">
        <f t="shared" si="330"/>
        <v>0</v>
      </c>
      <c r="BE815" s="377">
        <f t="shared" si="331"/>
        <v>0</v>
      </c>
      <c r="BF815" s="377">
        <f t="shared" si="332"/>
        <v>0</v>
      </c>
      <c r="BG815" s="328"/>
    </row>
    <row r="816" spans="2:59">
      <c r="B816" s="332">
        <v>801</v>
      </c>
      <c r="C816" s="350">
        <v>7821848.4566664398</v>
      </c>
      <c r="D816" s="350">
        <v>14648514.919307668</v>
      </c>
      <c r="E816" s="350">
        <v>21526544.699504048</v>
      </c>
      <c r="F816" s="350">
        <v>28456439.623927616</v>
      </c>
      <c r="G816" s="350">
        <v>35439318.241096824</v>
      </c>
      <c r="H816" s="348">
        <v>107892665.94050258</v>
      </c>
      <c r="I816" s="369"/>
      <c r="J816" s="350">
        <v>9233237.5289000757</v>
      </c>
      <c r="K816" s="350">
        <v>18817457.94179057</v>
      </c>
      <c r="L816" s="350">
        <v>28189414.158088651</v>
      </c>
      <c r="M816" s="350">
        <v>37342688.710767359</v>
      </c>
      <c r="N816" s="350">
        <v>46273471.74538745</v>
      </c>
      <c r="O816" s="348">
        <v>139856270.08493412</v>
      </c>
      <c r="P816" s="369"/>
      <c r="Q816" s="350">
        <f t="shared" si="333"/>
        <v>1411389.0722336359</v>
      </c>
      <c r="R816" s="350">
        <f t="shared" si="334"/>
        <v>4168943.0224829018</v>
      </c>
      <c r="S816" s="350">
        <f t="shared" si="335"/>
        <v>6662869.4585846029</v>
      </c>
      <c r="T816" s="350">
        <f t="shared" si="336"/>
        <v>8886249.086839743</v>
      </c>
      <c r="U816" s="350">
        <f t="shared" si="337"/>
        <v>10834153.504290625</v>
      </c>
      <c r="V816" s="350">
        <f t="shared" si="338"/>
        <v>31963604.144431531</v>
      </c>
      <c r="W816" s="365"/>
      <c r="X816" s="377">
        <f t="shared" si="316"/>
        <v>0</v>
      </c>
      <c r="Y816" s="377">
        <f t="shared" si="317"/>
        <v>0</v>
      </c>
      <c r="Z816" s="377">
        <f t="shared" si="318"/>
        <v>0</v>
      </c>
      <c r="AA816" s="377">
        <f t="shared" si="319"/>
        <v>0</v>
      </c>
      <c r="AB816" s="377">
        <f t="shared" si="320"/>
        <v>0</v>
      </c>
      <c r="AC816" s="377">
        <f t="shared" si="321"/>
        <v>0</v>
      </c>
      <c r="AD816" s="376"/>
      <c r="AE816" s="332">
        <v>801</v>
      </c>
      <c r="AF816" s="350">
        <v>5499142.0206151903</v>
      </c>
      <c r="AG816" s="350">
        <v>11041469.752488302</v>
      </c>
      <c r="AH816" s="350">
        <v>16625742.116952121</v>
      </c>
      <c r="AI816" s="350">
        <v>22252144.272553515</v>
      </c>
      <c r="AJ816" s="350">
        <v>27921487.625605978</v>
      </c>
      <c r="AK816" s="348">
        <v>83339985.788215101</v>
      </c>
      <c r="AL816" s="369"/>
      <c r="AM816" s="350">
        <v>6324736.3132453579</v>
      </c>
      <c r="AN816" s="350">
        <v>13476192.129596345</v>
      </c>
      <c r="AO816" s="350">
        <v>20419146.358401313</v>
      </c>
      <c r="AP816" s="350">
        <v>27149241.386481054</v>
      </c>
      <c r="AQ816" s="350">
        <v>33663987.39001298</v>
      </c>
      <c r="AR816" s="348">
        <v>101033303.57773705</v>
      </c>
      <c r="AS816" s="369"/>
      <c r="AT816" s="350">
        <f t="shared" si="339"/>
        <v>825594.29263016768</v>
      </c>
      <c r="AU816" s="350">
        <f t="shared" si="322"/>
        <v>2434722.3771080431</v>
      </c>
      <c r="AV816" s="350">
        <f t="shared" si="323"/>
        <v>3793404.2414491922</v>
      </c>
      <c r="AW816" s="350">
        <f t="shared" si="324"/>
        <v>4897097.1139275394</v>
      </c>
      <c r="AX816" s="350">
        <f t="shared" si="325"/>
        <v>5742499.7644070014</v>
      </c>
      <c r="AY816" s="350">
        <f t="shared" si="326"/>
        <v>17693317.789521948</v>
      </c>
      <c r="AZ816" s="365"/>
      <c r="BA816" s="377">
        <f t="shared" si="327"/>
        <v>0</v>
      </c>
      <c r="BB816" s="377">
        <f t="shared" si="328"/>
        <v>0</v>
      </c>
      <c r="BC816" s="377">
        <f t="shared" si="329"/>
        <v>0</v>
      </c>
      <c r="BD816" s="377">
        <f t="shared" si="330"/>
        <v>0</v>
      </c>
      <c r="BE816" s="377">
        <f t="shared" si="331"/>
        <v>0</v>
      </c>
      <c r="BF816" s="377">
        <f t="shared" si="332"/>
        <v>0</v>
      </c>
      <c r="BG816" s="328"/>
    </row>
    <row r="817" spans="2:59">
      <c r="B817" s="332">
        <v>802</v>
      </c>
      <c r="C817" s="350">
        <v>11269543.668919163</v>
      </c>
      <c r="D817" s="350">
        <v>21290086.726484634</v>
      </c>
      <c r="E817" s="350">
        <v>31386084.442198925</v>
      </c>
      <c r="F817" s="350">
        <v>41558218.121957712</v>
      </c>
      <c r="G817" s="350">
        <v>51808105.568842053</v>
      </c>
      <c r="H817" s="348">
        <v>157312038.52840248</v>
      </c>
      <c r="I817" s="369"/>
      <c r="J817" s="350">
        <v>12486504.887663225</v>
      </c>
      <c r="K817" s="350">
        <v>24874513.539702516</v>
      </c>
      <c r="L817" s="350">
        <v>36921427.226076134</v>
      </c>
      <c r="M817" s="350">
        <v>48618143.502267547</v>
      </c>
      <c r="N817" s="350">
        <v>59958317.044170372</v>
      </c>
      <c r="O817" s="348">
        <v>182858906.1998798</v>
      </c>
      <c r="P817" s="369"/>
      <c r="Q817" s="350">
        <f t="shared" si="333"/>
        <v>1216961.2187440619</v>
      </c>
      <c r="R817" s="350">
        <f t="shared" si="334"/>
        <v>3584426.8132178821</v>
      </c>
      <c r="S817" s="350">
        <f t="shared" si="335"/>
        <v>5535342.7838772088</v>
      </c>
      <c r="T817" s="350">
        <f t="shared" si="336"/>
        <v>7059925.3803098351</v>
      </c>
      <c r="U817" s="350">
        <f t="shared" si="337"/>
        <v>8150211.4753283188</v>
      </c>
      <c r="V817" s="350">
        <f t="shared" si="338"/>
        <v>25546867.671477318</v>
      </c>
      <c r="W817" s="365"/>
      <c r="X817" s="377">
        <f t="shared" si="316"/>
        <v>0</v>
      </c>
      <c r="Y817" s="377">
        <f t="shared" si="317"/>
        <v>0</v>
      </c>
      <c r="Z817" s="377">
        <f t="shared" si="318"/>
        <v>0</v>
      </c>
      <c r="AA817" s="377">
        <f t="shared" si="319"/>
        <v>0</v>
      </c>
      <c r="AB817" s="377">
        <f t="shared" si="320"/>
        <v>0</v>
      </c>
      <c r="AC817" s="377">
        <f t="shared" si="321"/>
        <v>0</v>
      </c>
      <c r="AD817" s="376"/>
      <c r="AE817" s="332">
        <v>802</v>
      </c>
      <c r="AF817" s="350">
        <v>3829992.4007688044</v>
      </c>
      <c r="AG817" s="350">
        <v>7690062.3927908586</v>
      </c>
      <c r="AH817" s="350">
        <v>11579345.600887932</v>
      </c>
      <c r="AI817" s="350">
        <v>15497970.982600089</v>
      </c>
      <c r="AJ817" s="350">
        <v>19446503.658814002</v>
      </c>
      <c r="AK817" s="348">
        <v>58043875.035861686</v>
      </c>
      <c r="AL817" s="369"/>
      <c r="AM817" s="350">
        <v>4473718.4355083462</v>
      </c>
      <c r="AN817" s="350">
        <v>9589589.7975438498</v>
      </c>
      <c r="AO817" s="350">
        <v>14562304.165426325</v>
      </c>
      <c r="AP817" s="350">
        <v>19388807.150783554</v>
      </c>
      <c r="AQ817" s="350">
        <v>24067434.264702734</v>
      </c>
      <c r="AR817" s="348">
        <v>72081853.813964814</v>
      </c>
      <c r="AS817" s="369"/>
      <c r="AT817" s="350">
        <f t="shared" si="339"/>
        <v>643726.03473954182</v>
      </c>
      <c r="AU817" s="350">
        <f t="shared" si="322"/>
        <v>1899527.4047529912</v>
      </c>
      <c r="AV817" s="350">
        <f t="shared" si="323"/>
        <v>2982958.5645383932</v>
      </c>
      <c r="AW817" s="350">
        <f t="shared" si="324"/>
        <v>3890836.1681834646</v>
      </c>
      <c r="AX817" s="350">
        <f t="shared" si="325"/>
        <v>4620930.6058887318</v>
      </c>
      <c r="AY817" s="350">
        <f t="shared" si="326"/>
        <v>14037978.778103128</v>
      </c>
      <c r="AZ817" s="365"/>
      <c r="BA817" s="377">
        <f t="shared" si="327"/>
        <v>0</v>
      </c>
      <c r="BB817" s="377">
        <f t="shared" si="328"/>
        <v>0</v>
      </c>
      <c r="BC817" s="377">
        <f t="shared" si="329"/>
        <v>0</v>
      </c>
      <c r="BD817" s="377">
        <f t="shared" si="330"/>
        <v>0</v>
      </c>
      <c r="BE817" s="377">
        <f t="shared" si="331"/>
        <v>0</v>
      </c>
      <c r="BF817" s="377">
        <f t="shared" si="332"/>
        <v>0</v>
      </c>
      <c r="BG817" s="328"/>
    </row>
    <row r="818" spans="2:59">
      <c r="B818" s="332">
        <v>803</v>
      </c>
      <c r="C818" s="350">
        <v>5302258.682364637</v>
      </c>
      <c r="D818" s="350">
        <v>10052153.33900732</v>
      </c>
      <c r="E818" s="350">
        <v>14837826.090593359</v>
      </c>
      <c r="F818" s="350">
        <v>19659589.52473649</v>
      </c>
      <c r="G818" s="350">
        <v>24518205.996967003</v>
      </c>
      <c r="H818" s="348">
        <v>74370033.63366881</v>
      </c>
      <c r="I818" s="369"/>
      <c r="J818" s="350">
        <v>6176174.4454715494</v>
      </c>
      <c r="K818" s="350">
        <v>12632233.958797079</v>
      </c>
      <c r="L818" s="350">
        <v>18938274.2781929</v>
      </c>
      <c r="M818" s="350">
        <v>25089796.178640954</v>
      </c>
      <c r="N818" s="350">
        <v>31083994.135978345</v>
      </c>
      <c r="O818" s="348">
        <v>93920472.997080833</v>
      </c>
      <c r="P818" s="369"/>
      <c r="Q818" s="350">
        <f t="shared" si="333"/>
        <v>873915.76310691237</v>
      </c>
      <c r="R818" s="350">
        <f t="shared" si="334"/>
        <v>2580080.6197897587</v>
      </c>
      <c r="S818" s="350">
        <f t="shared" si="335"/>
        <v>4100448.1875995416</v>
      </c>
      <c r="T818" s="350">
        <f t="shared" si="336"/>
        <v>5430206.6539044641</v>
      </c>
      <c r="U818" s="350">
        <f t="shared" si="337"/>
        <v>6565788.1390113421</v>
      </c>
      <c r="V818" s="350">
        <f t="shared" si="338"/>
        <v>19550439.363412023</v>
      </c>
      <c r="W818" s="365"/>
      <c r="X818" s="377">
        <f t="shared" si="316"/>
        <v>0</v>
      </c>
      <c r="Y818" s="377">
        <f t="shared" si="317"/>
        <v>0</v>
      </c>
      <c r="Z818" s="377">
        <f t="shared" si="318"/>
        <v>0</v>
      </c>
      <c r="AA818" s="377">
        <f t="shared" si="319"/>
        <v>0</v>
      </c>
      <c r="AB818" s="377">
        <f t="shared" si="320"/>
        <v>0</v>
      </c>
      <c r="AC818" s="377">
        <f t="shared" si="321"/>
        <v>0</v>
      </c>
      <c r="AD818" s="376"/>
      <c r="AE818" s="332">
        <v>803</v>
      </c>
      <c r="AF818" s="350">
        <v>5497997.1316882437</v>
      </c>
      <c r="AG818" s="350">
        <v>11039170.983624093</v>
      </c>
      <c r="AH818" s="350">
        <v>16622280.735525597</v>
      </c>
      <c r="AI818" s="350">
        <v>22247511.5073907</v>
      </c>
      <c r="AJ818" s="350">
        <v>27915674.536602892</v>
      </c>
      <c r="AK818" s="348">
        <v>83322634.894831538</v>
      </c>
      <c r="AL818" s="369"/>
      <c r="AM818" s="350">
        <v>6580723.3634799905</v>
      </c>
      <c r="AN818" s="350">
        <v>14236474.046462523</v>
      </c>
      <c r="AO818" s="350">
        <v>21691472.881350692</v>
      </c>
      <c r="AP818" s="350">
        <v>28941290.387129147</v>
      </c>
      <c r="AQ818" s="350">
        <v>35983697.846794106</v>
      </c>
      <c r="AR818" s="348">
        <v>107433658.52521646</v>
      </c>
      <c r="AS818" s="369"/>
      <c r="AT818" s="350">
        <f t="shared" si="339"/>
        <v>1082726.2317917468</v>
      </c>
      <c r="AU818" s="350">
        <f t="shared" si="322"/>
        <v>3197303.0628384296</v>
      </c>
      <c r="AV818" s="350">
        <f t="shared" si="323"/>
        <v>5069192.1458250955</v>
      </c>
      <c r="AW818" s="350">
        <f t="shared" si="324"/>
        <v>6693778.8797384463</v>
      </c>
      <c r="AX818" s="350">
        <f t="shared" si="325"/>
        <v>8068023.3101912141</v>
      </c>
      <c r="AY818" s="350">
        <f t="shared" si="326"/>
        <v>24111023.630384922</v>
      </c>
      <c r="AZ818" s="365"/>
      <c r="BA818" s="377">
        <f t="shared" si="327"/>
        <v>0</v>
      </c>
      <c r="BB818" s="377">
        <f t="shared" si="328"/>
        <v>0</v>
      </c>
      <c r="BC818" s="377">
        <f t="shared" si="329"/>
        <v>0</v>
      </c>
      <c r="BD818" s="377">
        <f t="shared" si="330"/>
        <v>0</v>
      </c>
      <c r="BE818" s="377">
        <f t="shared" si="331"/>
        <v>0</v>
      </c>
      <c r="BF818" s="377">
        <f t="shared" si="332"/>
        <v>0</v>
      </c>
      <c r="BG818" s="328"/>
    </row>
    <row r="819" spans="2:59">
      <c r="B819" s="332">
        <v>804</v>
      </c>
      <c r="C819" s="350">
        <v>9564786.9696946088</v>
      </c>
      <c r="D819" s="350">
        <v>17999200.236439899</v>
      </c>
      <c r="E819" s="350">
        <v>26497101.886176527</v>
      </c>
      <c r="F819" s="350">
        <v>35059086.031044148</v>
      </c>
      <c r="G819" s="350">
        <v>43686523.379813179</v>
      </c>
      <c r="H819" s="348">
        <v>132806698.50316836</v>
      </c>
      <c r="I819" s="369"/>
      <c r="J819" s="350">
        <v>10873122.293281063</v>
      </c>
      <c r="K819" s="350">
        <v>21858546.083976183</v>
      </c>
      <c r="L819" s="350">
        <v>32565310.301320396</v>
      </c>
      <c r="M819" s="350">
        <v>42985710.771824427</v>
      </c>
      <c r="N819" s="350">
        <v>53114720.639399536</v>
      </c>
      <c r="O819" s="348">
        <v>161397410.08980161</v>
      </c>
      <c r="P819" s="369"/>
      <c r="Q819" s="350">
        <f t="shared" si="333"/>
        <v>1308335.3235864546</v>
      </c>
      <c r="R819" s="350">
        <f t="shared" si="334"/>
        <v>3859345.8475362845</v>
      </c>
      <c r="S819" s="350">
        <f t="shared" si="335"/>
        <v>6068208.4151438698</v>
      </c>
      <c r="T819" s="350">
        <f t="shared" si="336"/>
        <v>7926624.740780279</v>
      </c>
      <c r="U819" s="350">
        <f t="shared" si="337"/>
        <v>9428197.2595863566</v>
      </c>
      <c r="V819" s="350">
        <f t="shared" si="338"/>
        <v>28590711.58663325</v>
      </c>
      <c r="W819" s="365"/>
      <c r="X819" s="377">
        <f t="shared" si="316"/>
        <v>0</v>
      </c>
      <c r="Y819" s="377">
        <f t="shared" si="317"/>
        <v>0</v>
      </c>
      <c r="Z819" s="377">
        <f t="shared" si="318"/>
        <v>0</v>
      </c>
      <c r="AA819" s="377">
        <f t="shared" si="319"/>
        <v>0</v>
      </c>
      <c r="AB819" s="377">
        <f t="shared" si="320"/>
        <v>0</v>
      </c>
      <c r="AC819" s="377">
        <f t="shared" si="321"/>
        <v>0</v>
      </c>
      <c r="AD819" s="376"/>
      <c r="AE819" s="332">
        <v>804</v>
      </c>
      <c r="AF819" s="350">
        <v>5912826.7656701002</v>
      </c>
      <c r="AG819" s="350">
        <v>11872087.980289344</v>
      </c>
      <c r="AH819" s="350">
        <v>17876449.202387713</v>
      </c>
      <c r="AI819" s="350">
        <v>23926109.519460626</v>
      </c>
      <c r="AJ819" s="350">
        <v>30021941.377600633</v>
      </c>
      <c r="AK819" s="348">
        <v>89609414.84540841</v>
      </c>
      <c r="AL819" s="369"/>
      <c r="AM819" s="350">
        <v>7216555.1478759162</v>
      </c>
      <c r="AN819" s="350">
        <v>15723781.448814049</v>
      </c>
      <c r="AO819" s="350">
        <v>24019281.322935961</v>
      </c>
      <c r="AP819" s="350">
        <v>32098251.6784066</v>
      </c>
      <c r="AQ819" s="350">
        <v>39958436.7268795</v>
      </c>
      <c r="AR819" s="348">
        <v>119016306.32491201</v>
      </c>
      <c r="AS819" s="369"/>
      <c r="AT819" s="350">
        <f t="shared" si="339"/>
        <v>1303728.382205816</v>
      </c>
      <c r="AU819" s="350">
        <f t="shared" si="322"/>
        <v>3851693.4685247056</v>
      </c>
      <c r="AV819" s="350">
        <f t="shared" si="323"/>
        <v>6142832.1205482483</v>
      </c>
      <c r="AW819" s="350">
        <f t="shared" si="324"/>
        <v>8172142.158945974</v>
      </c>
      <c r="AX819" s="350">
        <f t="shared" si="325"/>
        <v>9936495.3492788672</v>
      </c>
      <c r="AY819" s="350">
        <f t="shared" si="326"/>
        <v>29406891.479503602</v>
      </c>
      <c r="AZ819" s="365"/>
      <c r="BA819" s="377">
        <f t="shared" si="327"/>
        <v>0</v>
      </c>
      <c r="BB819" s="377">
        <f t="shared" si="328"/>
        <v>0</v>
      </c>
      <c r="BC819" s="377">
        <f t="shared" si="329"/>
        <v>0</v>
      </c>
      <c r="BD819" s="377">
        <f t="shared" si="330"/>
        <v>0</v>
      </c>
      <c r="BE819" s="377">
        <f t="shared" si="331"/>
        <v>0</v>
      </c>
      <c r="BF819" s="377">
        <f t="shared" si="332"/>
        <v>0</v>
      </c>
      <c r="BG819" s="328"/>
    </row>
    <row r="820" spans="2:59">
      <c r="B820" s="332">
        <v>805</v>
      </c>
      <c r="C820" s="350">
        <v>5819102.9404918309</v>
      </c>
      <c r="D820" s="350">
        <v>10918709.878227511</v>
      </c>
      <c r="E820" s="350">
        <v>16056692.742367035</v>
      </c>
      <c r="F820" s="350">
        <v>21233420.158254273</v>
      </c>
      <c r="G820" s="350">
        <v>26449724.978461564</v>
      </c>
      <c r="H820" s="348">
        <v>80477650.697802216</v>
      </c>
      <c r="I820" s="369"/>
      <c r="J820" s="350">
        <v>6809741.9619547911</v>
      </c>
      <c r="K820" s="350">
        <v>13844089.977554468</v>
      </c>
      <c r="L820" s="350">
        <v>20717514.685550831</v>
      </c>
      <c r="M820" s="350">
        <v>27425254.166275427</v>
      </c>
      <c r="N820" s="350">
        <v>33964416.179597735</v>
      </c>
      <c r="O820" s="348">
        <v>102761016.97093326</v>
      </c>
      <c r="P820" s="369"/>
      <c r="Q820" s="350">
        <f t="shared" si="333"/>
        <v>990639.02146296017</v>
      </c>
      <c r="R820" s="350">
        <f t="shared" si="334"/>
        <v>2925380.099326957</v>
      </c>
      <c r="S820" s="350">
        <f t="shared" si="335"/>
        <v>4660821.9431837965</v>
      </c>
      <c r="T820" s="350">
        <f t="shared" si="336"/>
        <v>6191834.0080211535</v>
      </c>
      <c r="U820" s="350">
        <f t="shared" si="337"/>
        <v>7514691.2011361718</v>
      </c>
      <c r="V820" s="350">
        <f t="shared" si="338"/>
        <v>22283366.273131043</v>
      </c>
      <c r="W820" s="365"/>
      <c r="X820" s="377">
        <f t="shared" si="316"/>
        <v>0</v>
      </c>
      <c r="Y820" s="377">
        <f t="shared" si="317"/>
        <v>0</v>
      </c>
      <c r="Z820" s="377">
        <f t="shared" si="318"/>
        <v>0</v>
      </c>
      <c r="AA820" s="377">
        <f t="shared" si="319"/>
        <v>0</v>
      </c>
      <c r="AB820" s="377">
        <f t="shared" si="320"/>
        <v>0</v>
      </c>
      <c r="AC820" s="377">
        <f t="shared" si="321"/>
        <v>0</v>
      </c>
      <c r="AD820" s="376"/>
      <c r="AE820" s="332">
        <v>805</v>
      </c>
      <c r="AF820" s="350">
        <v>5190798.3906333009</v>
      </c>
      <c r="AG820" s="350">
        <v>10422361.016788363</v>
      </c>
      <c r="AH820" s="350">
        <v>15693516.388599264</v>
      </c>
      <c r="AI820" s="350">
        <v>21004439.282546312</v>
      </c>
      <c r="AJ820" s="350">
        <v>26355895.60839697</v>
      </c>
      <c r="AK820" s="348">
        <v>78667010.686964214</v>
      </c>
      <c r="AL820" s="369"/>
      <c r="AM820" s="350">
        <v>6249373.4190916829</v>
      </c>
      <c r="AN820" s="350">
        <v>13548806.699511051</v>
      </c>
      <c r="AO820" s="350">
        <v>20659793.640845682</v>
      </c>
      <c r="AP820" s="350">
        <v>27578141.977913212</v>
      </c>
      <c r="AQ820" s="350">
        <v>34301784.33225809</v>
      </c>
      <c r="AR820" s="348">
        <v>102337900.06961972</v>
      </c>
      <c r="AS820" s="369"/>
      <c r="AT820" s="350">
        <f t="shared" si="339"/>
        <v>1058575.028458382</v>
      </c>
      <c r="AU820" s="350">
        <f t="shared" si="322"/>
        <v>3126445.6827226877</v>
      </c>
      <c r="AV820" s="350">
        <f t="shared" si="323"/>
        <v>4966277.252246419</v>
      </c>
      <c r="AW820" s="350">
        <f t="shared" si="324"/>
        <v>6573702.6953669004</v>
      </c>
      <c r="AX820" s="350">
        <f t="shared" si="325"/>
        <v>7945888.7238611206</v>
      </c>
      <c r="AY820" s="350">
        <f t="shared" si="326"/>
        <v>23670889.382655501</v>
      </c>
      <c r="AZ820" s="365"/>
      <c r="BA820" s="377">
        <f t="shared" si="327"/>
        <v>0</v>
      </c>
      <c r="BB820" s="377">
        <f t="shared" si="328"/>
        <v>0</v>
      </c>
      <c r="BC820" s="377">
        <f t="shared" si="329"/>
        <v>0</v>
      </c>
      <c r="BD820" s="377">
        <f t="shared" si="330"/>
        <v>0</v>
      </c>
      <c r="BE820" s="377">
        <f t="shared" si="331"/>
        <v>0</v>
      </c>
      <c r="BF820" s="377">
        <f t="shared" si="332"/>
        <v>0</v>
      </c>
      <c r="BG820" s="328"/>
    </row>
    <row r="821" spans="2:59">
      <c r="B821" s="332">
        <v>806</v>
      </c>
      <c r="C821" s="350">
        <v>6906710.8591656489</v>
      </c>
      <c r="D821" s="350">
        <v>13023297.517331116</v>
      </c>
      <c r="E821" s="350">
        <v>19185934.086096603</v>
      </c>
      <c r="F821" s="350">
        <v>25395043.678454787</v>
      </c>
      <c r="G821" s="350">
        <v>31651616.959422719</v>
      </c>
      <c r="H821" s="348">
        <v>96162603.100470871</v>
      </c>
      <c r="I821" s="369"/>
      <c r="J821" s="350">
        <v>8035606.2553759422</v>
      </c>
      <c r="K821" s="350">
        <v>16356199.246737406</v>
      </c>
      <c r="L821" s="350">
        <v>24480807.321056623</v>
      </c>
      <c r="M821" s="350">
        <v>32403764.267237466</v>
      </c>
      <c r="N821" s="350">
        <v>40121582.198070019</v>
      </c>
      <c r="O821" s="348">
        <v>121397959.28847747</v>
      </c>
      <c r="P821" s="369"/>
      <c r="Q821" s="350">
        <f t="shared" si="333"/>
        <v>1128895.3962102933</v>
      </c>
      <c r="R821" s="350">
        <f t="shared" si="334"/>
        <v>3332901.7294062898</v>
      </c>
      <c r="S821" s="350">
        <f t="shared" si="335"/>
        <v>5294873.2349600196</v>
      </c>
      <c r="T821" s="350">
        <f t="shared" si="336"/>
        <v>7008720.5887826793</v>
      </c>
      <c r="U821" s="350">
        <f t="shared" si="337"/>
        <v>8469965.2386473008</v>
      </c>
      <c r="V821" s="350">
        <f t="shared" si="338"/>
        <v>25235356.188006595</v>
      </c>
      <c r="W821" s="365"/>
      <c r="X821" s="377">
        <f t="shared" si="316"/>
        <v>0</v>
      </c>
      <c r="Y821" s="377">
        <f t="shared" si="317"/>
        <v>0</v>
      </c>
      <c r="Z821" s="377">
        <f t="shared" si="318"/>
        <v>0</v>
      </c>
      <c r="AA821" s="377">
        <f t="shared" si="319"/>
        <v>0</v>
      </c>
      <c r="AB821" s="377">
        <f t="shared" si="320"/>
        <v>0</v>
      </c>
      <c r="AC821" s="377">
        <f t="shared" si="321"/>
        <v>0</v>
      </c>
      <c r="AD821" s="376"/>
      <c r="AE821" s="332">
        <v>806</v>
      </c>
      <c r="AF821" s="350">
        <v>4980561.735084448</v>
      </c>
      <c r="AG821" s="350">
        <v>10000236.680954739</v>
      </c>
      <c r="AH821" s="350">
        <v>15057900.795188077</v>
      </c>
      <c r="AI821" s="350">
        <v>20153721.775503483</v>
      </c>
      <c r="AJ821" s="350">
        <v>25288434.510947555</v>
      </c>
      <c r="AK821" s="348">
        <v>75480855.49767831</v>
      </c>
      <c r="AL821" s="369"/>
      <c r="AM821" s="350">
        <v>6013099.297768699</v>
      </c>
      <c r="AN821" s="350">
        <v>13049988.477858752</v>
      </c>
      <c r="AO821" s="350">
        <v>19906567.999160446</v>
      </c>
      <c r="AP821" s="350">
        <v>26578810.628709041</v>
      </c>
      <c r="AQ821" s="350">
        <v>33064749.772242688</v>
      </c>
      <c r="AR821" s="348">
        <v>98613216.175739616</v>
      </c>
      <c r="AS821" s="369"/>
      <c r="AT821" s="350">
        <f t="shared" si="339"/>
        <v>1032537.562684251</v>
      </c>
      <c r="AU821" s="350">
        <f t="shared" si="322"/>
        <v>3049751.7969040126</v>
      </c>
      <c r="AV821" s="350">
        <f t="shared" si="323"/>
        <v>4848667.2039723694</v>
      </c>
      <c r="AW821" s="350">
        <f t="shared" si="324"/>
        <v>6425088.8532055579</v>
      </c>
      <c r="AX821" s="350">
        <f t="shared" si="325"/>
        <v>7776315.2612951323</v>
      </c>
      <c r="AY821" s="350">
        <f t="shared" si="326"/>
        <v>23132360.678061306</v>
      </c>
      <c r="AZ821" s="365"/>
      <c r="BA821" s="377">
        <f t="shared" si="327"/>
        <v>0</v>
      </c>
      <c r="BB821" s="377">
        <f t="shared" si="328"/>
        <v>0</v>
      </c>
      <c r="BC821" s="377">
        <f t="shared" si="329"/>
        <v>0</v>
      </c>
      <c r="BD821" s="377">
        <f t="shared" si="330"/>
        <v>0</v>
      </c>
      <c r="BE821" s="377">
        <f t="shared" si="331"/>
        <v>0</v>
      </c>
      <c r="BF821" s="377">
        <f t="shared" si="332"/>
        <v>0</v>
      </c>
      <c r="BG821" s="328"/>
    </row>
    <row r="822" spans="2:59">
      <c r="B822" s="332">
        <v>807</v>
      </c>
      <c r="C822" s="350">
        <v>7721183.7347488739</v>
      </c>
      <c r="D822" s="350">
        <v>14194513.930366695</v>
      </c>
      <c r="E822" s="350">
        <v>20716461.559693094</v>
      </c>
      <c r="F822" s="350">
        <v>27287581.905959439</v>
      </c>
      <c r="G822" s="350">
        <v>33908970.183514625</v>
      </c>
      <c r="H822" s="348">
        <v>103828711.31428273</v>
      </c>
      <c r="I822" s="369"/>
      <c r="J822" s="350">
        <v>8856977.8602150511</v>
      </c>
      <c r="K822" s="350">
        <v>17547015.787631948</v>
      </c>
      <c r="L822" s="350">
        <v>26028287.40678649</v>
      </c>
      <c r="M822" s="350">
        <v>34294918.210228518</v>
      </c>
      <c r="N822" s="350">
        <v>42343201.470782503</v>
      </c>
      <c r="O822" s="348">
        <v>129070400.7356445</v>
      </c>
      <c r="P822" s="369"/>
      <c r="Q822" s="350">
        <f t="shared" si="333"/>
        <v>1135794.1254661772</v>
      </c>
      <c r="R822" s="350">
        <f t="shared" si="334"/>
        <v>3352501.8572652526</v>
      </c>
      <c r="S822" s="350">
        <f t="shared" si="335"/>
        <v>5311825.8470933959</v>
      </c>
      <c r="T822" s="350">
        <f t="shared" si="336"/>
        <v>7007336.3042690791</v>
      </c>
      <c r="U822" s="350">
        <f t="shared" si="337"/>
        <v>8434231.2872678787</v>
      </c>
      <c r="V822" s="350">
        <f t="shared" si="338"/>
        <v>25241689.421361774</v>
      </c>
      <c r="W822" s="365"/>
      <c r="X822" s="377">
        <f t="shared" si="316"/>
        <v>0</v>
      </c>
      <c r="Y822" s="377">
        <f t="shared" si="317"/>
        <v>0</v>
      </c>
      <c r="Z822" s="377">
        <f t="shared" si="318"/>
        <v>0</v>
      </c>
      <c r="AA822" s="377">
        <f t="shared" si="319"/>
        <v>0</v>
      </c>
      <c r="AB822" s="377">
        <f t="shared" si="320"/>
        <v>0</v>
      </c>
      <c r="AC822" s="377">
        <f t="shared" si="321"/>
        <v>0</v>
      </c>
      <c r="AD822" s="376"/>
      <c r="AE822" s="332">
        <v>807</v>
      </c>
      <c r="AF822" s="350">
        <v>6332983.1615012698</v>
      </c>
      <c r="AG822" s="350">
        <v>12715700.332633244</v>
      </c>
      <c r="AH822" s="350">
        <v>19146722.248562951</v>
      </c>
      <c r="AI822" s="350">
        <v>25626262.143637698</v>
      </c>
      <c r="AJ822" s="350">
        <v>32155254.458630472</v>
      </c>
      <c r="AK822" s="348">
        <v>95976922.344965637</v>
      </c>
      <c r="AL822" s="369"/>
      <c r="AM822" s="350">
        <v>7573313.6042106077</v>
      </c>
      <c r="AN822" s="350">
        <v>16378323.738735247</v>
      </c>
      <c r="AO822" s="350">
        <v>24951889.077884167</v>
      </c>
      <c r="AP822" s="350">
        <v>33288909.363070235</v>
      </c>
      <c r="AQ822" s="350">
        <v>41386810.482286632</v>
      </c>
      <c r="AR822" s="348">
        <v>123579246.26618689</v>
      </c>
      <c r="AS822" s="369"/>
      <c r="AT822" s="350">
        <f t="shared" si="339"/>
        <v>1240330.4427093379</v>
      </c>
      <c r="AU822" s="350">
        <f t="shared" si="322"/>
        <v>3662623.4061020035</v>
      </c>
      <c r="AV822" s="350">
        <f t="shared" si="323"/>
        <v>5805166.8293212168</v>
      </c>
      <c r="AW822" s="350">
        <f t="shared" si="324"/>
        <v>7662647.2194325365</v>
      </c>
      <c r="AX822" s="350">
        <f t="shared" si="325"/>
        <v>9231556.0236561596</v>
      </c>
      <c r="AY822" s="350">
        <f t="shared" si="326"/>
        <v>27602323.921221256</v>
      </c>
      <c r="AZ822" s="365"/>
      <c r="BA822" s="377">
        <f t="shared" si="327"/>
        <v>0</v>
      </c>
      <c r="BB822" s="377">
        <f t="shared" si="328"/>
        <v>0</v>
      </c>
      <c r="BC822" s="377">
        <f t="shared" si="329"/>
        <v>0</v>
      </c>
      <c r="BD822" s="377">
        <f t="shared" si="330"/>
        <v>0</v>
      </c>
      <c r="BE822" s="377">
        <f t="shared" si="331"/>
        <v>0</v>
      </c>
      <c r="BF822" s="377">
        <f t="shared" si="332"/>
        <v>0</v>
      </c>
      <c r="BG822" s="328"/>
    </row>
    <row r="823" spans="2:59">
      <c r="B823" s="332">
        <v>808</v>
      </c>
      <c r="C823" s="350">
        <v>5742459.8473041523</v>
      </c>
      <c r="D823" s="350">
        <v>10680909.743949048</v>
      </c>
      <c r="E823" s="350">
        <v>15656491.996964436</v>
      </c>
      <c r="F823" s="350">
        <v>20669591.588853016</v>
      </c>
      <c r="G823" s="350">
        <v>25721027.238032401</v>
      </c>
      <c r="H823" s="348">
        <v>78470480.415103048</v>
      </c>
      <c r="I823" s="369"/>
      <c r="J823" s="350">
        <v>6534765.0326115321</v>
      </c>
      <c r="K823" s="350">
        <v>13018484.236435482</v>
      </c>
      <c r="L823" s="350">
        <v>19339995.533451926</v>
      </c>
      <c r="M823" s="350">
        <v>25494813.977386773</v>
      </c>
      <c r="N823" s="350">
        <v>31480035.030283362</v>
      </c>
      <c r="O823" s="348">
        <v>95868093.810169071</v>
      </c>
      <c r="P823" s="369"/>
      <c r="Q823" s="350">
        <f t="shared" si="333"/>
        <v>792305.18530737981</v>
      </c>
      <c r="R823" s="350">
        <f t="shared" si="334"/>
        <v>2337574.4924864341</v>
      </c>
      <c r="S823" s="350">
        <f t="shared" si="335"/>
        <v>3683503.5364874899</v>
      </c>
      <c r="T823" s="350">
        <f t="shared" si="336"/>
        <v>4825222.3885337561</v>
      </c>
      <c r="U823" s="350">
        <f t="shared" si="337"/>
        <v>5759007.7922509611</v>
      </c>
      <c r="V823" s="350">
        <f t="shared" si="338"/>
        <v>17397613.395066023</v>
      </c>
      <c r="W823" s="365"/>
      <c r="X823" s="377">
        <f t="shared" si="316"/>
        <v>0</v>
      </c>
      <c r="Y823" s="377">
        <f t="shared" si="317"/>
        <v>0</v>
      </c>
      <c r="Z823" s="377">
        <f t="shared" si="318"/>
        <v>0</v>
      </c>
      <c r="AA823" s="377">
        <f t="shared" si="319"/>
        <v>0</v>
      </c>
      <c r="AB823" s="377">
        <f t="shared" si="320"/>
        <v>0</v>
      </c>
      <c r="AC823" s="377">
        <f t="shared" si="321"/>
        <v>0</v>
      </c>
      <c r="AD823" s="376"/>
      <c r="AE823" s="332">
        <v>808</v>
      </c>
      <c r="AF823" s="350">
        <v>4218461.168395333</v>
      </c>
      <c r="AG823" s="350">
        <v>8470050.6403129473</v>
      </c>
      <c r="AH823" s="350">
        <v>12753816.368661691</v>
      </c>
      <c r="AI823" s="350">
        <v>17069900.390897047</v>
      </c>
      <c r="AJ823" s="350">
        <v>21418925.147031013</v>
      </c>
      <c r="AK823" s="348">
        <v>63931153.715298027</v>
      </c>
      <c r="AL823" s="369"/>
      <c r="AM823" s="350">
        <v>5430162.3004632145</v>
      </c>
      <c r="AN823" s="350">
        <v>12053054.223171545</v>
      </c>
      <c r="AO823" s="350">
        <v>18533324.533440217</v>
      </c>
      <c r="AP823" s="350">
        <v>24867466.864699058</v>
      </c>
      <c r="AQ823" s="350">
        <v>31054157.002363101</v>
      </c>
      <c r="AR823" s="348">
        <v>91938164.924137145</v>
      </c>
      <c r="AS823" s="369"/>
      <c r="AT823" s="350">
        <f t="shared" si="339"/>
        <v>1211701.1320678815</v>
      </c>
      <c r="AU823" s="350">
        <f t="shared" si="322"/>
        <v>3583003.5828585979</v>
      </c>
      <c r="AV823" s="350">
        <f t="shared" si="323"/>
        <v>5779508.1647785269</v>
      </c>
      <c r="AW823" s="350">
        <f t="shared" si="324"/>
        <v>7797566.4738020115</v>
      </c>
      <c r="AX823" s="350">
        <f t="shared" si="325"/>
        <v>9635231.8553320877</v>
      </c>
      <c r="AY823" s="350">
        <f t="shared" si="326"/>
        <v>28007011.208839118</v>
      </c>
      <c r="AZ823" s="365"/>
      <c r="BA823" s="377">
        <f t="shared" si="327"/>
        <v>0</v>
      </c>
      <c r="BB823" s="377">
        <f t="shared" si="328"/>
        <v>0</v>
      </c>
      <c r="BC823" s="377">
        <f t="shared" si="329"/>
        <v>0</v>
      </c>
      <c r="BD823" s="377">
        <f t="shared" si="330"/>
        <v>0</v>
      </c>
      <c r="BE823" s="377">
        <f t="shared" si="331"/>
        <v>0</v>
      </c>
      <c r="BF823" s="377">
        <f t="shared" si="332"/>
        <v>0</v>
      </c>
      <c r="BG823" s="328"/>
    </row>
    <row r="824" spans="2:59">
      <c r="B824" s="332">
        <v>809</v>
      </c>
      <c r="C824" s="350">
        <v>7066151.8712722827</v>
      </c>
      <c r="D824" s="350">
        <v>13151287.052813413</v>
      </c>
      <c r="E824" s="350">
        <v>19282179.334400132</v>
      </c>
      <c r="F824" s="350">
        <v>25459300.561797846</v>
      </c>
      <c r="G824" s="350">
        <v>31683658.456180245</v>
      </c>
      <c r="H824" s="348">
        <v>96642577.276463911</v>
      </c>
      <c r="I824" s="369"/>
      <c r="J824" s="350">
        <v>8327713.3224254968</v>
      </c>
      <c r="K824" s="350">
        <v>16877723.442079935</v>
      </c>
      <c r="L824" s="350">
        <v>25239936.202520393</v>
      </c>
      <c r="M824" s="350">
        <v>33408611.747883007</v>
      </c>
      <c r="N824" s="350">
        <v>41380323.34749011</v>
      </c>
      <c r="O824" s="348">
        <v>125234308.06239894</v>
      </c>
      <c r="P824" s="369"/>
      <c r="Q824" s="350">
        <f t="shared" si="333"/>
        <v>1261561.4511532141</v>
      </c>
      <c r="R824" s="350">
        <f t="shared" si="334"/>
        <v>3726436.3892665226</v>
      </c>
      <c r="S824" s="350">
        <f t="shared" si="335"/>
        <v>5957756.8681202605</v>
      </c>
      <c r="T824" s="350">
        <f t="shared" si="336"/>
        <v>7949311.1860851608</v>
      </c>
      <c r="U824" s="350">
        <f t="shared" si="337"/>
        <v>9696664.8913098648</v>
      </c>
      <c r="V824" s="350">
        <f t="shared" si="338"/>
        <v>28591730.785935029</v>
      </c>
      <c r="W824" s="365"/>
      <c r="X824" s="377">
        <f t="shared" si="316"/>
        <v>0</v>
      </c>
      <c r="Y824" s="377">
        <f t="shared" si="317"/>
        <v>0</v>
      </c>
      <c r="Z824" s="377">
        <f t="shared" si="318"/>
        <v>0</v>
      </c>
      <c r="AA824" s="377">
        <f t="shared" si="319"/>
        <v>0</v>
      </c>
      <c r="AB824" s="377">
        <f t="shared" si="320"/>
        <v>0</v>
      </c>
      <c r="AC824" s="377">
        <f t="shared" si="321"/>
        <v>0</v>
      </c>
      <c r="AD824" s="376"/>
      <c r="AE824" s="332">
        <v>809</v>
      </c>
      <c r="AF824" s="350">
        <v>8351581.9411227703</v>
      </c>
      <c r="AG824" s="350">
        <v>16768750.296435993</v>
      </c>
      <c r="AH824" s="350">
        <v>25249620.231879056</v>
      </c>
      <c r="AI824" s="350">
        <v>33794472.948914021</v>
      </c>
      <c r="AJ824" s="350">
        <v>42404540.735466763</v>
      </c>
      <c r="AK824" s="348">
        <v>126568966.15381861</v>
      </c>
      <c r="AL824" s="369"/>
      <c r="AM824" s="350">
        <v>9653660.1442565229</v>
      </c>
      <c r="AN824" s="350">
        <v>20609452.93047744</v>
      </c>
      <c r="AO824" s="350">
        <v>31250037.920550346</v>
      </c>
      <c r="AP824" s="350">
        <v>41568783.534758985</v>
      </c>
      <c r="AQ824" s="350">
        <v>51561957.320588991</v>
      </c>
      <c r="AR824" s="348">
        <v>154643891.85063231</v>
      </c>
      <c r="AS824" s="369"/>
      <c r="AT824" s="350">
        <f t="shared" si="339"/>
        <v>1302078.2031337526</v>
      </c>
      <c r="AU824" s="350">
        <f t="shared" si="322"/>
        <v>3840702.6340414472</v>
      </c>
      <c r="AV824" s="350">
        <f t="shared" si="323"/>
        <v>6000417.6886712909</v>
      </c>
      <c r="AW824" s="350">
        <f t="shared" si="324"/>
        <v>7774310.5858449638</v>
      </c>
      <c r="AX824" s="350">
        <f t="shared" si="325"/>
        <v>9157416.5851222277</v>
      </c>
      <c r="AY824" s="350">
        <f t="shared" si="326"/>
        <v>28074925.696813703</v>
      </c>
      <c r="AZ824" s="365"/>
      <c r="BA824" s="377">
        <f t="shared" si="327"/>
        <v>0</v>
      </c>
      <c r="BB824" s="377">
        <f t="shared" si="328"/>
        <v>0</v>
      </c>
      <c r="BC824" s="377">
        <f t="shared" si="329"/>
        <v>0</v>
      </c>
      <c r="BD824" s="377">
        <f t="shared" si="330"/>
        <v>0</v>
      </c>
      <c r="BE824" s="377">
        <f t="shared" si="331"/>
        <v>0</v>
      </c>
      <c r="BF824" s="377">
        <f t="shared" si="332"/>
        <v>0</v>
      </c>
      <c r="BG824" s="328"/>
    </row>
    <row r="825" spans="2:59">
      <c r="B825" s="332">
        <v>810</v>
      </c>
      <c r="C825" s="350">
        <v>8519337.9876430966</v>
      </c>
      <c r="D825" s="350">
        <v>16166979.141141498</v>
      </c>
      <c r="E825" s="350">
        <v>23872230.438784674</v>
      </c>
      <c r="F825" s="350">
        <v>31635590.559365567</v>
      </c>
      <c r="G825" s="350">
        <v>39458284.940355942</v>
      </c>
      <c r="H825" s="348">
        <v>119652423.06729078</v>
      </c>
      <c r="I825" s="369"/>
      <c r="J825" s="350">
        <v>9710798.2738056798</v>
      </c>
      <c r="K825" s="350">
        <v>19681631.619328469</v>
      </c>
      <c r="L825" s="350">
        <v>29396067.720385641</v>
      </c>
      <c r="M825" s="350">
        <v>38847221.270342603</v>
      </c>
      <c r="N825" s="350">
        <v>48030669.675264604</v>
      </c>
      <c r="O825" s="348">
        <v>145666388.559127</v>
      </c>
      <c r="P825" s="369"/>
      <c r="Q825" s="350">
        <f t="shared" si="333"/>
        <v>1191460.2861625832</v>
      </c>
      <c r="R825" s="350">
        <f t="shared" si="334"/>
        <v>3514652.4781869706</v>
      </c>
      <c r="S825" s="350">
        <f t="shared" si="335"/>
        <v>5523837.281600967</v>
      </c>
      <c r="T825" s="350">
        <f t="shared" si="336"/>
        <v>7211630.7109770365</v>
      </c>
      <c r="U825" s="350">
        <f t="shared" si="337"/>
        <v>8572384.7349086627</v>
      </c>
      <c r="V825" s="350">
        <f t="shared" si="338"/>
        <v>26013965.49183622</v>
      </c>
      <c r="W825" s="365"/>
      <c r="X825" s="377">
        <f t="shared" si="316"/>
        <v>0</v>
      </c>
      <c r="Y825" s="377">
        <f t="shared" si="317"/>
        <v>0</v>
      </c>
      <c r="Z825" s="377">
        <f t="shared" si="318"/>
        <v>0</v>
      </c>
      <c r="AA825" s="377">
        <f t="shared" si="319"/>
        <v>0</v>
      </c>
      <c r="AB825" s="377">
        <f t="shared" si="320"/>
        <v>0</v>
      </c>
      <c r="AC825" s="377">
        <f t="shared" si="321"/>
        <v>0</v>
      </c>
      <c r="AD825" s="376"/>
      <c r="AE825" s="332">
        <v>810</v>
      </c>
      <c r="AF825" s="350">
        <v>4801337.7436012216</v>
      </c>
      <c r="AG825" s="350">
        <v>9640381.2210550345</v>
      </c>
      <c r="AH825" s="350">
        <v>14516046.83826161</v>
      </c>
      <c r="AI825" s="350">
        <v>19428496.258388817</v>
      </c>
      <c r="AJ825" s="350">
        <v>24378437.925725564</v>
      </c>
      <c r="AK825" s="348">
        <v>72764699.98703225</v>
      </c>
      <c r="AL825" s="369"/>
      <c r="AM825" s="350">
        <v>5725563.4176701531</v>
      </c>
      <c r="AN825" s="350">
        <v>12369359.822617872</v>
      </c>
      <c r="AO825" s="350">
        <v>18837203.801901016</v>
      </c>
      <c r="AP825" s="350">
        <v>25125233.166954383</v>
      </c>
      <c r="AQ825" s="350">
        <v>31231480.02611836</v>
      </c>
      <c r="AR825" s="348">
        <v>93288840.235261798</v>
      </c>
      <c r="AS825" s="369"/>
      <c r="AT825" s="350">
        <f t="shared" si="339"/>
        <v>924225.67406893149</v>
      </c>
      <c r="AU825" s="350">
        <f t="shared" si="322"/>
        <v>2728978.6015628371</v>
      </c>
      <c r="AV825" s="350">
        <f t="shared" si="323"/>
        <v>4321156.9636394065</v>
      </c>
      <c r="AW825" s="350">
        <f t="shared" si="324"/>
        <v>5696736.9085655659</v>
      </c>
      <c r="AX825" s="350">
        <f t="shared" si="325"/>
        <v>6853042.1003927961</v>
      </c>
      <c r="AY825" s="350">
        <f t="shared" si="326"/>
        <v>20524140.248229548</v>
      </c>
      <c r="AZ825" s="365"/>
      <c r="BA825" s="377">
        <f t="shared" si="327"/>
        <v>0</v>
      </c>
      <c r="BB825" s="377">
        <f t="shared" si="328"/>
        <v>0</v>
      </c>
      <c r="BC825" s="377">
        <f t="shared" si="329"/>
        <v>0</v>
      </c>
      <c r="BD825" s="377">
        <f t="shared" si="330"/>
        <v>0</v>
      </c>
      <c r="BE825" s="377">
        <f t="shared" si="331"/>
        <v>0</v>
      </c>
      <c r="BF825" s="377">
        <f t="shared" si="332"/>
        <v>0</v>
      </c>
      <c r="BG825" s="328"/>
    </row>
    <row r="826" spans="2:59">
      <c r="B826" s="332">
        <v>811</v>
      </c>
      <c r="C826" s="350">
        <v>5430970.0101653244</v>
      </c>
      <c r="D826" s="350">
        <v>10109790.560299601</v>
      </c>
      <c r="E826" s="350">
        <v>14823794.061899303</v>
      </c>
      <c r="F826" s="350">
        <v>19573342.753217235</v>
      </c>
      <c r="G826" s="350">
        <v>24359211.220427349</v>
      </c>
      <c r="H826" s="348">
        <v>74297108.606008813</v>
      </c>
      <c r="I826" s="369"/>
      <c r="J826" s="350">
        <v>6118300.6375984279</v>
      </c>
      <c r="K826" s="350">
        <v>12136690.629814893</v>
      </c>
      <c r="L826" s="350">
        <v>18004711.508740544</v>
      </c>
      <c r="M826" s="350">
        <v>23717930.601758517</v>
      </c>
      <c r="N826" s="350">
        <v>29273324.012012832</v>
      </c>
      <c r="O826" s="348">
        <v>89250957.389925212</v>
      </c>
      <c r="P826" s="369"/>
      <c r="Q826" s="350">
        <f t="shared" si="333"/>
        <v>687330.62743310351</v>
      </c>
      <c r="R826" s="350">
        <f t="shared" si="334"/>
        <v>2026900.0695152916</v>
      </c>
      <c r="S826" s="350">
        <f t="shared" si="335"/>
        <v>3180917.4468412418</v>
      </c>
      <c r="T826" s="350">
        <f t="shared" si="336"/>
        <v>4144587.8485412821</v>
      </c>
      <c r="U826" s="350">
        <f t="shared" si="337"/>
        <v>4914112.7915854827</v>
      </c>
      <c r="V826" s="350">
        <f t="shared" si="338"/>
        <v>14953848.783916399</v>
      </c>
      <c r="W826" s="365"/>
      <c r="X826" s="377">
        <f t="shared" si="316"/>
        <v>0</v>
      </c>
      <c r="Y826" s="377">
        <f t="shared" si="317"/>
        <v>0</v>
      </c>
      <c r="Z826" s="377">
        <f t="shared" si="318"/>
        <v>0</v>
      </c>
      <c r="AA826" s="377">
        <f t="shared" si="319"/>
        <v>0</v>
      </c>
      <c r="AB826" s="377">
        <f t="shared" si="320"/>
        <v>0</v>
      </c>
      <c r="AC826" s="377">
        <f t="shared" si="321"/>
        <v>0</v>
      </c>
      <c r="AD826" s="376"/>
      <c r="AE826" s="332">
        <v>811</v>
      </c>
      <c r="AF826" s="350">
        <v>4680253.3564865701</v>
      </c>
      <c r="AG826" s="350">
        <v>9397261.550238559</v>
      </c>
      <c r="AH826" s="350">
        <v>14149968.31419174</v>
      </c>
      <c r="AI826" s="350">
        <v>18938531.234549053</v>
      </c>
      <c r="AJ826" s="350">
        <v>23763640.889423952</v>
      </c>
      <c r="AK826" s="348">
        <v>70929655.344889879</v>
      </c>
      <c r="AL826" s="369"/>
      <c r="AM826" s="350">
        <v>5576514.6314633507</v>
      </c>
      <c r="AN826" s="350">
        <v>12043608.66694374</v>
      </c>
      <c r="AO826" s="350">
        <v>18339048.138474084</v>
      </c>
      <c r="AP826" s="350">
        <v>24459069.574599579</v>
      </c>
      <c r="AQ826" s="350">
        <v>30401749.995795265</v>
      </c>
      <c r="AR826" s="348">
        <v>90819991.007276028</v>
      </c>
      <c r="AS826" s="369"/>
      <c r="AT826" s="350">
        <f t="shared" si="339"/>
        <v>896261.27497678064</v>
      </c>
      <c r="AU826" s="350">
        <f t="shared" si="322"/>
        <v>2646347.1167051811</v>
      </c>
      <c r="AV826" s="350">
        <f t="shared" si="323"/>
        <v>4189079.8242823444</v>
      </c>
      <c r="AW826" s="350">
        <f t="shared" si="324"/>
        <v>5520538.340050526</v>
      </c>
      <c r="AX826" s="350">
        <f t="shared" si="325"/>
        <v>6638109.1063713133</v>
      </c>
      <c r="AY826" s="350">
        <f t="shared" si="326"/>
        <v>19890335.662386149</v>
      </c>
      <c r="AZ826" s="365"/>
      <c r="BA826" s="377">
        <f t="shared" si="327"/>
        <v>0</v>
      </c>
      <c r="BB826" s="377">
        <f t="shared" si="328"/>
        <v>0</v>
      </c>
      <c r="BC826" s="377">
        <f t="shared" si="329"/>
        <v>0</v>
      </c>
      <c r="BD826" s="377">
        <f t="shared" si="330"/>
        <v>0</v>
      </c>
      <c r="BE826" s="377">
        <f t="shared" si="331"/>
        <v>0</v>
      </c>
      <c r="BF826" s="377">
        <f t="shared" si="332"/>
        <v>0</v>
      </c>
      <c r="BG826" s="328"/>
    </row>
    <row r="827" spans="2:59">
      <c r="B827" s="332">
        <v>812</v>
      </c>
      <c r="C827" s="350">
        <v>7631976.2059909077</v>
      </c>
      <c r="D827" s="350">
        <v>14326631.503883313</v>
      </c>
      <c r="E827" s="350">
        <v>21071667.974220056</v>
      </c>
      <c r="F827" s="350">
        <v>27867567.655640624</v>
      </c>
      <c r="G827" s="350">
        <v>34715423.079154193</v>
      </c>
      <c r="H827" s="348">
        <v>105613266.41888911</v>
      </c>
      <c r="I827" s="369"/>
      <c r="J827" s="350">
        <v>8773752.0187695157</v>
      </c>
      <c r="K827" s="350">
        <v>17696321.329918765</v>
      </c>
      <c r="L827" s="350">
        <v>26403081.288149141</v>
      </c>
      <c r="M827" s="350">
        <v>34887826.616773456</v>
      </c>
      <c r="N827" s="350">
        <v>43146601.826560058</v>
      </c>
      <c r="O827" s="348">
        <v>130907583.08017093</v>
      </c>
      <c r="P827" s="369"/>
      <c r="Q827" s="350">
        <f t="shared" si="333"/>
        <v>1141775.8127786079</v>
      </c>
      <c r="R827" s="350">
        <f t="shared" si="334"/>
        <v>3369689.8260354511</v>
      </c>
      <c r="S827" s="350">
        <f t="shared" si="335"/>
        <v>5331413.3139290847</v>
      </c>
      <c r="T827" s="350">
        <f t="shared" si="336"/>
        <v>7020258.9611328319</v>
      </c>
      <c r="U827" s="350">
        <f t="shared" si="337"/>
        <v>8431178.7474058643</v>
      </c>
      <c r="V827" s="350">
        <f t="shared" si="338"/>
        <v>25294316.661281824</v>
      </c>
      <c r="W827" s="365"/>
      <c r="X827" s="377">
        <f t="shared" si="316"/>
        <v>0</v>
      </c>
      <c r="Y827" s="377">
        <f t="shared" si="317"/>
        <v>0</v>
      </c>
      <c r="Z827" s="377">
        <f t="shared" si="318"/>
        <v>0</v>
      </c>
      <c r="AA827" s="377">
        <f t="shared" si="319"/>
        <v>0</v>
      </c>
      <c r="AB827" s="377">
        <f t="shared" si="320"/>
        <v>0</v>
      </c>
      <c r="AC827" s="377">
        <f t="shared" si="321"/>
        <v>0</v>
      </c>
      <c r="AD827" s="376"/>
      <c r="AE827" s="332">
        <v>812</v>
      </c>
      <c r="AF827" s="350">
        <v>6935343.6746089254</v>
      </c>
      <c r="AG827" s="350">
        <v>13925151.79990549</v>
      </c>
      <c r="AH827" s="350">
        <v>20967859.16679851</v>
      </c>
      <c r="AI827" s="350">
        <v>28063699.291380502</v>
      </c>
      <c r="AJ827" s="350">
        <v>35213695.493584417</v>
      </c>
      <c r="AK827" s="348">
        <v>105105749.42627785</v>
      </c>
      <c r="AL827" s="369"/>
      <c r="AM827" s="350">
        <v>8313222.1208089655</v>
      </c>
      <c r="AN827" s="350">
        <v>17994196.291437596</v>
      </c>
      <c r="AO827" s="350">
        <v>27422298.091714691</v>
      </c>
      <c r="AP827" s="350">
        <v>36591936.616596997</v>
      </c>
      <c r="AQ827" s="350">
        <v>45500312.741974354</v>
      </c>
      <c r="AR827" s="348">
        <v>135821965.86253262</v>
      </c>
      <c r="AS827" s="369"/>
      <c r="AT827" s="350">
        <f t="shared" si="339"/>
        <v>1377878.4462000402</v>
      </c>
      <c r="AU827" s="350">
        <f t="shared" si="322"/>
        <v>4069044.491532106</v>
      </c>
      <c r="AV827" s="350">
        <f t="shared" si="323"/>
        <v>6454438.9249161817</v>
      </c>
      <c r="AW827" s="350">
        <f t="shared" si="324"/>
        <v>8528237.3252164945</v>
      </c>
      <c r="AX827" s="350">
        <f t="shared" si="325"/>
        <v>10286617.248389937</v>
      </c>
      <c r="AY827" s="350">
        <f t="shared" si="326"/>
        <v>30716216.43625477</v>
      </c>
      <c r="AZ827" s="365"/>
      <c r="BA827" s="377">
        <f t="shared" si="327"/>
        <v>0</v>
      </c>
      <c r="BB827" s="377">
        <f t="shared" si="328"/>
        <v>0</v>
      </c>
      <c r="BC827" s="377">
        <f t="shared" si="329"/>
        <v>0</v>
      </c>
      <c r="BD827" s="377">
        <f t="shared" si="330"/>
        <v>0</v>
      </c>
      <c r="BE827" s="377">
        <f t="shared" si="331"/>
        <v>0</v>
      </c>
      <c r="BF827" s="377">
        <f t="shared" si="332"/>
        <v>0</v>
      </c>
      <c r="BG827" s="328"/>
    </row>
    <row r="828" spans="2:59">
      <c r="B828" s="332">
        <v>813</v>
      </c>
      <c r="C828" s="350">
        <v>11045256.041255545</v>
      </c>
      <c r="D828" s="350">
        <v>20829349.983669311</v>
      </c>
      <c r="E828" s="350">
        <v>30687106.15941456</v>
      </c>
      <c r="F828" s="350">
        <v>40619200.669682935</v>
      </c>
      <c r="G828" s="350">
        <v>50627217.873416901</v>
      </c>
      <c r="H828" s="348">
        <v>153808130.72743925</v>
      </c>
      <c r="I828" s="369"/>
      <c r="J828" s="350">
        <v>12424388.563708983</v>
      </c>
      <c r="K828" s="350">
        <v>24895316.966578454</v>
      </c>
      <c r="L828" s="350">
        <v>37031046.264954567</v>
      </c>
      <c r="M828" s="350">
        <v>48822962.887957126</v>
      </c>
      <c r="N828" s="350">
        <v>60265398.744999237</v>
      </c>
      <c r="O828" s="348">
        <v>183439113.42819837</v>
      </c>
      <c r="P828" s="369"/>
      <c r="Q828" s="350">
        <f t="shared" si="333"/>
        <v>1379132.5224534385</v>
      </c>
      <c r="R828" s="350">
        <f t="shared" si="334"/>
        <v>4065966.982909143</v>
      </c>
      <c r="S828" s="350">
        <f t="shared" si="335"/>
        <v>6343940.1055400074</v>
      </c>
      <c r="T828" s="350">
        <f t="shared" si="336"/>
        <v>8203762.218274191</v>
      </c>
      <c r="U828" s="350">
        <f t="shared" si="337"/>
        <v>9638180.8715823367</v>
      </c>
      <c r="V828" s="350">
        <f t="shared" si="338"/>
        <v>29630982.700759113</v>
      </c>
      <c r="W828" s="365"/>
      <c r="X828" s="377">
        <f t="shared" si="316"/>
        <v>0</v>
      </c>
      <c r="Y828" s="377">
        <f t="shared" si="317"/>
        <v>0</v>
      </c>
      <c r="Z828" s="377">
        <f t="shared" si="318"/>
        <v>0</v>
      </c>
      <c r="AA828" s="377">
        <f t="shared" si="319"/>
        <v>0</v>
      </c>
      <c r="AB828" s="377">
        <f t="shared" si="320"/>
        <v>0</v>
      </c>
      <c r="AC828" s="377">
        <f t="shared" si="321"/>
        <v>0</v>
      </c>
      <c r="AD828" s="376"/>
      <c r="AE828" s="332">
        <v>813</v>
      </c>
      <c r="AF828" s="350">
        <v>8381377.5539497538</v>
      </c>
      <c r="AG828" s="350">
        <v>16828575.512179229</v>
      </c>
      <c r="AH828" s="350">
        <v>25339702.316178922</v>
      </c>
      <c r="AI828" s="350">
        <v>33915040.170642361</v>
      </c>
      <c r="AJ828" s="350">
        <v>42555825.75988096</v>
      </c>
      <c r="AK828" s="348">
        <v>127020521.31283122</v>
      </c>
      <c r="AL828" s="369"/>
      <c r="AM828" s="350">
        <v>10213911.782754697</v>
      </c>
      <c r="AN828" s="350">
        <v>22242380.458336141</v>
      </c>
      <c r="AO828" s="350">
        <v>33970264.978088737</v>
      </c>
      <c r="AP828" s="350">
        <v>45390761.384311512</v>
      </c>
      <c r="AQ828" s="350">
        <v>56500656.431288123</v>
      </c>
      <c r="AR828" s="348">
        <v>168317975.03477919</v>
      </c>
      <c r="AS828" s="369"/>
      <c r="AT828" s="350">
        <f t="shared" si="339"/>
        <v>1832534.2288049432</v>
      </c>
      <c r="AU828" s="350">
        <f t="shared" si="322"/>
        <v>5413804.9461569116</v>
      </c>
      <c r="AV828" s="350">
        <f t="shared" si="323"/>
        <v>8630562.6619098149</v>
      </c>
      <c r="AW828" s="350">
        <f t="shared" si="324"/>
        <v>11475721.213669151</v>
      </c>
      <c r="AX828" s="350">
        <f t="shared" si="325"/>
        <v>13944830.671407163</v>
      </c>
      <c r="AY828" s="350">
        <f t="shared" si="326"/>
        <v>41297453.721947968</v>
      </c>
      <c r="AZ828" s="365"/>
      <c r="BA828" s="377">
        <f t="shared" si="327"/>
        <v>0</v>
      </c>
      <c r="BB828" s="377">
        <f t="shared" si="328"/>
        <v>0</v>
      </c>
      <c r="BC828" s="377">
        <f t="shared" si="329"/>
        <v>0</v>
      </c>
      <c r="BD828" s="377">
        <f t="shared" si="330"/>
        <v>0</v>
      </c>
      <c r="BE828" s="377">
        <f t="shared" si="331"/>
        <v>0</v>
      </c>
      <c r="BF828" s="377">
        <f t="shared" si="332"/>
        <v>0</v>
      </c>
      <c r="BG828" s="328"/>
    </row>
    <row r="829" spans="2:59">
      <c r="B829" s="332">
        <v>814</v>
      </c>
      <c r="C829" s="350">
        <v>9443977.3769918736</v>
      </c>
      <c r="D829" s="350">
        <v>17838401.041656364</v>
      </c>
      <c r="E829" s="350">
        <v>26296033.759692341</v>
      </c>
      <c r="F829" s="350">
        <v>34817447.121479943</v>
      </c>
      <c r="G829" s="350">
        <v>43403996.763349771</v>
      </c>
      <c r="H829" s="348">
        <v>131799856.06317028</v>
      </c>
      <c r="I829" s="369"/>
      <c r="J829" s="350">
        <v>10941392.666058788</v>
      </c>
      <c r="K829" s="350">
        <v>22258617.887803819</v>
      </c>
      <c r="L829" s="350">
        <v>33305290.906957068</v>
      </c>
      <c r="M829" s="350">
        <v>44073647.422036611</v>
      </c>
      <c r="N829" s="350">
        <v>54558850.726644203</v>
      </c>
      <c r="O829" s="348">
        <v>165137799.60950047</v>
      </c>
      <c r="P829" s="369"/>
      <c r="Q829" s="350">
        <f t="shared" si="333"/>
        <v>1497415.2890669145</v>
      </c>
      <c r="R829" s="350">
        <f t="shared" si="334"/>
        <v>4420216.8461474553</v>
      </c>
      <c r="S829" s="350">
        <f t="shared" si="335"/>
        <v>7009257.1472647265</v>
      </c>
      <c r="T829" s="350">
        <f t="shared" si="336"/>
        <v>9256200.3005566671</v>
      </c>
      <c r="U829" s="350">
        <f t="shared" si="337"/>
        <v>11154853.963294432</v>
      </c>
      <c r="V829" s="350">
        <f t="shared" si="338"/>
        <v>33337943.546330184</v>
      </c>
      <c r="W829" s="365"/>
      <c r="X829" s="377">
        <f t="shared" si="316"/>
        <v>0</v>
      </c>
      <c r="Y829" s="377">
        <f t="shared" si="317"/>
        <v>0</v>
      </c>
      <c r="Z829" s="377">
        <f t="shared" si="318"/>
        <v>0</v>
      </c>
      <c r="AA829" s="377">
        <f t="shared" si="319"/>
        <v>0</v>
      </c>
      <c r="AB829" s="377">
        <f t="shared" si="320"/>
        <v>0</v>
      </c>
      <c r="AC829" s="377">
        <f t="shared" si="321"/>
        <v>0</v>
      </c>
      <c r="AD829" s="376"/>
      <c r="AE829" s="332">
        <v>814</v>
      </c>
      <c r="AF829" s="350">
        <v>9039383.3218521811</v>
      </c>
      <c r="AG829" s="350">
        <v>18149754.480829455</v>
      </c>
      <c r="AH829" s="350">
        <v>27329073.415816203</v>
      </c>
      <c r="AI829" s="350">
        <v>36577644.486851528</v>
      </c>
      <c r="AJ829" s="350">
        <v>45896801.467944175</v>
      </c>
      <c r="AK829" s="348">
        <v>136992657.17329353</v>
      </c>
      <c r="AL829" s="369"/>
      <c r="AM829" s="350">
        <v>10555309.362376403</v>
      </c>
      <c r="AN829" s="350">
        <v>22622947.499661144</v>
      </c>
      <c r="AO829" s="350">
        <v>34352611.770702168</v>
      </c>
      <c r="AP829" s="350">
        <v>45737094.292168885</v>
      </c>
      <c r="AQ829" s="350">
        <v>56772463.197467431</v>
      </c>
      <c r="AR829" s="348">
        <v>170040426.12237602</v>
      </c>
      <c r="AS829" s="369"/>
      <c r="AT829" s="350">
        <f t="shared" si="339"/>
        <v>1515926.040524222</v>
      </c>
      <c r="AU829" s="350">
        <f t="shared" si="322"/>
        <v>4473193.0188316889</v>
      </c>
      <c r="AV829" s="350">
        <f t="shared" si="323"/>
        <v>7023538.3548859656</v>
      </c>
      <c r="AW829" s="350">
        <f t="shared" si="324"/>
        <v>9159449.8053173572</v>
      </c>
      <c r="AX829" s="350">
        <f t="shared" si="325"/>
        <v>10875661.729523256</v>
      </c>
      <c r="AY829" s="350">
        <f t="shared" si="326"/>
        <v>33047768.949082494</v>
      </c>
      <c r="AZ829" s="365"/>
      <c r="BA829" s="377">
        <f t="shared" si="327"/>
        <v>0</v>
      </c>
      <c r="BB829" s="377">
        <f t="shared" si="328"/>
        <v>0</v>
      </c>
      <c r="BC829" s="377">
        <f t="shared" si="329"/>
        <v>0</v>
      </c>
      <c r="BD829" s="377">
        <f t="shared" si="330"/>
        <v>0</v>
      </c>
      <c r="BE829" s="377">
        <f t="shared" si="331"/>
        <v>0</v>
      </c>
      <c r="BF829" s="377">
        <f t="shared" si="332"/>
        <v>0</v>
      </c>
      <c r="BG829" s="328"/>
    </row>
    <row r="830" spans="2:59">
      <c r="B830" s="332">
        <v>815</v>
      </c>
      <c r="C830" s="350">
        <v>7984581.5765836909</v>
      </c>
      <c r="D830" s="350">
        <v>14823794.812522203</v>
      </c>
      <c r="E830" s="350">
        <v>21714423.135296561</v>
      </c>
      <c r="F830" s="350">
        <v>28657008.034231819</v>
      </c>
      <c r="G830" s="350">
        <v>35652686.969481625</v>
      </c>
      <c r="H830" s="348">
        <v>108832494.5281159</v>
      </c>
      <c r="I830" s="369"/>
      <c r="J830" s="350">
        <v>9200376.4559732024</v>
      </c>
      <c r="K830" s="350">
        <v>18412647.318062611</v>
      </c>
      <c r="L830" s="350">
        <v>27411121.980154462</v>
      </c>
      <c r="M830" s="350">
        <v>36189287.663325757</v>
      </c>
      <c r="N830" s="350">
        <v>44742958.084057972</v>
      </c>
      <c r="O830" s="348">
        <v>135956391.50157398</v>
      </c>
      <c r="P830" s="369"/>
      <c r="Q830" s="350">
        <f t="shared" si="333"/>
        <v>1215794.8793895114</v>
      </c>
      <c r="R830" s="350">
        <f t="shared" si="334"/>
        <v>3588852.5055404082</v>
      </c>
      <c r="S830" s="350">
        <f t="shared" si="335"/>
        <v>5696698.8448579013</v>
      </c>
      <c r="T830" s="350">
        <f t="shared" si="336"/>
        <v>7532279.6290939376</v>
      </c>
      <c r="U830" s="350">
        <f t="shared" si="337"/>
        <v>9090271.1145763472</v>
      </c>
      <c r="V830" s="350">
        <f t="shared" si="338"/>
        <v>27123896.973458081</v>
      </c>
      <c r="W830" s="365"/>
      <c r="X830" s="377">
        <f t="shared" si="316"/>
        <v>0</v>
      </c>
      <c r="Y830" s="377">
        <f t="shared" si="317"/>
        <v>0</v>
      </c>
      <c r="Z830" s="377">
        <f t="shared" si="318"/>
        <v>0</v>
      </c>
      <c r="AA830" s="377">
        <f t="shared" si="319"/>
        <v>0</v>
      </c>
      <c r="AB830" s="377">
        <f t="shared" si="320"/>
        <v>0</v>
      </c>
      <c r="AC830" s="377">
        <f t="shared" si="321"/>
        <v>0</v>
      </c>
      <c r="AD830" s="376"/>
      <c r="AE830" s="332">
        <v>815</v>
      </c>
      <c r="AF830" s="350">
        <v>8372155.5638063177</v>
      </c>
      <c r="AG830" s="350">
        <v>16810059.110012349</v>
      </c>
      <c r="AH830" s="350">
        <v>25311821.161381487</v>
      </c>
      <c r="AI830" s="350">
        <v>33877723.612098768</v>
      </c>
      <c r="AJ830" s="350">
        <v>42509001.785757698</v>
      </c>
      <c r="AK830" s="348">
        <v>126880761.2330566</v>
      </c>
      <c r="AL830" s="369"/>
      <c r="AM830" s="350">
        <v>9651816.3723766226</v>
      </c>
      <c r="AN830" s="350">
        <v>20584226.900698904</v>
      </c>
      <c r="AO830" s="350">
        <v>31199885.660893768</v>
      </c>
      <c r="AP830" s="350">
        <v>41492151.984441563</v>
      </c>
      <c r="AQ830" s="350">
        <v>51457258.272050537</v>
      </c>
      <c r="AR830" s="348">
        <v>154385339.1904614</v>
      </c>
      <c r="AS830" s="369"/>
      <c r="AT830" s="350">
        <f t="shared" si="339"/>
        <v>1279660.8085703049</v>
      </c>
      <c r="AU830" s="350">
        <f t="shared" si="322"/>
        <v>3774167.7906865552</v>
      </c>
      <c r="AV830" s="350">
        <f t="shared" si="323"/>
        <v>5888064.4995122813</v>
      </c>
      <c r="AW830" s="350">
        <f t="shared" si="324"/>
        <v>7614428.3723427951</v>
      </c>
      <c r="AX830" s="350">
        <f t="shared" si="325"/>
        <v>8948256.4862928391</v>
      </c>
      <c r="AY830" s="350">
        <f t="shared" si="326"/>
        <v>27504577.957404792</v>
      </c>
      <c r="AZ830" s="365"/>
      <c r="BA830" s="377">
        <f t="shared" si="327"/>
        <v>0</v>
      </c>
      <c r="BB830" s="377">
        <f t="shared" si="328"/>
        <v>0</v>
      </c>
      <c r="BC830" s="377">
        <f t="shared" si="329"/>
        <v>0</v>
      </c>
      <c r="BD830" s="377">
        <f t="shared" si="330"/>
        <v>0</v>
      </c>
      <c r="BE830" s="377">
        <f t="shared" si="331"/>
        <v>0</v>
      </c>
      <c r="BF830" s="377">
        <f t="shared" si="332"/>
        <v>0</v>
      </c>
      <c r="BG830" s="328"/>
    </row>
    <row r="831" spans="2:59">
      <c r="B831" s="332">
        <v>816</v>
      </c>
      <c r="C831" s="350">
        <v>6631646.1064307997</v>
      </c>
      <c r="D831" s="350">
        <v>12475900.186163111</v>
      </c>
      <c r="E831" s="350">
        <v>18364144.543871514</v>
      </c>
      <c r="F831" s="350">
        <v>24296791.926872484</v>
      </c>
      <c r="G831" s="350">
        <v>30274792.578709308</v>
      </c>
      <c r="H831" s="348">
        <v>92043275.342047215</v>
      </c>
      <c r="I831" s="369"/>
      <c r="J831" s="350">
        <v>7788779.288782943</v>
      </c>
      <c r="K831" s="350">
        <v>15893236.269794935</v>
      </c>
      <c r="L831" s="350">
        <v>23813760.645732943</v>
      </c>
      <c r="M831" s="350">
        <v>31544902.196138576</v>
      </c>
      <c r="N831" s="350">
        <v>39083387.712146513</v>
      </c>
      <c r="O831" s="348">
        <v>118124066.11259592</v>
      </c>
      <c r="P831" s="369"/>
      <c r="Q831" s="350">
        <f t="shared" si="333"/>
        <v>1157133.1823521433</v>
      </c>
      <c r="R831" s="350">
        <f t="shared" si="334"/>
        <v>3417336.0836318247</v>
      </c>
      <c r="S831" s="350">
        <f t="shared" si="335"/>
        <v>5449616.1018614285</v>
      </c>
      <c r="T831" s="350">
        <f t="shared" si="336"/>
        <v>7248110.2692660913</v>
      </c>
      <c r="U831" s="350">
        <f t="shared" si="337"/>
        <v>8808595.1334372051</v>
      </c>
      <c r="V831" s="350">
        <f t="shared" si="338"/>
        <v>26080790.770548701</v>
      </c>
      <c r="W831" s="365"/>
      <c r="X831" s="377">
        <f t="shared" si="316"/>
        <v>0</v>
      </c>
      <c r="Y831" s="377">
        <f t="shared" si="317"/>
        <v>0</v>
      </c>
      <c r="Z831" s="377">
        <f t="shared" si="318"/>
        <v>0</v>
      </c>
      <c r="AA831" s="377">
        <f t="shared" si="319"/>
        <v>0</v>
      </c>
      <c r="AB831" s="377">
        <f t="shared" si="320"/>
        <v>0</v>
      </c>
      <c r="AC831" s="377">
        <f t="shared" si="321"/>
        <v>0</v>
      </c>
      <c r="AD831" s="376"/>
      <c r="AE831" s="332">
        <v>816</v>
      </c>
      <c r="AF831" s="350">
        <v>6262859.3454687912</v>
      </c>
      <c r="AG831" s="350">
        <v>12574902.00613993</v>
      </c>
      <c r="AH831" s="350">
        <v>18934714.543135084</v>
      </c>
      <c r="AI831" s="350">
        <v>25342507.829701617</v>
      </c>
      <c r="AJ831" s="350">
        <v>31799205.959742621</v>
      </c>
      <c r="AK831" s="348">
        <v>94914189.684188038</v>
      </c>
      <c r="AL831" s="369"/>
      <c r="AM831" s="350">
        <v>7303304.5667489069</v>
      </c>
      <c r="AN831" s="350">
        <v>15644899.852290891</v>
      </c>
      <c r="AO831" s="350">
        <v>23752037.792833142</v>
      </c>
      <c r="AP831" s="350">
        <v>31619727.254391864</v>
      </c>
      <c r="AQ831" s="350">
        <v>39245234.09994629</v>
      </c>
      <c r="AR831" s="348">
        <v>117565203.56621109</v>
      </c>
      <c r="AS831" s="369"/>
      <c r="AT831" s="350">
        <f t="shared" si="339"/>
        <v>1040445.2212801157</v>
      </c>
      <c r="AU831" s="350">
        <f t="shared" si="322"/>
        <v>3069997.8461509608</v>
      </c>
      <c r="AV831" s="350">
        <f t="shared" si="323"/>
        <v>4817323.2496980578</v>
      </c>
      <c r="AW831" s="350">
        <f t="shared" si="324"/>
        <v>6277219.4246902466</v>
      </c>
      <c r="AX831" s="350">
        <f t="shared" si="325"/>
        <v>7446028.1402036697</v>
      </c>
      <c r="AY831" s="350">
        <f t="shared" si="326"/>
        <v>22651013.882023051</v>
      </c>
      <c r="AZ831" s="365"/>
      <c r="BA831" s="377">
        <f t="shared" si="327"/>
        <v>0</v>
      </c>
      <c r="BB831" s="377">
        <f t="shared" si="328"/>
        <v>0</v>
      </c>
      <c r="BC831" s="377">
        <f t="shared" si="329"/>
        <v>0</v>
      </c>
      <c r="BD831" s="377">
        <f t="shared" si="330"/>
        <v>0</v>
      </c>
      <c r="BE831" s="377">
        <f t="shared" si="331"/>
        <v>0</v>
      </c>
      <c r="BF831" s="377">
        <f t="shared" si="332"/>
        <v>0</v>
      </c>
      <c r="BG831" s="328"/>
    </row>
    <row r="832" spans="2:59">
      <c r="B832" s="332">
        <v>817</v>
      </c>
      <c r="C832" s="350">
        <v>10153957.239392173</v>
      </c>
      <c r="D832" s="350">
        <v>19054791.495307222</v>
      </c>
      <c r="E832" s="350">
        <v>28022607.715826757</v>
      </c>
      <c r="F832" s="350">
        <v>37058048.597708799</v>
      </c>
      <c r="G832" s="350">
        <v>46162567.493833438</v>
      </c>
      <c r="H832" s="348">
        <v>140451972.54206836</v>
      </c>
      <c r="I832" s="369"/>
      <c r="J832" s="350">
        <v>11414780.088176334</v>
      </c>
      <c r="K832" s="350">
        <v>22772101.037568752</v>
      </c>
      <c r="L832" s="350">
        <v>33838457.102773547</v>
      </c>
      <c r="M832" s="350">
        <v>44605519.902132511</v>
      </c>
      <c r="N832" s="350">
        <v>55067612.176231682</v>
      </c>
      <c r="O832" s="348">
        <v>167698470.30688283</v>
      </c>
      <c r="P832" s="369"/>
      <c r="Q832" s="350">
        <f t="shared" si="333"/>
        <v>1260822.8487841617</v>
      </c>
      <c r="R832" s="350">
        <f t="shared" si="334"/>
        <v>3717309.5422615297</v>
      </c>
      <c r="S832" s="350">
        <f t="shared" si="335"/>
        <v>5815849.3869467899</v>
      </c>
      <c r="T832" s="350">
        <f t="shared" si="336"/>
        <v>7547471.3044237122</v>
      </c>
      <c r="U832" s="350">
        <f t="shared" si="337"/>
        <v>8905044.6823982447</v>
      </c>
      <c r="V832" s="350">
        <f t="shared" si="338"/>
        <v>27246497.764814466</v>
      </c>
      <c r="W832" s="365"/>
      <c r="X832" s="377">
        <f t="shared" si="316"/>
        <v>0</v>
      </c>
      <c r="Y832" s="377">
        <f t="shared" si="317"/>
        <v>0</v>
      </c>
      <c r="Z832" s="377">
        <f t="shared" si="318"/>
        <v>0</v>
      </c>
      <c r="AA832" s="377">
        <f t="shared" si="319"/>
        <v>0</v>
      </c>
      <c r="AB832" s="377">
        <f t="shared" si="320"/>
        <v>0</v>
      </c>
      <c r="AC832" s="377">
        <f t="shared" si="321"/>
        <v>0</v>
      </c>
      <c r="AD832" s="376"/>
      <c r="AE832" s="332">
        <v>817</v>
      </c>
      <c r="AF832" s="350">
        <v>4815284.1397344973</v>
      </c>
      <c r="AG832" s="350">
        <v>9668383.5367771089</v>
      </c>
      <c r="AH832" s="350">
        <v>14558211.449523417</v>
      </c>
      <c r="AI832" s="350">
        <v>19484930.010722626</v>
      </c>
      <c r="AJ832" s="350">
        <v>24449249.722474448</v>
      </c>
      <c r="AK832" s="348">
        <v>72976058.859232098</v>
      </c>
      <c r="AL832" s="369"/>
      <c r="AM832" s="350">
        <v>5575904.4855802972</v>
      </c>
      <c r="AN832" s="350">
        <v>11912121.912340565</v>
      </c>
      <c r="AO832" s="350">
        <v>18066895.390783116</v>
      </c>
      <c r="AP832" s="350">
        <v>24036398.546840355</v>
      </c>
      <c r="AQ832" s="350">
        <v>29818489.360036068</v>
      </c>
      <c r="AR832" s="348">
        <v>89409809.695580393</v>
      </c>
      <c r="AS832" s="369"/>
      <c r="AT832" s="350">
        <f t="shared" si="339"/>
        <v>760620.34584579989</v>
      </c>
      <c r="AU832" s="350">
        <f t="shared" si="322"/>
        <v>2243738.3755634557</v>
      </c>
      <c r="AV832" s="350">
        <f t="shared" si="323"/>
        <v>3508683.9412596989</v>
      </c>
      <c r="AW832" s="350">
        <f t="shared" si="324"/>
        <v>4551468.5361177288</v>
      </c>
      <c r="AX832" s="350">
        <f t="shared" si="325"/>
        <v>5369239.6375616193</v>
      </c>
      <c r="AY832" s="350">
        <f t="shared" si="326"/>
        <v>16433750.836348295</v>
      </c>
      <c r="AZ832" s="365"/>
      <c r="BA832" s="377">
        <f t="shared" si="327"/>
        <v>0</v>
      </c>
      <c r="BB832" s="377">
        <f t="shared" si="328"/>
        <v>0</v>
      </c>
      <c r="BC832" s="377">
        <f t="shared" si="329"/>
        <v>0</v>
      </c>
      <c r="BD832" s="377">
        <f t="shared" si="330"/>
        <v>0</v>
      </c>
      <c r="BE832" s="377">
        <f t="shared" si="331"/>
        <v>0</v>
      </c>
      <c r="BF832" s="377">
        <f t="shared" si="332"/>
        <v>0</v>
      </c>
      <c r="BG832" s="328"/>
    </row>
    <row r="833" spans="2:59">
      <c r="B833" s="332">
        <v>818</v>
      </c>
      <c r="C833" s="350">
        <v>8190464.2324048709</v>
      </c>
      <c r="D833" s="350">
        <v>15266409.147554364</v>
      </c>
      <c r="E833" s="350">
        <v>22395569.082200807</v>
      </c>
      <c r="F833" s="350">
        <v>29578485.86053681</v>
      </c>
      <c r="G833" s="350">
        <v>36816328.305258803</v>
      </c>
      <c r="H833" s="348">
        <v>112247256.62795565</v>
      </c>
      <c r="I833" s="369"/>
      <c r="J833" s="350">
        <v>9434496.468414776</v>
      </c>
      <c r="K833" s="350">
        <v>18938417.441080648</v>
      </c>
      <c r="L833" s="350">
        <v>28213591.274815977</v>
      </c>
      <c r="M833" s="350">
        <v>37253545.56313622</v>
      </c>
      <c r="N833" s="350">
        <v>46054218.391404741</v>
      </c>
      <c r="O833" s="348">
        <v>139894269.13885236</v>
      </c>
      <c r="P833" s="369"/>
      <c r="Q833" s="350">
        <f t="shared" si="333"/>
        <v>1244032.2360099051</v>
      </c>
      <c r="R833" s="350">
        <f t="shared" si="334"/>
        <v>3672008.2935262844</v>
      </c>
      <c r="S833" s="350">
        <f t="shared" si="335"/>
        <v>5818022.19261517</v>
      </c>
      <c r="T833" s="350">
        <f t="shared" si="336"/>
        <v>7675059.70259941</v>
      </c>
      <c r="U833" s="350">
        <f t="shared" si="337"/>
        <v>9237890.0861459374</v>
      </c>
      <c r="V833" s="350">
        <f t="shared" si="338"/>
        <v>27647012.510896713</v>
      </c>
      <c r="W833" s="365"/>
      <c r="X833" s="377">
        <f t="shared" si="316"/>
        <v>0</v>
      </c>
      <c r="Y833" s="377">
        <f t="shared" si="317"/>
        <v>0</v>
      </c>
      <c r="Z833" s="377">
        <f t="shared" si="318"/>
        <v>0</v>
      </c>
      <c r="AA833" s="377">
        <f t="shared" si="319"/>
        <v>0</v>
      </c>
      <c r="AB833" s="377">
        <f t="shared" si="320"/>
        <v>0</v>
      </c>
      <c r="AC833" s="377">
        <f t="shared" si="321"/>
        <v>0</v>
      </c>
      <c r="AD833" s="376"/>
      <c r="AE833" s="332">
        <v>818</v>
      </c>
      <c r="AF833" s="350">
        <v>8520024.2305441312</v>
      </c>
      <c r="AG833" s="350">
        <v>17106957.68164511</v>
      </c>
      <c r="AH833" s="350">
        <v>25758877.504197199</v>
      </c>
      <c r="AI833" s="350">
        <v>34476070.571188927</v>
      </c>
      <c r="AJ833" s="350">
        <v>43259794.024448216</v>
      </c>
      <c r="AK833" s="348">
        <v>129121724.01202358</v>
      </c>
      <c r="AL833" s="369"/>
      <c r="AM833" s="350">
        <v>10003109.593878584</v>
      </c>
      <c r="AN833" s="350">
        <v>21484053.293484878</v>
      </c>
      <c r="AO833" s="350">
        <v>32648066.481297802</v>
      </c>
      <c r="AP833" s="350">
        <v>43488340.05806464</v>
      </c>
      <c r="AQ833" s="350">
        <v>54001223.012859516</v>
      </c>
      <c r="AR833" s="348">
        <v>161624792.43958542</v>
      </c>
      <c r="AS833" s="369"/>
      <c r="AT833" s="350">
        <f t="shared" si="339"/>
        <v>1483085.3633344527</v>
      </c>
      <c r="AU833" s="350">
        <f t="shared" si="322"/>
        <v>4377095.6118397675</v>
      </c>
      <c r="AV833" s="350">
        <f t="shared" si="323"/>
        <v>6889188.9771006033</v>
      </c>
      <c r="AW833" s="350">
        <f t="shared" si="324"/>
        <v>9012269.4868757129</v>
      </c>
      <c r="AX833" s="350">
        <f t="shared" si="325"/>
        <v>10741428.9884113</v>
      </c>
      <c r="AY833" s="350">
        <f t="shared" si="326"/>
        <v>32503068.427561834</v>
      </c>
      <c r="AZ833" s="365"/>
      <c r="BA833" s="377">
        <f t="shared" si="327"/>
        <v>0</v>
      </c>
      <c r="BB833" s="377">
        <f t="shared" si="328"/>
        <v>0</v>
      </c>
      <c r="BC833" s="377">
        <f t="shared" si="329"/>
        <v>0</v>
      </c>
      <c r="BD833" s="377">
        <f t="shared" si="330"/>
        <v>0</v>
      </c>
      <c r="BE833" s="377">
        <f t="shared" si="331"/>
        <v>0</v>
      </c>
      <c r="BF833" s="377">
        <f t="shared" si="332"/>
        <v>0</v>
      </c>
      <c r="BG833" s="328"/>
    </row>
    <row r="834" spans="2:59">
      <c r="B834" s="332">
        <v>819</v>
      </c>
      <c r="C834" s="350">
        <v>8042018.1398271304</v>
      </c>
      <c r="D834" s="350">
        <v>15058255.051614234</v>
      </c>
      <c r="E834" s="350">
        <v>22127280.74284507</v>
      </c>
      <c r="F834" s="350">
        <v>29249611.749435008</v>
      </c>
      <c r="G834" s="350">
        <v>36426398.017748877</v>
      </c>
      <c r="H834" s="348">
        <v>110903563.70147032</v>
      </c>
      <c r="I834" s="369"/>
      <c r="J834" s="350">
        <v>9594425.7378917672</v>
      </c>
      <c r="K834" s="350">
        <v>19644974.970200226</v>
      </c>
      <c r="L834" s="350">
        <v>29480686.020158365</v>
      </c>
      <c r="M834" s="350">
        <v>39094946.432111748</v>
      </c>
      <c r="N834" s="350">
        <v>48483955.214070678</v>
      </c>
      <c r="O834" s="348">
        <v>146298988.37443277</v>
      </c>
      <c r="P834" s="369"/>
      <c r="Q834" s="350">
        <f t="shared" si="333"/>
        <v>1552407.5980646368</v>
      </c>
      <c r="R834" s="350">
        <f t="shared" si="334"/>
        <v>4586719.9185859915</v>
      </c>
      <c r="S834" s="350">
        <f t="shared" si="335"/>
        <v>7353405.2773132958</v>
      </c>
      <c r="T834" s="350">
        <f t="shared" si="336"/>
        <v>9845334.68267674</v>
      </c>
      <c r="U834" s="350">
        <f t="shared" si="337"/>
        <v>12057557.1963218</v>
      </c>
      <c r="V834" s="350">
        <f t="shared" si="338"/>
        <v>35395424.672962457</v>
      </c>
      <c r="W834" s="365"/>
      <c r="X834" s="377">
        <f t="shared" si="316"/>
        <v>0</v>
      </c>
      <c r="Y834" s="377">
        <f t="shared" si="317"/>
        <v>0</v>
      </c>
      <c r="Z834" s="377">
        <f t="shared" si="318"/>
        <v>0</v>
      </c>
      <c r="AA834" s="377">
        <f t="shared" si="319"/>
        <v>0</v>
      </c>
      <c r="AB834" s="377">
        <f t="shared" si="320"/>
        <v>0</v>
      </c>
      <c r="AC834" s="377">
        <f t="shared" si="321"/>
        <v>0</v>
      </c>
      <c r="AD834" s="376"/>
      <c r="AE834" s="332">
        <v>819</v>
      </c>
      <c r="AF834" s="350">
        <v>5696078.5580426855</v>
      </c>
      <c r="AG834" s="350">
        <v>11436889.403956443</v>
      </c>
      <c r="AH834" s="350">
        <v>17221147.013279699</v>
      </c>
      <c r="AI834" s="350">
        <v>23049043.175499745</v>
      </c>
      <c r="AJ834" s="350">
        <v>28921418.355199385</v>
      </c>
      <c r="AK834" s="348">
        <v>86324576.505977958</v>
      </c>
      <c r="AL834" s="369"/>
      <c r="AM834" s="350">
        <v>7102891.5503493315</v>
      </c>
      <c r="AN834" s="350">
        <v>15594843.425261896</v>
      </c>
      <c r="AO834" s="350">
        <v>23887348.967059981</v>
      </c>
      <c r="AP834" s="350">
        <v>31975738.478979129</v>
      </c>
      <c r="AQ834" s="350">
        <v>39857991.665535852</v>
      </c>
      <c r="AR834" s="348">
        <v>118418814.08718619</v>
      </c>
      <c r="AS834" s="369"/>
      <c r="AT834" s="350">
        <f t="shared" si="339"/>
        <v>1406812.992306646</v>
      </c>
      <c r="AU834" s="350">
        <f t="shared" si="322"/>
        <v>4157954.021305453</v>
      </c>
      <c r="AV834" s="350">
        <f t="shared" si="323"/>
        <v>6666201.9537802823</v>
      </c>
      <c r="AW834" s="350">
        <f t="shared" si="324"/>
        <v>8926695.3034793846</v>
      </c>
      <c r="AX834" s="350">
        <f t="shared" si="325"/>
        <v>10936573.310336467</v>
      </c>
      <c r="AY834" s="350">
        <f t="shared" si="326"/>
        <v>32094237.581208229</v>
      </c>
      <c r="AZ834" s="365"/>
      <c r="BA834" s="377">
        <f t="shared" si="327"/>
        <v>0</v>
      </c>
      <c r="BB834" s="377">
        <f t="shared" si="328"/>
        <v>0</v>
      </c>
      <c r="BC834" s="377">
        <f t="shared" si="329"/>
        <v>0</v>
      </c>
      <c r="BD834" s="377">
        <f t="shared" si="330"/>
        <v>0</v>
      </c>
      <c r="BE834" s="377">
        <f t="shared" si="331"/>
        <v>0</v>
      </c>
      <c r="BF834" s="377">
        <f t="shared" si="332"/>
        <v>0</v>
      </c>
      <c r="BG834" s="328"/>
    </row>
    <row r="835" spans="2:59">
      <c r="B835" s="332">
        <v>820</v>
      </c>
      <c r="C835" s="350">
        <v>8463490.9876115229</v>
      </c>
      <c r="D835" s="350">
        <v>15841473.086437134</v>
      </c>
      <c r="E835" s="350">
        <v>23274963.698409908</v>
      </c>
      <c r="F835" s="350">
        <v>30764507.777309328</v>
      </c>
      <c r="G835" s="350">
        <v>38311315.335922495</v>
      </c>
      <c r="H835" s="348">
        <v>116655750.88569039</v>
      </c>
      <c r="I835" s="369"/>
      <c r="J835" s="350">
        <v>10040877.223042209</v>
      </c>
      <c r="K835" s="350">
        <v>20501363.291240968</v>
      </c>
      <c r="L835" s="350">
        <v>30731945.607114714</v>
      </c>
      <c r="M835" s="350">
        <v>40725764.367147177</v>
      </c>
      <c r="N835" s="350">
        <v>50478847.176424116</v>
      </c>
      <c r="O835" s="348">
        <v>152478797.66496918</v>
      </c>
      <c r="P835" s="369"/>
      <c r="Q835" s="350">
        <f t="shared" si="333"/>
        <v>1577386.2354306858</v>
      </c>
      <c r="R835" s="350">
        <f t="shared" si="334"/>
        <v>4659890.2048038337</v>
      </c>
      <c r="S835" s="350">
        <f t="shared" si="335"/>
        <v>7456981.9087048061</v>
      </c>
      <c r="T835" s="350">
        <f t="shared" si="336"/>
        <v>9961256.5898378491</v>
      </c>
      <c r="U835" s="350">
        <f t="shared" si="337"/>
        <v>12167531.840501621</v>
      </c>
      <c r="V835" s="350">
        <f t="shared" si="338"/>
        <v>35823046.779278785</v>
      </c>
      <c r="W835" s="365"/>
      <c r="X835" s="377">
        <f t="shared" si="316"/>
        <v>0</v>
      </c>
      <c r="Y835" s="377">
        <f t="shared" si="317"/>
        <v>0</v>
      </c>
      <c r="Z835" s="377">
        <f t="shared" si="318"/>
        <v>0</v>
      </c>
      <c r="AA835" s="377">
        <f t="shared" si="319"/>
        <v>0</v>
      </c>
      <c r="AB835" s="377">
        <f t="shared" si="320"/>
        <v>0</v>
      </c>
      <c r="AC835" s="377">
        <f t="shared" si="321"/>
        <v>0</v>
      </c>
      <c r="AD835" s="376"/>
      <c r="AE835" s="332">
        <v>820</v>
      </c>
      <c r="AF835" s="350">
        <v>5235249.864992843</v>
      </c>
      <c r="AG835" s="350">
        <v>10511613.050606448</v>
      </c>
      <c r="AH835" s="350">
        <v>15827908.034905097</v>
      </c>
      <c r="AI835" s="350">
        <v>21184311.091069926</v>
      </c>
      <c r="AJ835" s="350">
        <v>26581594.687747363</v>
      </c>
      <c r="AK835" s="348">
        <v>79340676.729321674</v>
      </c>
      <c r="AL835" s="369"/>
      <c r="AM835" s="350">
        <v>6480674.5719502745</v>
      </c>
      <c r="AN835" s="350">
        <v>14192088.881754085</v>
      </c>
      <c r="AO835" s="350">
        <v>21718767.793160882</v>
      </c>
      <c r="AP835" s="350">
        <v>29056432.856399722</v>
      </c>
      <c r="AQ835" s="350">
        <v>36203179.043067977</v>
      </c>
      <c r="AR835" s="348">
        <v>107651143.14633293</v>
      </c>
      <c r="AS835" s="369"/>
      <c r="AT835" s="350">
        <f t="shared" si="339"/>
        <v>1245424.7069574315</v>
      </c>
      <c r="AU835" s="350">
        <f t="shared" si="322"/>
        <v>3680475.8311476372</v>
      </c>
      <c r="AV835" s="350">
        <f t="shared" si="323"/>
        <v>5890859.7582557853</v>
      </c>
      <c r="AW835" s="350">
        <f t="shared" si="324"/>
        <v>7872121.7653297968</v>
      </c>
      <c r="AX835" s="350">
        <f t="shared" si="325"/>
        <v>9621584.3553206138</v>
      </c>
      <c r="AY835" s="350">
        <f t="shared" si="326"/>
        <v>28310466.417011261</v>
      </c>
      <c r="AZ835" s="365"/>
      <c r="BA835" s="377">
        <f t="shared" si="327"/>
        <v>0</v>
      </c>
      <c r="BB835" s="377">
        <f t="shared" si="328"/>
        <v>0</v>
      </c>
      <c r="BC835" s="377">
        <f t="shared" si="329"/>
        <v>0</v>
      </c>
      <c r="BD835" s="377">
        <f t="shared" si="330"/>
        <v>0</v>
      </c>
      <c r="BE835" s="377">
        <f t="shared" si="331"/>
        <v>0</v>
      </c>
      <c r="BF835" s="377">
        <f t="shared" si="332"/>
        <v>0</v>
      </c>
      <c r="BG835" s="328"/>
    </row>
    <row r="836" spans="2:59">
      <c r="B836" s="332">
        <v>821</v>
      </c>
      <c r="C836" s="350">
        <v>7054041.4876139332</v>
      </c>
      <c r="D836" s="350">
        <v>13010256.561856601</v>
      </c>
      <c r="E836" s="350">
        <v>19011219.784312855</v>
      </c>
      <c r="F836" s="350">
        <v>25057428.933826718</v>
      </c>
      <c r="G836" s="350">
        <v>31149886.014834471</v>
      </c>
      <c r="H836" s="348">
        <v>95282832.782444566</v>
      </c>
      <c r="I836" s="369"/>
      <c r="J836" s="350">
        <v>8217376.7881965917</v>
      </c>
      <c r="K836" s="350">
        <v>16445703.583489709</v>
      </c>
      <c r="L836" s="350">
        <v>24487615.569504201</v>
      </c>
      <c r="M836" s="350">
        <v>32337570.543342367</v>
      </c>
      <c r="N836" s="350">
        <v>39992178.190042138</v>
      </c>
      <c r="O836" s="348">
        <v>121480444.674575</v>
      </c>
      <c r="P836" s="369"/>
      <c r="Q836" s="350">
        <f t="shared" si="333"/>
        <v>1163335.3005826585</v>
      </c>
      <c r="R836" s="350">
        <f t="shared" si="334"/>
        <v>3435447.0216331072</v>
      </c>
      <c r="S836" s="350">
        <f t="shared" si="335"/>
        <v>5476395.785191346</v>
      </c>
      <c r="T836" s="350">
        <f t="shared" si="336"/>
        <v>7280141.6095156483</v>
      </c>
      <c r="U836" s="350">
        <f t="shared" si="337"/>
        <v>8842292.1752076671</v>
      </c>
      <c r="V836" s="350">
        <f t="shared" si="338"/>
        <v>26197611.892130435</v>
      </c>
      <c r="W836" s="365"/>
      <c r="X836" s="377">
        <f t="shared" si="316"/>
        <v>0</v>
      </c>
      <c r="Y836" s="377">
        <f t="shared" si="317"/>
        <v>0</v>
      </c>
      <c r="Z836" s="377">
        <f t="shared" si="318"/>
        <v>0</v>
      </c>
      <c r="AA836" s="377">
        <f t="shared" si="319"/>
        <v>0</v>
      </c>
      <c r="AB836" s="377">
        <f t="shared" si="320"/>
        <v>0</v>
      </c>
      <c r="AC836" s="377">
        <f t="shared" si="321"/>
        <v>0</v>
      </c>
      <c r="AD836" s="376"/>
      <c r="AE836" s="332">
        <v>821</v>
      </c>
      <c r="AF836" s="350">
        <v>7023362.1231718753</v>
      </c>
      <c r="AG836" s="350">
        <v>14101879.921097025</v>
      </c>
      <c r="AH836" s="350">
        <v>21233968.320163876</v>
      </c>
      <c r="AI836" s="350">
        <v>28419863.800085075</v>
      </c>
      <c r="AJ836" s="350">
        <v>35660602.668042243</v>
      </c>
      <c r="AK836" s="348">
        <v>106439676.83256009</v>
      </c>
      <c r="AL836" s="369"/>
      <c r="AM836" s="350">
        <v>8444768.4901722129</v>
      </c>
      <c r="AN836" s="350">
        <v>18299795.397415653</v>
      </c>
      <c r="AO836" s="350">
        <v>27899520.590260658</v>
      </c>
      <c r="AP836" s="350">
        <v>37238274.842550851</v>
      </c>
      <c r="AQ836" s="350">
        <v>46313249.878978096</v>
      </c>
      <c r="AR836" s="348">
        <v>138195609.19937748</v>
      </c>
      <c r="AS836" s="369"/>
      <c r="AT836" s="350">
        <f t="shared" si="339"/>
        <v>1421406.3670003377</v>
      </c>
      <c r="AU836" s="350">
        <f t="shared" si="322"/>
        <v>4197915.4763186276</v>
      </c>
      <c r="AV836" s="350">
        <f t="shared" si="323"/>
        <v>6665552.2700967826</v>
      </c>
      <c r="AW836" s="350">
        <f t="shared" si="324"/>
        <v>8818411.0424657762</v>
      </c>
      <c r="AX836" s="350">
        <f t="shared" si="325"/>
        <v>10652647.210935853</v>
      </c>
      <c r="AY836" s="350">
        <f t="shared" si="326"/>
        <v>31755932.366817385</v>
      </c>
      <c r="AZ836" s="365"/>
      <c r="BA836" s="377">
        <f t="shared" si="327"/>
        <v>0</v>
      </c>
      <c r="BB836" s="377">
        <f t="shared" si="328"/>
        <v>0</v>
      </c>
      <c r="BC836" s="377">
        <f t="shared" si="329"/>
        <v>0</v>
      </c>
      <c r="BD836" s="377">
        <f t="shared" si="330"/>
        <v>0</v>
      </c>
      <c r="BE836" s="377">
        <f t="shared" si="331"/>
        <v>0</v>
      </c>
      <c r="BF836" s="377">
        <f t="shared" si="332"/>
        <v>0</v>
      </c>
      <c r="BG836" s="328"/>
    </row>
    <row r="837" spans="2:59">
      <c r="B837" s="332">
        <v>822</v>
      </c>
      <c r="C837" s="350">
        <v>7098014.1332218507</v>
      </c>
      <c r="D837" s="350">
        <v>13381276.206288643</v>
      </c>
      <c r="E837" s="350">
        <v>19711842.14818833</v>
      </c>
      <c r="F837" s="350">
        <v>26090147.410395805</v>
      </c>
      <c r="G837" s="350">
        <v>32517210.005186021</v>
      </c>
      <c r="H837" s="348">
        <v>98798489.903280646</v>
      </c>
      <c r="I837" s="369"/>
      <c r="J837" s="350">
        <v>8178779.0112409955</v>
      </c>
      <c r="K837" s="350">
        <v>16571029.644656818</v>
      </c>
      <c r="L837" s="350">
        <v>24765893.124098428</v>
      </c>
      <c r="M837" s="350">
        <v>32757323.862830184</v>
      </c>
      <c r="N837" s="350">
        <v>40541401.571797989</v>
      </c>
      <c r="O837" s="348">
        <v>122814427.21462443</v>
      </c>
      <c r="P837" s="369"/>
      <c r="Q837" s="350">
        <f t="shared" si="333"/>
        <v>1080764.8780191448</v>
      </c>
      <c r="R837" s="350">
        <f t="shared" si="334"/>
        <v>3189753.4383681752</v>
      </c>
      <c r="S837" s="350">
        <f t="shared" si="335"/>
        <v>5054050.9759100974</v>
      </c>
      <c r="T837" s="350">
        <f t="shared" si="336"/>
        <v>6667176.4524343796</v>
      </c>
      <c r="U837" s="350">
        <f t="shared" si="337"/>
        <v>8024191.566611968</v>
      </c>
      <c r="V837" s="350">
        <f t="shared" si="338"/>
        <v>24015937.311343789</v>
      </c>
      <c r="W837" s="365"/>
      <c r="X837" s="377">
        <f t="shared" si="316"/>
        <v>0</v>
      </c>
      <c r="Y837" s="377">
        <f t="shared" si="317"/>
        <v>0</v>
      </c>
      <c r="Z837" s="377">
        <f t="shared" si="318"/>
        <v>0</v>
      </c>
      <c r="AA837" s="377">
        <f t="shared" si="319"/>
        <v>0</v>
      </c>
      <c r="AB837" s="377">
        <f t="shared" si="320"/>
        <v>0</v>
      </c>
      <c r="AC837" s="377">
        <f t="shared" si="321"/>
        <v>0</v>
      </c>
      <c r="AD837" s="376"/>
      <c r="AE837" s="332">
        <v>822</v>
      </c>
      <c r="AF837" s="350">
        <v>6843719.3579757325</v>
      </c>
      <c r="AG837" s="350">
        <v>13741183.625069257</v>
      </c>
      <c r="AH837" s="350">
        <v>20690848.270503271</v>
      </c>
      <c r="AI837" s="350">
        <v>27692943.725338977</v>
      </c>
      <c r="AJ837" s="350">
        <v>34748479.790209636</v>
      </c>
      <c r="AK837" s="348">
        <v>103717174.76909688</v>
      </c>
      <c r="AL837" s="369"/>
      <c r="AM837" s="350">
        <v>8141442.3528821114</v>
      </c>
      <c r="AN837" s="350">
        <v>17572739.646894265</v>
      </c>
      <c r="AO837" s="350">
        <v>26752649.839791767</v>
      </c>
      <c r="AP837" s="350">
        <v>35675673.411504582</v>
      </c>
      <c r="AQ837" s="350">
        <v>44338985.474897787</v>
      </c>
      <c r="AR837" s="348">
        <v>132481490.72597052</v>
      </c>
      <c r="AS837" s="369"/>
      <c r="AT837" s="350">
        <f t="shared" si="339"/>
        <v>1297722.9949063789</v>
      </c>
      <c r="AU837" s="350">
        <f t="shared" si="322"/>
        <v>3831556.0218250081</v>
      </c>
      <c r="AV837" s="350">
        <f t="shared" si="323"/>
        <v>6061801.5692884959</v>
      </c>
      <c r="AW837" s="350">
        <f t="shared" si="324"/>
        <v>7982729.6861656047</v>
      </c>
      <c r="AX837" s="350">
        <f t="shared" si="325"/>
        <v>9590505.6846881509</v>
      </c>
      <c r="AY837" s="350">
        <f t="shared" si="326"/>
        <v>28764315.95687364</v>
      </c>
      <c r="AZ837" s="365"/>
      <c r="BA837" s="377">
        <f t="shared" si="327"/>
        <v>0</v>
      </c>
      <c r="BB837" s="377">
        <f t="shared" si="328"/>
        <v>0</v>
      </c>
      <c r="BC837" s="377">
        <f t="shared" si="329"/>
        <v>0</v>
      </c>
      <c r="BD837" s="377">
        <f t="shared" si="330"/>
        <v>0</v>
      </c>
      <c r="BE837" s="377">
        <f t="shared" si="331"/>
        <v>0</v>
      </c>
      <c r="BF837" s="377">
        <f t="shared" si="332"/>
        <v>0</v>
      </c>
      <c r="BG837" s="328"/>
    </row>
    <row r="838" spans="2:59">
      <c r="B838" s="332">
        <v>823</v>
      </c>
      <c r="C838" s="350">
        <v>6632293.2454660721</v>
      </c>
      <c r="D838" s="350">
        <v>12450112.331703715</v>
      </c>
      <c r="E838" s="350">
        <v>18311713.911391027</v>
      </c>
      <c r="F838" s="350">
        <v>24217516.866835617</v>
      </c>
      <c r="G838" s="350">
        <v>30168470.625028562</v>
      </c>
      <c r="H838" s="348">
        <v>91780106.980424985</v>
      </c>
      <c r="I838" s="369"/>
      <c r="J838" s="350">
        <v>7507675.6814161837</v>
      </c>
      <c r="K838" s="350">
        <v>15031912.671979945</v>
      </c>
      <c r="L838" s="350">
        <v>22364259.143193018</v>
      </c>
      <c r="M838" s="350">
        <v>29499386.028599098</v>
      </c>
      <c r="N838" s="350">
        <v>36433769.261395924</v>
      </c>
      <c r="O838" s="348">
        <v>110837002.78658417</v>
      </c>
      <c r="P838" s="369"/>
      <c r="Q838" s="350">
        <f t="shared" si="333"/>
        <v>875382.4359501116</v>
      </c>
      <c r="R838" s="350">
        <f t="shared" si="334"/>
        <v>2581800.3402762301</v>
      </c>
      <c r="S838" s="350">
        <f t="shared" si="335"/>
        <v>4052545.2318019904</v>
      </c>
      <c r="T838" s="350">
        <f t="shared" si="336"/>
        <v>5281869.1617634818</v>
      </c>
      <c r="U838" s="350">
        <f t="shared" si="337"/>
        <v>6265298.636367362</v>
      </c>
      <c r="V838" s="350">
        <f t="shared" si="338"/>
        <v>19056895.806159183</v>
      </c>
      <c r="W838" s="365"/>
      <c r="X838" s="377">
        <f t="shared" si="316"/>
        <v>0</v>
      </c>
      <c r="Y838" s="377">
        <f t="shared" si="317"/>
        <v>0</v>
      </c>
      <c r="Z838" s="377">
        <f t="shared" si="318"/>
        <v>0</v>
      </c>
      <c r="AA838" s="377">
        <f t="shared" si="319"/>
        <v>0</v>
      </c>
      <c r="AB838" s="377">
        <f t="shared" si="320"/>
        <v>0</v>
      </c>
      <c r="AC838" s="377">
        <f t="shared" si="321"/>
        <v>0</v>
      </c>
      <c r="AD838" s="376"/>
      <c r="AE838" s="332">
        <v>823</v>
      </c>
      <c r="AF838" s="350">
        <v>6316742.1757613691</v>
      </c>
      <c r="AG838" s="350">
        <v>12683090.817889765</v>
      </c>
      <c r="AH838" s="350">
        <v>19097620.326913267</v>
      </c>
      <c r="AI838" s="350">
        <v>25560543.390338</v>
      </c>
      <c r="AJ838" s="350">
        <v>32072792.05255615</v>
      </c>
      <c r="AK838" s="348">
        <v>95730788.76345855</v>
      </c>
      <c r="AL838" s="369"/>
      <c r="AM838" s="350">
        <v>7447877.8597915033</v>
      </c>
      <c r="AN838" s="350">
        <v>16021915.23778585</v>
      </c>
      <c r="AO838" s="350">
        <v>24361926.212043539</v>
      </c>
      <c r="AP838" s="350">
        <v>32462853.588300604</v>
      </c>
      <c r="AQ838" s="350">
        <v>40322022.488631785</v>
      </c>
      <c r="AR838" s="348">
        <v>120616595.38655327</v>
      </c>
      <c r="AS838" s="369"/>
      <c r="AT838" s="350">
        <f t="shared" si="339"/>
        <v>1131135.6840301342</v>
      </c>
      <c r="AU838" s="350">
        <f t="shared" si="322"/>
        <v>3338824.4198960848</v>
      </c>
      <c r="AV838" s="350">
        <f t="shared" si="323"/>
        <v>5264305.8851302713</v>
      </c>
      <c r="AW838" s="350">
        <f t="shared" si="324"/>
        <v>6902310.1979626045</v>
      </c>
      <c r="AX838" s="350">
        <f t="shared" si="325"/>
        <v>8249230.4360756353</v>
      </c>
      <c r="AY838" s="350">
        <f t="shared" si="326"/>
        <v>24885806.623094723</v>
      </c>
      <c r="AZ838" s="365"/>
      <c r="BA838" s="377">
        <f t="shared" si="327"/>
        <v>0</v>
      </c>
      <c r="BB838" s="377">
        <f t="shared" si="328"/>
        <v>0</v>
      </c>
      <c r="BC838" s="377">
        <f t="shared" si="329"/>
        <v>0</v>
      </c>
      <c r="BD838" s="377">
        <f t="shared" si="330"/>
        <v>0</v>
      </c>
      <c r="BE838" s="377">
        <f t="shared" si="331"/>
        <v>0</v>
      </c>
      <c r="BF838" s="377">
        <f t="shared" si="332"/>
        <v>0</v>
      </c>
      <c r="BG838" s="328"/>
    </row>
    <row r="839" spans="2:59">
      <c r="B839" s="332">
        <v>824</v>
      </c>
      <c r="C839" s="350">
        <v>9555535.422170721</v>
      </c>
      <c r="D839" s="350">
        <v>18125286.348273829</v>
      </c>
      <c r="E839" s="350">
        <v>26759591.145869993</v>
      </c>
      <c r="F839" s="350">
        <v>35459010.967456803</v>
      </c>
      <c r="G839" s="350">
        <v>44224920.027554467</v>
      </c>
      <c r="H839" s="348">
        <v>134124343.91132581</v>
      </c>
      <c r="I839" s="369"/>
      <c r="J839" s="350">
        <v>11403605.772690887</v>
      </c>
      <c r="K839" s="350">
        <v>23585018.84460422</v>
      </c>
      <c r="L839" s="350">
        <v>35505766.869080752</v>
      </c>
      <c r="M839" s="350">
        <v>47157580.11745958</v>
      </c>
      <c r="N839" s="350">
        <v>58535594.924728587</v>
      </c>
      <c r="O839" s="348">
        <v>176187566.52856404</v>
      </c>
      <c r="P839" s="369"/>
      <c r="Q839" s="350">
        <f t="shared" si="333"/>
        <v>1848070.3505201656</v>
      </c>
      <c r="R839" s="350">
        <f t="shared" si="334"/>
        <v>5459732.4963303916</v>
      </c>
      <c r="S839" s="350">
        <f t="shared" si="335"/>
        <v>8746175.7232107595</v>
      </c>
      <c r="T839" s="350">
        <f t="shared" si="336"/>
        <v>11698569.150002778</v>
      </c>
      <c r="U839" s="350">
        <f t="shared" si="337"/>
        <v>14310674.89717412</v>
      </c>
      <c r="V839" s="350">
        <f t="shared" si="338"/>
        <v>42063222.617238224</v>
      </c>
      <c r="W839" s="365"/>
      <c r="X839" s="377">
        <f t="shared" si="316"/>
        <v>0</v>
      </c>
      <c r="Y839" s="377">
        <f t="shared" si="317"/>
        <v>0</v>
      </c>
      <c r="Z839" s="377">
        <f t="shared" si="318"/>
        <v>0</v>
      </c>
      <c r="AA839" s="377">
        <f t="shared" si="319"/>
        <v>0</v>
      </c>
      <c r="AB839" s="377">
        <f t="shared" si="320"/>
        <v>0</v>
      </c>
      <c r="AC839" s="377">
        <f t="shared" si="321"/>
        <v>0</v>
      </c>
      <c r="AD839" s="376"/>
      <c r="AE839" s="332">
        <v>824</v>
      </c>
      <c r="AF839" s="350">
        <v>6802976.3377086902</v>
      </c>
      <c r="AG839" s="350">
        <v>13659377.622566115</v>
      </c>
      <c r="AH839" s="350">
        <v>20567668.518919073</v>
      </c>
      <c r="AI839" s="350">
        <v>27528078.085993223</v>
      </c>
      <c r="AJ839" s="350">
        <v>34541610.112730607</v>
      </c>
      <c r="AK839" s="348">
        <v>103099710.6779177</v>
      </c>
      <c r="AL839" s="369"/>
      <c r="AM839" s="350">
        <v>7968788.6183946291</v>
      </c>
      <c r="AN839" s="350">
        <v>17099827.059787098</v>
      </c>
      <c r="AO839" s="350">
        <v>25977255.616548635</v>
      </c>
      <c r="AP839" s="350">
        <v>34595642.633250177</v>
      </c>
      <c r="AQ839" s="350">
        <v>42952054.270070761</v>
      </c>
      <c r="AR839" s="348">
        <v>128593568.1980513</v>
      </c>
      <c r="AS839" s="369"/>
      <c r="AT839" s="350">
        <f t="shared" si="339"/>
        <v>1165812.2806859389</v>
      </c>
      <c r="AU839" s="350">
        <f t="shared" si="322"/>
        <v>3440449.4372209832</v>
      </c>
      <c r="AV839" s="350">
        <f t="shared" si="323"/>
        <v>5409587.097629562</v>
      </c>
      <c r="AW839" s="350">
        <f t="shared" si="324"/>
        <v>7067564.547256954</v>
      </c>
      <c r="AX839" s="350">
        <f t="shared" si="325"/>
        <v>8410444.1573401541</v>
      </c>
      <c r="AY839" s="350">
        <f t="shared" si="326"/>
        <v>25493857.5201336</v>
      </c>
      <c r="AZ839" s="365"/>
      <c r="BA839" s="377">
        <f t="shared" si="327"/>
        <v>0</v>
      </c>
      <c r="BB839" s="377">
        <f t="shared" si="328"/>
        <v>0</v>
      </c>
      <c r="BC839" s="377">
        <f t="shared" si="329"/>
        <v>0</v>
      </c>
      <c r="BD839" s="377">
        <f t="shared" si="330"/>
        <v>0</v>
      </c>
      <c r="BE839" s="377">
        <f t="shared" si="331"/>
        <v>0</v>
      </c>
      <c r="BF839" s="377">
        <f t="shared" si="332"/>
        <v>0</v>
      </c>
      <c r="BG839" s="328"/>
    </row>
    <row r="840" spans="2:59">
      <c r="B840" s="332">
        <v>825</v>
      </c>
      <c r="C840" s="350">
        <v>11476178.521026878</v>
      </c>
      <c r="D840" s="350">
        <v>21593249.836762574</v>
      </c>
      <c r="E840" s="350">
        <v>31786474.485498518</v>
      </c>
      <c r="F840" s="350">
        <v>42056565.946349427</v>
      </c>
      <c r="G840" s="350">
        <v>52405168.749689832</v>
      </c>
      <c r="H840" s="348">
        <v>159317637.5393272</v>
      </c>
      <c r="I840" s="369"/>
      <c r="J840" s="350">
        <v>13656281.401315311</v>
      </c>
      <c r="K840" s="350">
        <v>28033878.982206874</v>
      </c>
      <c r="L840" s="350">
        <v>42099094.291053176</v>
      </c>
      <c r="M840" s="350">
        <v>55842394.030606821</v>
      </c>
      <c r="N840" s="350">
        <v>69258241.996984452</v>
      </c>
      <c r="O840" s="348">
        <v>208889890.70216665</v>
      </c>
      <c r="P840" s="369"/>
      <c r="Q840" s="350">
        <f t="shared" si="333"/>
        <v>2180102.8802884333</v>
      </c>
      <c r="R840" s="350">
        <f t="shared" si="334"/>
        <v>6440629.1454443</v>
      </c>
      <c r="S840" s="350">
        <f t="shared" si="335"/>
        <v>10312619.805554658</v>
      </c>
      <c r="T840" s="350">
        <f t="shared" si="336"/>
        <v>13785828.084257394</v>
      </c>
      <c r="U840" s="350">
        <f t="shared" si="337"/>
        <v>16853073.24729462</v>
      </c>
      <c r="V840" s="350">
        <f t="shared" si="338"/>
        <v>49572253.162839442</v>
      </c>
      <c r="W840" s="365"/>
      <c r="X840" s="377">
        <f t="shared" si="316"/>
        <v>0</v>
      </c>
      <c r="Y840" s="377">
        <f t="shared" si="317"/>
        <v>0</v>
      </c>
      <c r="Z840" s="377">
        <f t="shared" si="318"/>
        <v>0</v>
      </c>
      <c r="AA840" s="377">
        <f t="shared" si="319"/>
        <v>0</v>
      </c>
      <c r="AB840" s="377">
        <f t="shared" si="320"/>
        <v>0</v>
      </c>
      <c r="AC840" s="377">
        <f t="shared" si="321"/>
        <v>0</v>
      </c>
      <c r="AD840" s="376"/>
      <c r="AE840" s="332">
        <v>825</v>
      </c>
      <c r="AF840" s="350">
        <v>4592024.9407358998</v>
      </c>
      <c r="AG840" s="350">
        <v>9220111.8457630239</v>
      </c>
      <c r="AH840" s="350">
        <v>13883224.359924167</v>
      </c>
      <c r="AI840" s="350">
        <v>18581517.098732445</v>
      </c>
      <c r="AJ840" s="350">
        <v>23315667.622071687</v>
      </c>
      <c r="AK840" s="348">
        <v>69592545.867227226</v>
      </c>
      <c r="AL840" s="369"/>
      <c r="AM840" s="350">
        <v>5537183.7506094687</v>
      </c>
      <c r="AN840" s="350">
        <v>12011695.263012389</v>
      </c>
      <c r="AO840" s="350">
        <v>18319758.632142559</v>
      </c>
      <c r="AP840" s="350">
        <v>24457662.723776802</v>
      </c>
      <c r="AQ840" s="350">
        <v>30423587.441898223</v>
      </c>
      <c r="AR840" s="348">
        <v>90749887.81143944</v>
      </c>
      <c r="AS840" s="369"/>
      <c r="AT840" s="350">
        <f t="shared" si="339"/>
        <v>945158.80987356883</v>
      </c>
      <c r="AU840" s="350">
        <f t="shared" si="322"/>
        <v>2791583.4172493648</v>
      </c>
      <c r="AV840" s="350">
        <f t="shared" si="323"/>
        <v>4436534.2722183913</v>
      </c>
      <c r="AW840" s="350">
        <f t="shared" si="324"/>
        <v>5876145.625044357</v>
      </c>
      <c r="AX840" s="350">
        <f t="shared" si="325"/>
        <v>7107919.8198265359</v>
      </c>
      <c r="AY840" s="350">
        <f t="shared" si="326"/>
        <v>21157341.944212213</v>
      </c>
      <c r="AZ840" s="365"/>
      <c r="BA840" s="377">
        <f t="shared" si="327"/>
        <v>0</v>
      </c>
      <c r="BB840" s="377">
        <f t="shared" si="328"/>
        <v>0</v>
      </c>
      <c r="BC840" s="377">
        <f t="shared" si="329"/>
        <v>0</v>
      </c>
      <c r="BD840" s="377">
        <f t="shared" si="330"/>
        <v>0</v>
      </c>
      <c r="BE840" s="377">
        <f t="shared" si="331"/>
        <v>0</v>
      </c>
      <c r="BF840" s="377">
        <f t="shared" si="332"/>
        <v>0</v>
      </c>
      <c r="BG840" s="328"/>
    </row>
    <row r="841" spans="2:59">
      <c r="B841" s="332">
        <v>826</v>
      </c>
      <c r="C841" s="350">
        <v>6085942.7452572193</v>
      </c>
      <c r="D841" s="350">
        <v>11315124.97943691</v>
      </c>
      <c r="E841" s="350">
        <v>16583624.038579904</v>
      </c>
      <c r="F841" s="350">
        <v>21891848.984238394</v>
      </c>
      <c r="G841" s="350">
        <v>27240667.349267144</v>
      </c>
      <c r="H841" s="348">
        <v>83117208.09677957</v>
      </c>
      <c r="I841" s="369"/>
      <c r="J841" s="350">
        <v>7277070.1841486059</v>
      </c>
      <c r="K841" s="350">
        <v>14834767.79570334</v>
      </c>
      <c r="L841" s="350">
        <v>22232382.926970471</v>
      </c>
      <c r="M841" s="350">
        <v>29465019.045371667</v>
      </c>
      <c r="N841" s="350">
        <v>36529906.728260465</v>
      </c>
      <c r="O841" s="348">
        <v>110339146.68045455</v>
      </c>
      <c r="P841" s="369"/>
      <c r="Q841" s="350">
        <f t="shared" si="333"/>
        <v>1191127.4388913866</v>
      </c>
      <c r="R841" s="350">
        <f t="shared" si="334"/>
        <v>3519642.8162664305</v>
      </c>
      <c r="S841" s="350">
        <f t="shared" si="335"/>
        <v>5648758.8883905672</v>
      </c>
      <c r="T841" s="350">
        <f t="shared" si="336"/>
        <v>7573170.0611332729</v>
      </c>
      <c r="U841" s="350">
        <f t="shared" si="337"/>
        <v>9289239.3789933212</v>
      </c>
      <c r="V841" s="350">
        <f t="shared" si="338"/>
        <v>27221938.583674982</v>
      </c>
      <c r="W841" s="365"/>
      <c r="X841" s="377">
        <f t="shared" si="316"/>
        <v>0</v>
      </c>
      <c r="Y841" s="377">
        <f t="shared" si="317"/>
        <v>0</v>
      </c>
      <c r="Z841" s="377">
        <f t="shared" si="318"/>
        <v>0</v>
      </c>
      <c r="AA841" s="377">
        <f t="shared" si="319"/>
        <v>0</v>
      </c>
      <c r="AB841" s="377">
        <f t="shared" si="320"/>
        <v>0</v>
      </c>
      <c r="AC841" s="377">
        <f t="shared" si="321"/>
        <v>0</v>
      </c>
      <c r="AD841" s="376"/>
      <c r="AE841" s="332">
        <v>826</v>
      </c>
      <c r="AF841" s="350">
        <v>6647784.6600128748</v>
      </c>
      <c r="AG841" s="350">
        <v>13347775.52014859</v>
      </c>
      <c r="AH841" s="350">
        <v>20098472.269323193</v>
      </c>
      <c r="AI841" s="350">
        <v>26900098.741389833</v>
      </c>
      <c r="AJ841" s="350">
        <v>33753635.826535329</v>
      </c>
      <c r="AK841" s="348">
        <v>100747767.01740983</v>
      </c>
      <c r="AL841" s="369"/>
      <c r="AM841" s="350">
        <v>7753992.3482855642</v>
      </c>
      <c r="AN841" s="350">
        <v>16611843.218644723</v>
      </c>
      <c r="AO841" s="350">
        <v>25220880.983194619</v>
      </c>
      <c r="AP841" s="350">
        <v>33575807.231541686</v>
      </c>
      <c r="AQ841" s="350">
        <v>41673721.620463274</v>
      </c>
      <c r="AR841" s="348">
        <v>124836245.40212986</v>
      </c>
      <c r="AS841" s="369"/>
      <c r="AT841" s="350">
        <f t="shared" si="339"/>
        <v>1106207.6882726895</v>
      </c>
      <c r="AU841" s="350">
        <f t="shared" si="322"/>
        <v>3264067.6984961331</v>
      </c>
      <c r="AV841" s="350">
        <f t="shared" si="323"/>
        <v>5122408.7138714269</v>
      </c>
      <c r="AW841" s="350">
        <f t="shared" si="324"/>
        <v>6675708.4901518524</v>
      </c>
      <c r="AX841" s="350">
        <f t="shared" si="325"/>
        <v>7920085.7939279452</v>
      </c>
      <c r="AY841" s="350">
        <f t="shared" si="326"/>
        <v>24088478.384720027</v>
      </c>
      <c r="AZ841" s="365"/>
      <c r="BA841" s="377">
        <f t="shared" si="327"/>
        <v>0</v>
      </c>
      <c r="BB841" s="377">
        <f t="shared" si="328"/>
        <v>0</v>
      </c>
      <c r="BC841" s="377">
        <f t="shared" si="329"/>
        <v>0</v>
      </c>
      <c r="BD841" s="377">
        <f t="shared" si="330"/>
        <v>0</v>
      </c>
      <c r="BE841" s="377">
        <f t="shared" si="331"/>
        <v>0</v>
      </c>
      <c r="BF841" s="377">
        <f t="shared" si="332"/>
        <v>0</v>
      </c>
      <c r="BG841" s="328"/>
    </row>
    <row r="842" spans="2:59">
      <c r="B842" s="332">
        <v>827</v>
      </c>
      <c r="C842" s="350">
        <v>8788381.1498742215</v>
      </c>
      <c r="D842" s="350">
        <v>16393962.678328281</v>
      </c>
      <c r="E842" s="350">
        <v>24056746.737676799</v>
      </c>
      <c r="F842" s="350">
        <v>31777311.753857903</v>
      </c>
      <c r="G842" s="350">
        <v>39556912.315939933</v>
      </c>
      <c r="H842" s="348">
        <v>120573314.63567713</v>
      </c>
      <c r="I842" s="369"/>
      <c r="J842" s="350">
        <v>9975982.2196290866</v>
      </c>
      <c r="K842" s="350">
        <v>19897295.078252271</v>
      </c>
      <c r="L842" s="350">
        <v>29571597.324516632</v>
      </c>
      <c r="M842" s="350">
        <v>38991825.600288048</v>
      </c>
      <c r="N842" s="350">
        <v>48153310.577238724</v>
      </c>
      <c r="O842" s="348">
        <v>146590010.79992476</v>
      </c>
      <c r="P842" s="369"/>
      <c r="Q842" s="350">
        <f t="shared" si="333"/>
        <v>1187601.069754865</v>
      </c>
      <c r="R842" s="350">
        <f t="shared" si="334"/>
        <v>3503332.3999239895</v>
      </c>
      <c r="S842" s="350">
        <f t="shared" si="335"/>
        <v>5514850.5868398324</v>
      </c>
      <c r="T842" s="350">
        <f t="shared" si="336"/>
        <v>7214513.8464301452</v>
      </c>
      <c r="U842" s="350">
        <f t="shared" si="337"/>
        <v>8596398.2612987906</v>
      </c>
      <c r="V842" s="350">
        <f t="shared" si="338"/>
        <v>26016696.164247632</v>
      </c>
      <c r="W842" s="365"/>
      <c r="X842" s="377">
        <f t="shared" si="316"/>
        <v>0</v>
      </c>
      <c r="Y842" s="377">
        <f t="shared" si="317"/>
        <v>0</v>
      </c>
      <c r="Z842" s="377">
        <f t="shared" si="318"/>
        <v>0</v>
      </c>
      <c r="AA842" s="377">
        <f t="shared" si="319"/>
        <v>0</v>
      </c>
      <c r="AB842" s="377">
        <f t="shared" si="320"/>
        <v>0</v>
      </c>
      <c r="AC842" s="377">
        <f t="shared" si="321"/>
        <v>0</v>
      </c>
      <c r="AD842" s="376"/>
      <c r="AE842" s="332">
        <v>827</v>
      </c>
      <c r="AF842" s="350">
        <v>5768055.496761702</v>
      </c>
      <c r="AG842" s="350">
        <v>11581408.528715074</v>
      </c>
      <c r="AH842" s="350">
        <v>17438757.327220302</v>
      </c>
      <c r="AI842" s="350">
        <v>23340296.10526007</v>
      </c>
      <c r="AJ842" s="350">
        <v>29286875.947718006</v>
      </c>
      <c r="AK842" s="348">
        <v>87415393.405675158</v>
      </c>
      <c r="AL842" s="369"/>
      <c r="AM842" s="350">
        <v>6397740.7794917636</v>
      </c>
      <c r="AN842" s="350">
        <v>13434450.028403118</v>
      </c>
      <c r="AO842" s="350">
        <v>20245385.054167915</v>
      </c>
      <c r="AP842" s="350">
        <v>26826041.981159166</v>
      </c>
      <c r="AQ842" s="350">
        <v>33173569.93305818</v>
      </c>
      <c r="AR842" s="348">
        <v>100077187.77628013</v>
      </c>
      <c r="AS842" s="369"/>
      <c r="AT842" s="350">
        <f t="shared" si="339"/>
        <v>629685.28273006156</v>
      </c>
      <c r="AU842" s="350">
        <f t="shared" si="322"/>
        <v>1853041.4996880442</v>
      </c>
      <c r="AV842" s="350">
        <f t="shared" si="323"/>
        <v>2806627.7269476131</v>
      </c>
      <c r="AW842" s="350">
        <f t="shared" si="324"/>
        <v>3485745.8758990951</v>
      </c>
      <c r="AX842" s="350">
        <f t="shared" si="325"/>
        <v>3886693.9853401743</v>
      </c>
      <c r="AY842" s="350">
        <f t="shared" si="326"/>
        <v>12661794.370604977</v>
      </c>
      <c r="AZ842" s="365"/>
      <c r="BA842" s="377">
        <f t="shared" si="327"/>
        <v>0</v>
      </c>
      <c r="BB842" s="377">
        <f t="shared" si="328"/>
        <v>0</v>
      </c>
      <c r="BC842" s="377">
        <f t="shared" si="329"/>
        <v>0</v>
      </c>
      <c r="BD842" s="377">
        <f t="shared" si="330"/>
        <v>0</v>
      </c>
      <c r="BE842" s="377">
        <f t="shared" si="331"/>
        <v>0</v>
      </c>
      <c r="BF842" s="377">
        <f t="shared" si="332"/>
        <v>0</v>
      </c>
      <c r="BG842" s="328"/>
    </row>
    <row r="843" spans="2:59">
      <c r="B843" s="332">
        <v>828</v>
      </c>
      <c r="C843" s="350">
        <v>11469229.98868599</v>
      </c>
      <c r="D843" s="350">
        <v>21726807.563908156</v>
      </c>
      <c r="E843" s="350">
        <v>32061643.888750747</v>
      </c>
      <c r="F843" s="350">
        <v>42474418.917589664</v>
      </c>
      <c r="G843" s="350">
        <v>52966781.122238979</v>
      </c>
      <c r="H843" s="348">
        <v>160698881.48117352</v>
      </c>
      <c r="I843" s="369"/>
      <c r="J843" s="350">
        <v>13354255.71546877</v>
      </c>
      <c r="K843" s="350">
        <v>27291952.555791769</v>
      </c>
      <c r="L843" s="350">
        <v>40897273.03087157</v>
      </c>
      <c r="M843" s="350">
        <v>54160813.466525361</v>
      </c>
      <c r="N843" s="350">
        <v>67076834.628602177</v>
      </c>
      <c r="O843" s="348">
        <v>202781129.39725962</v>
      </c>
      <c r="P843" s="369"/>
      <c r="Q843" s="350">
        <f t="shared" si="333"/>
        <v>1885025.7267827801</v>
      </c>
      <c r="R843" s="350">
        <f t="shared" si="334"/>
        <v>5565144.9918836132</v>
      </c>
      <c r="S843" s="350">
        <f t="shared" si="335"/>
        <v>8835629.1421208233</v>
      </c>
      <c r="T843" s="350">
        <f t="shared" si="336"/>
        <v>11686394.548935696</v>
      </c>
      <c r="U843" s="350">
        <f t="shared" si="337"/>
        <v>14110053.506363198</v>
      </c>
      <c r="V843" s="350">
        <f t="shared" si="338"/>
        <v>42082247.916086107</v>
      </c>
      <c r="W843" s="365"/>
      <c r="X843" s="377">
        <f t="shared" si="316"/>
        <v>0</v>
      </c>
      <c r="Y843" s="377">
        <f t="shared" si="317"/>
        <v>0</v>
      </c>
      <c r="Z843" s="377">
        <f t="shared" si="318"/>
        <v>0</v>
      </c>
      <c r="AA843" s="377">
        <f t="shared" si="319"/>
        <v>0</v>
      </c>
      <c r="AB843" s="377">
        <f t="shared" si="320"/>
        <v>0</v>
      </c>
      <c r="AC843" s="377">
        <f t="shared" si="321"/>
        <v>0</v>
      </c>
      <c r="AD843" s="376"/>
      <c r="AE843" s="332">
        <v>828</v>
      </c>
      <c r="AF843" s="350">
        <v>6432083.5878456719</v>
      </c>
      <c r="AG843" s="350">
        <v>12914679.438071582</v>
      </c>
      <c r="AH843" s="350">
        <v>19446335.920278542</v>
      </c>
      <c r="AI843" s="350">
        <v>26027269.605569091</v>
      </c>
      <c r="AJ843" s="350">
        <v>32658429.557126641</v>
      </c>
      <c r="AK843" s="348">
        <v>97478798.108891532</v>
      </c>
      <c r="AL843" s="369"/>
      <c r="AM843" s="350">
        <v>7866279.3048052676</v>
      </c>
      <c r="AN843" s="350">
        <v>17152002.567052837</v>
      </c>
      <c r="AO843" s="350">
        <v>26207884.334634434</v>
      </c>
      <c r="AP843" s="350">
        <v>35028695.195894212</v>
      </c>
      <c r="AQ843" s="350">
        <v>43611997.441588677</v>
      </c>
      <c r="AR843" s="348">
        <v>129866858.84397542</v>
      </c>
      <c r="AS843" s="369"/>
      <c r="AT843" s="350">
        <f t="shared" si="339"/>
        <v>1434195.7169595957</v>
      </c>
      <c r="AU843" s="350">
        <f t="shared" si="322"/>
        <v>4237323.128981255</v>
      </c>
      <c r="AV843" s="350">
        <f t="shared" si="323"/>
        <v>6761548.4143558927</v>
      </c>
      <c r="AW843" s="350">
        <f t="shared" si="324"/>
        <v>9001425.5903251208</v>
      </c>
      <c r="AX843" s="350">
        <f t="shared" si="325"/>
        <v>10953567.884462036</v>
      </c>
      <c r="AY843" s="350">
        <f t="shared" si="326"/>
        <v>32388060.735083893</v>
      </c>
      <c r="AZ843" s="365"/>
      <c r="BA843" s="377">
        <f t="shared" si="327"/>
        <v>0</v>
      </c>
      <c r="BB843" s="377">
        <f t="shared" si="328"/>
        <v>0</v>
      </c>
      <c r="BC843" s="377">
        <f t="shared" si="329"/>
        <v>0</v>
      </c>
      <c r="BD843" s="377">
        <f t="shared" si="330"/>
        <v>0</v>
      </c>
      <c r="BE843" s="377">
        <f t="shared" si="331"/>
        <v>0</v>
      </c>
      <c r="BF843" s="377">
        <f t="shared" si="332"/>
        <v>0</v>
      </c>
      <c r="BG843" s="328"/>
    </row>
    <row r="844" spans="2:59">
      <c r="B844" s="332">
        <v>829</v>
      </c>
      <c r="C844" s="350">
        <v>11218224.517732639</v>
      </c>
      <c r="D844" s="350">
        <v>21363494.935336754</v>
      </c>
      <c r="E844" s="350">
        <v>31585214.263550404</v>
      </c>
      <c r="F844" s="350">
        <v>41884022.258164659</v>
      </c>
      <c r="G844" s="350">
        <v>52261535.091179788</v>
      </c>
      <c r="H844" s="348">
        <v>158312491.06596425</v>
      </c>
      <c r="I844" s="369"/>
      <c r="J844" s="350">
        <v>12417517.039117953</v>
      </c>
      <c r="K844" s="350">
        <v>24895225.817529358</v>
      </c>
      <c r="L844" s="350">
        <v>37019919.883303143</v>
      </c>
      <c r="M844" s="350">
        <v>48782621.551594436</v>
      </c>
      <c r="N844" s="350">
        <v>60177140.945176736</v>
      </c>
      <c r="O844" s="348">
        <v>183292425.23672163</v>
      </c>
      <c r="P844" s="369"/>
      <c r="Q844" s="350">
        <f t="shared" si="333"/>
        <v>1199292.5213853139</v>
      </c>
      <c r="R844" s="350">
        <f t="shared" si="334"/>
        <v>3531730.8821926042</v>
      </c>
      <c r="S844" s="350">
        <f t="shared" si="335"/>
        <v>5434705.6197527386</v>
      </c>
      <c r="T844" s="350">
        <f t="shared" si="336"/>
        <v>6898599.293429777</v>
      </c>
      <c r="U844" s="350">
        <f t="shared" si="337"/>
        <v>7915605.8539969474</v>
      </c>
      <c r="V844" s="350">
        <f t="shared" si="338"/>
        <v>24979934.170757383</v>
      </c>
      <c r="W844" s="365"/>
      <c r="X844" s="377">
        <f t="shared" si="316"/>
        <v>0</v>
      </c>
      <c r="Y844" s="377">
        <f t="shared" si="317"/>
        <v>0</v>
      </c>
      <c r="Z844" s="377">
        <f t="shared" si="318"/>
        <v>0</v>
      </c>
      <c r="AA844" s="377">
        <f t="shared" si="319"/>
        <v>0</v>
      </c>
      <c r="AB844" s="377">
        <f t="shared" si="320"/>
        <v>0</v>
      </c>
      <c r="AC844" s="377">
        <f t="shared" si="321"/>
        <v>0</v>
      </c>
      <c r="AD844" s="376"/>
      <c r="AE844" s="332">
        <v>829</v>
      </c>
      <c r="AF844" s="350">
        <v>9255002.5317007545</v>
      </c>
      <c r="AG844" s="350">
        <v>18582686.195390284</v>
      </c>
      <c r="AH844" s="350">
        <v>27980962.267743383</v>
      </c>
      <c r="AI844" s="350">
        <v>37450142.368793428</v>
      </c>
      <c r="AJ844" s="350">
        <v>46991592.087473653</v>
      </c>
      <c r="AK844" s="348">
        <v>140260385.45110151</v>
      </c>
      <c r="AL844" s="369"/>
      <c r="AM844" s="350">
        <v>10956960.207471963</v>
      </c>
      <c r="AN844" s="350">
        <v>23607055.367244974</v>
      </c>
      <c r="AO844" s="350">
        <v>35915603.572610185</v>
      </c>
      <c r="AP844" s="350">
        <v>47875182.619064465</v>
      </c>
      <c r="AQ844" s="350">
        <v>59481918.636962548</v>
      </c>
      <c r="AR844" s="348">
        <v>177836720.40335414</v>
      </c>
      <c r="AS844" s="369"/>
      <c r="AT844" s="350">
        <f t="shared" si="339"/>
        <v>1701957.6757712085</v>
      </c>
      <c r="AU844" s="350">
        <f t="shared" si="322"/>
        <v>5024369.1718546897</v>
      </c>
      <c r="AV844" s="350">
        <f t="shared" si="323"/>
        <v>7934641.3048668019</v>
      </c>
      <c r="AW844" s="350">
        <f t="shared" si="324"/>
        <v>10425040.250271037</v>
      </c>
      <c r="AX844" s="350">
        <f t="shared" si="325"/>
        <v>12490326.549488895</v>
      </c>
      <c r="AY844" s="350">
        <f t="shared" si="326"/>
        <v>37576334.952252626</v>
      </c>
      <c r="AZ844" s="365"/>
      <c r="BA844" s="377">
        <f t="shared" si="327"/>
        <v>0</v>
      </c>
      <c r="BB844" s="377">
        <f t="shared" si="328"/>
        <v>0</v>
      </c>
      <c r="BC844" s="377">
        <f t="shared" si="329"/>
        <v>0</v>
      </c>
      <c r="BD844" s="377">
        <f t="shared" si="330"/>
        <v>0</v>
      </c>
      <c r="BE844" s="377">
        <f t="shared" si="331"/>
        <v>0</v>
      </c>
      <c r="BF844" s="377">
        <f t="shared" si="332"/>
        <v>0</v>
      </c>
      <c r="BG844" s="328"/>
    </row>
    <row r="845" spans="2:59">
      <c r="B845" s="332">
        <v>830</v>
      </c>
      <c r="C845" s="350">
        <v>7212032.7586943526</v>
      </c>
      <c r="D845" s="350">
        <v>13559518.702759217</v>
      </c>
      <c r="E845" s="350">
        <v>19954780.112612732</v>
      </c>
      <c r="F845" s="350">
        <v>26398267.718840957</v>
      </c>
      <c r="G845" s="350">
        <v>32891014.650570795</v>
      </c>
      <c r="H845" s="348">
        <v>100015613.94347806</v>
      </c>
      <c r="I845" s="369"/>
      <c r="J845" s="350">
        <v>8358875.0695478003</v>
      </c>
      <c r="K845" s="350">
        <v>16945078.984663703</v>
      </c>
      <c r="L845" s="350">
        <v>25328532.324005786</v>
      </c>
      <c r="M845" s="350">
        <v>33503320.583211064</v>
      </c>
      <c r="N845" s="350">
        <v>41465749.164640538</v>
      </c>
      <c r="O845" s="348">
        <v>125601556.12606889</v>
      </c>
      <c r="P845" s="369"/>
      <c r="Q845" s="350">
        <f t="shared" si="333"/>
        <v>1146842.3108534478</v>
      </c>
      <c r="R845" s="350">
        <f t="shared" si="334"/>
        <v>3385560.2819044851</v>
      </c>
      <c r="S845" s="350">
        <f t="shared" si="335"/>
        <v>5373752.2113930546</v>
      </c>
      <c r="T845" s="350">
        <f t="shared" si="336"/>
        <v>7105052.8643701077</v>
      </c>
      <c r="U845" s="350">
        <f t="shared" si="337"/>
        <v>8574734.5140697435</v>
      </c>
      <c r="V845" s="350">
        <f t="shared" si="338"/>
        <v>25585942.182590827</v>
      </c>
      <c r="W845" s="365"/>
      <c r="X845" s="377">
        <f t="shared" si="316"/>
        <v>0</v>
      </c>
      <c r="Y845" s="377">
        <f t="shared" si="317"/>
        <v>0</v>
      </c>
      <c r="Z845" s="377">
        <f t="shared" si="318"/>
        <v>0</v>
      </c>
      <c r="AA845" s="377">
        <f t="shared" si="319"/>
        <v>0</v>
      </c>
      <c r="AB845" s="377">
        <f t="shared" si="320"/>
        <v>0</v>
      </c>
      <c r="AC845" s="377">
        <f t="shared" si="321"/>
        <v>0</v>
      </c>
      <c r="AD845" s="376"/>
      <c r="AE845" s="332">
        <v>830</v>
      </c>
      <c r="AF845" s="350">
        <v>6995449.7406886239</v>
      </c>
      <c r="AG845" s="350">
        <v>14045835.955374127</v>
      </c>
      <c r="AH845" s="350">
        <v>21149579.869875342</v>
      </c>
      <c r="AI845" s="350">
        <v>28306917.024082638</v>
      </c>
      <c r="AJ845" s="350">
        <v>35518879.606665462</v>
      </c>
      <c r="AK845" s="348">
        <v>106016662.19668619</v>
      </c>
      <c r="AL845" s="369"/>
      <c r="AM845" s="350">
        <v>8274423.6358540896</v>
      </c>
      <c r="AN845" s="350">
        <v>17821408.327175185</v>
      </c>
      <c r="AO845" s="350">
        <v>27110009.220446248</v>
      </c>
      <c r="AP845" s="350">
        <v>36134618.307704911</v>
      </c>
      <c r="AQ845" s="350">
        <v>44892299.944735669</v>
      </c>
      <c r="AR845" s="348">
        <v>134232759.4359161</v>
      </c>
      <c r="AS845" s="369"/>
      <c r="AT845" s="350">
        <f t="shared" si="339"/>
        <v>1278973.8951654658</v>
      </c>
      <c r="AU845" s="350">
        <f t="shared" si="322"/>
        <v>3775572.3718010578</v>
      </c>
      <c r="AV845" s="350">
        <f t="shared" si="323"/>
        <v>5960429.350570906</v>
      </c>
      <c r="AW845" s="350">
        <f t="shared" si="324"/>
        <v>7827701.2836222723</v>
      </c>
      <c r="AX845" s="350">
        <f t="shared" si="325"/>
        <v>9373420.3380702063</v>
      </c>
      <c r="AY845" s="350">
        <f t="shared" si="326"/>
        <v>28216097.239229903</v>
      </c>
      <c r="AZ845" s="365"/>
      <c r="BA845" s="377">
        <f t="shared" si="327"/>
        <v>0</v>
      </c>
      <c r="BB845" s="377">
        <f t="shared" si="328"/>
        <v>0</v>
      </c>
      <c r="BC845" s="377">
        <f t="shared" si="329"/>
        <v>0</v>
      </c>
      <c r="BD845" s="377">
        <f t="shared" si="330"/>
        <v>0</v>
      </c>
      <c r="BE845" s="377">
        <f t="shared" si="331"/>
        <v>0</v>
      </c>
      <c r="BF845" s="377">
        <f t="shared" si="332"/>
        <v>0</v>
      </c>
      <c r="BG845" s="328"/>
    </row>
    <row r="846" spans="2:59">
      <c r="B846" s="332">
        <v>831</v>
      </c>
      <c r="C846" s="350">
        <v>7828533.9706298076</v>
      </c>
      <c r="D846" s="350">
        <v>14616039.692269046</v>
      </c>
      <c r="E846" s="350">
        <v>21454599.27426929</v>
      </c>
      <c r="F846" s="350">
        <v>28344725.127107944</v>
      </c>
      <c r="G846" s="350">
        <v>35287535.240329154</v>
      </c>
      <c r="H846" s="348">
        <v>107531433.30460525</v>
      </c>
      <c r="I846" s="369"/>
      <c r="J846" s="350">
        <v>8937243.9851463363</v>
      </c>
      <c r="K846" s="350">
        <v>17887427.357080847</v>
      </c>
      <c r="L846" s="350">
        <v>26614813.966520317</v>
      </c>
      <c r="M846" s="350">
        <v>35113241.026118964</v>
      </c>
      <c r="N846" s="350">
        <v>43378753.733506352</v>
      </c>
      <c r="O846" s="348">
        <v>131931480.06837282</v>
      </c>
      <c r="P846" s="369"/>
      <c r="Q846" s="350">
        <f t="shared" si="333"/>
        <v>1108710.0145165287</v>
      </c>
      <c r="R846" s="350">
        <f t="shared" si="334"/>
        <v>3271387.6648118012</v>
      </c>
      <c r="S846" s="350">
        <f t="shared" si="335"/>
        <v>5160214.6922510266</v>
      </c>
      <c r="T846" s="350">
        <f t="shared" si="336"/>
        <v>6768515.8990110196</v>
      </c>
      <c r="U846" s="350">
        <f t="shared" si="337"/>
        <v>8091218.4931771979</v>
      </c>
      <c r="V846" s="350">
        <f t="shared" si="338"/>
        <v>24400046.76376757</v>
      </c>
      <c r="W846" s="365"/>
      <c r="X846" s="377">
        <f t="shared" si="316"/>
        <v>0</v>
      </c>
      <c r="Y846" s="377">
        <f t="shared" si="317"/>
        <v>0</v>
      </c>
      <c r="Z846" s="377">
        <f t="shared" si="318"/>
        <v>0</v>
      </c>
      <c r="AA846" s="377">
        <f t="shared" si="319"/>
        <v>0</v>
      </c>
      <c r="AB846" s="377">
        <f t="shared" si="320"/>
        <v>0</v>
      </c>
      <c r="AC846" s="377">
        <f t="shared" si="321"/>
        <v>0</v>
      </c>
      <c r="AD846" s="376"/>
      <c r="AE846" s="332">
        <v>831</v>
      </c>
      <c r="AF846" s="350">
        <v>5732896.8975390969</v>
      </c>
      <c r="AG846" s="350">
        <v>11510815.223722957</v>
      </c>
      <c r="AH846" s="350">
        <v>17332461.144710924</v>
      </c>
      <c r="AI846" s="350">
        <v>23198027.689680077</v>
      </c>
      <c r="AJ846" s="350">
        <v>29108360.755812164</v>
      </c>
      <c r="AK846" s="348">
        <v>86882561.711465225</v>
      </c>
      <c r="AL846" s="369"/>
      <c r="AM846" s="350">
        <v>6878757.1220220961</v>
      </c>
      <c r="AN846" s="350">
        <v>14894767.919864841</v>
      </c>
      <c r="AO846" s="350">
        <v>22701955.235610224</v>
      </c>
      <c r="AP846" s="350">
        <v>30295695.56754899</v>
      </c>
      <c r="AQ846" s="350">
        <v>37673682.06797792</v>
      </c>
      <c r="AR846" s="348">
        <v>112444857.91302407</v>
      </c>
      <c r="AS846" s="369"/>
      <c r="AT846" s="350">
        <f t="shared" si="339"/>
        <v>1145860.2244829992</v>
      </c>
      <c r="AU846" s="350">
        <f t="shared" si="322"/>
        <v>3383952.6961418837</v>
      </c>
      <c r="AV846" s="350">
        <f t="shared" si="323"/>
        <v>5369494.0908992998</v>
      </c>
      <c r="AW846" s="350">
        <f t="shared" si="324"/>
        <v>7097667.8778689131</v>
      </c>
      <c r="AX846" s="350">
        <f t="shared" si="325"/>
        <v>8565321.3121657558</v>
      </c>
      <c r="AY846" s="350">
        <f t="shared" si="326"/>
        <v>25562296.201558843</v>
      </c>
      <c r="AZ846" s="365"/>
      <c r="BA846" s="377">
        <f t="shared" si="327"/>
        <v>0</v>
      </c>
      <c r="BB846" s="377">
        <f t="shared" si="328"/>
        <v>0</v>
      </c>
      <c r="BC846" s="377">
        <f t="shared" si="329"/>
        <v>0</v>
      </c>
      <c r="BD846" s="377">
        <f t="shared" si="330"/>
        <v>0</v>
      </c>
      <c r="BE846" s="377">
        <f t="shared" si="331"/>
        <v>0</v>
      </c>
      <c r="BF846" s="377">
        <f t="shared" si="332"/>
        <v>0</v>
      </c>
      <c r="BG846" s="328"/>
    </row>
    <row r="847" spans="2:59">
      <c r="B847" s="332">
        <v>832</v>
      </c>
      <c r="C847" s="350">
        <v>7324431.7311505917</v>
      </c>
      <c r="D847" s="350">
        <v>13863097.795421582</v>
      </c>
      <c r="E847" s="350">
        <v>20451008.397191029</v>
      </c>
      <c r="F847" s="350">
        <v>27088600.470986392</v>
      </c>
      <c r="G847" s="350">
        <v>33776926.353440218</v>
      </c>
      <c r="H847" s="348">
        <v>102504064.74818981</v>
      </c>
      <c r="I847" s="369"/>
      <c r="J847" s="350">
        <v>8337388.5637980234</v>
      </c>
      <c r="K847" s="350">
        <v>16851110.058302078</v>
      </c>
      <c r="L847" s="350">
        <v>25151825.718551025</v>
      </c>
      <c r="M847" s="350">
        <v>33233417.409217171</v>
      </c>
      <c r="N847" s="350">
        <v>41091849.47944434</v>
      </c>
      <c r="O847" s="348">
        <v>124665591.22931264</v>
      </c>
      <c r="P847" s="369"/>
      <c r="Q847" s="350">
        <f t="shared" si="333"/>
        <v>1012956.8326474316</v>
      </c>
      <c r="R847" s="350">
        <f t="shared" si="334"/>
        <v>2988012.2628804967</v>
      </c>
      <c r="S847" s="350">
        <f t="shared" si="335"/>
        <v>4700817.3213599958</v>
      </c>
      <c r="T847" s="350">
        <f t="shared" si="336"/>
        <v>6144816.938230779</v>
      </c>
      <c r="U847" s="350">
        <f t="shared" si="337"/>
        <v>7314923.1260041222</v>
      </c>
      <c r="V847" s="350">
        <f t="shared" si="338"/>
        <v>22161526.481122836</v>
      </c>
      <c r="W847" s="365"/>
      <c r="X847" s="377">
        <f t="shared" si="316"/>
        <v>0</v>
      </c>
      <c r="Y847" s="377">
        <f t="shared" si="317"/>
        <v>0</v>
      </c>
      <c r="Z847" s="377">
        <f t="shared" si="318"/>
        <v>0</v>
      </c>
      <c r="AA847" s="377">
        <f t="shared" si="319"/>
        <v>0</v>
      </c>
      <c r="AB847" s="377">
        <f t="shared" si="320"/>
        <v>0</v>
      </c>
      <c r="AC847" s="377">
        <f t="shared" si="321"/>
        <v>0</v>
      </c>
      <c r="AD847" s="376"/>
      <c r="AE847" s="332">
        <v>832</v>
      </c>
      <c r="AF847" s="350">
        <v>6684201.2156182863</v>
      </c>
      <c r="AG847" s="350">
        <v>13420894.616854873</v>
      </c>
      <c r="AH847" s="350">
        <v>20208571.673923668</v>
      </c>
      <c r="AI847" s="350">
        <v>27047457.446839377</v>
      </c>
      <c r="AJ847" s="350">
        <v>33938538.199103966</v>
      </c>
      <c r="AK847" s="348">
        <v>101299663.15234017</v>
      </c>
      <c r="AL847" s="369"/>
      <c r="AM847" s="350">
        <v>7784731.5051845433</v>
      </c>
      <c r="AN847" s="350">
        <v>16668033.776594467</v>
      </c>
      <c r="AO847" s="350">
        <v>25300808.411398843</v>
      </c>
      <c r="AP847" s="350">
        <v>33677731.294235319</v>
      </c>
      <c r="AQ847" s="350">
        <v>41795874.306769885</v>
      </c>
      <c r="AR847" s="348">
        <v>125227179.29418305</v>
      </c>
      <c r="AS847" s="369"/>
      <c r="AT847" s="350">
        <f t="shared" si="339"/>
        <v>1100530.289566257</v>
      </c>
      <c r="AU847" s="350">
        <f t="shared" si="322"/>
        <v>3247139.1597395949</v>
      </c>
      <c r="AV847" s="350">
        <f t="shared" si="323"/>
        <v>5092236.7374751754</v>
      </c>
      <c r="AW847" s="350">
        <f t="shared" si="324"/>
        <v>6630273.8473959416</v>
      </c>
      <c r="AX847" s="350">
        <f t="shared" si="325"/>
        <v>7857336.1076659188</v>
      </c>
      <c r="AY847" s="350">
        <f t="shared" si="326"/>
        <v>23927516.141842872</v>
      </c>
      <c r="AZ847" s="365"/>
      <c r="BA847" s="377">
        <f t="shared" si="327"/>
        <v>0</v>
      </c>
      <c r="BB847" s="377">
        <f t="shared" si="328"/>
        <v>0</v>
      </c>
      <c r="BC847" s="377">
        <f t="shared" si="329"/>
        <v>0</v>
      </c>
      <c r="BD847" s="377">
        <f t="shared" si="330"/>
        <v>0</v>
      </c>
      <c r="BE847" s="377">
        <f t="shared" si="331"/>
        <v>0</v>
      </c>
      <c r="BF847" s="377">
        <f t="shared" si="332"/>
        <v>0</v>
      </c>
      <c r="BG847" s="328"/>
    </row>
    <row r="848" spans="2:59">
      <c r="B848" s="332">
        <v>833</v>
      </c>
      <c r="C848" s="350">
        <v>7480658.0719178608</v>
      </c>
      <c r="D848" s="350">
        <v>14056635.046865003</v>
      </c>
      <c r="E848" s="350">
        <v>20682104.675411906</v>
      </c>
      <c r="F848" s="350">
        <v>27357536.266716506</v>
      </c>
      <c r="G848" s="350">
        <v>34084001.163588084</v>
      </c>
      <c r="H848" s="348">
        <v>103660935.22449937</v>
      </c>
      <c r="I848" s="369"/>
      <c r="J848" s="350">
        <v>8635855.4807671495</v>
      </c>
      <c r="K848" s="350">
        <v>17466396.505989484</v>
      </c>
      <c r="L848" s="350">
        <v>26083691.070541188</v>
      </c>
      <c r="M848" s="350">
        <v>34481698.258102253</v>
      </c>
      <c r="N848" s="350">
        <v>42656636.178135052</v>
      </c>
      <c r="O848" s="348">
        <v>129324277.49353513</v>
      </c>
      <c r="P848" s="369"/>
      <c r="Q848" s="350">
        <f t="shared" si="333"/>
        <v>1155197.4088492887</v>
      </c>
      <c r="R848" s="350">
        <f t="shared" si="334"/>
        <v>3409761.4591244813</v>
      </c>
      <c r="S848" s="350">
        <f t="shared" si="335"/>
        <v>5401586.395129282</v>
      </c>
      <c r="T848" s="350">
        <f t="shared" si="336"/>
        <v>7124161.9913857467</v>
      </c>
      <c r="U848" s="350">
        <f t="shared" si="337"/>
        <v>8572635.014546968</v>
      </c>
      <c r="V848" s="350">
        <f t="shared" si="338"/>
        <v>25663342.269035757</v>
      </c>
      <c r="W848" s="365"/>
      <c r="X848" s="377">
        <f t="shared" ref="X848:X911" si="340">IF(Q848&lt;Q$8,1,0)</f>
        <v>0</v>
      </c>
      <c r="Y848" s="377">
        <f t="shared" ref="Y848:Y911" si="341">IF(R848&lt;R$8,1,0)</f>
        <v>0</v>
      </c>
      <c r="Z848" s="377">
        <f t="shared" ref="Z848:Z911" si="342">IF(S848&lt;S$8,1,0)</f>
        <v>0</v>
      </c>
      <c r="AA848" s="377">
        <f t="shared" ref="AA848:AA911" si="343">IF(T848&lt;T$8,1,0)</f>
        <v>0</v>
      </c>
      <c r="AB848" s="377">
        <f t="shared" ref="AB848:AB911" si="344">IF(U848&lt;U$8,1,0)</f>
        <v>0</v>
      </c>
      <c r="AC848" s="377">
        <f t="shared" ref="AC848:AC911" si="345">IF(V848&lt;V$8,1,0)</f>
        <v>0</v>
      </c>
      <c r="AD848" s="376"/>
      <c r="AE848" s="332">
        <v>833</v>
      </c>
      <c r="AF848" s="350">
        <v>6466572.3392530028</v>
      </c>
      <c r="AG848" s="350">
        <v>12983927.787002664</v>
      </c>
      <c r="AH848" s="350">
        <v>19550606.929225825</v>
      </c>
      <c r="AI848" s="350">
        <v>26166827.498276561</v>
      </c>
      <c r="AJ848" s="350">
        <v>32833543.646203153</v>
      </c>
      <c r="AK848" s="348">
        <v>98001478.199961215</v>
      </c>
      <c r="AL848" s="369"/>
      <c r="AM848" s="350">
        <v>7352244.2795180194</v>
      </c>
      <c r="AN848" s="350">
        <v>15594404.249105506</v>
      </c>
      <c r="AO848" s="350">
        <v>23588831.534606364</v>
      </c>
      <c r="AP848" s="350">
        <v>31330426.002252642</v>
      </c>
      <c r="AQ848" s="350">
        <v>38816173.557532452</v>
      </c>
      <c r="AR848" s="348">
        <v>116682079.62301499</v>
      </c>
      <c r="AS848" s="369"/>
      <c r="AT848" s="350">
        <f t="shared" si="339"/>
        <v>885671.94026501663</v>
      </c>
      <c r="AU848" s="350">
        <f t="shared" ref="AU848:AU911" si="346">AN848-AG848</f>
        <v>2610476.4621028416</v>
      </c>
      <c r="AV848" s="350">
        <f t="shared" ref="AV848:AV911" si="347">AO848-AH848</f>
        <v>4038224.6053805389</v>
      </c>
      <c r="AW848" s="350">
        <f t="shared" ref="AW848:AW911" si="348">AP848-AI848</f>
        <v>5163598.5039760806</v>
      </c>
      <c r="AX848" s="350">
        <f t="shared" ref="AX848:AX911" si="349">AQ848-AJ848</f>
        <v>5982629.9113292992</v>
      </c>
      <c r="AY848" s="350">
        <f t="shared" ref="AY848:AY911" si="350">AR848-AK848</f>
        <v>18680601.423053771</v>
      </c>
      <c r="AZ848" s="365"/>
      <c r="BA848" s="377">
        <f t="shared" ref="BA848:BA911" si="351">IF(AT848&lt;AT$8,1,0)</f>
        <v>0</v>
      </c>
      <c r="BB848" s="377">
        <f t="shared" ref="BB848:BB911" si="352">IF(AU848&lt;AU$8,1,0)</f>
        <v>0</v>
      </c>
      <c r="BC848" s="377">
        <f t="shared" ref="BC848:BC911" si="353">IF(AV848&lt;AV$8,1,0)</f>
        <v>0</v>
      </c>
      <c r="BD848" s="377">
        <f t="shared" ref="BD848:BD911" si="354">IF(AW848&lt;AW$8,1,0)</f>
        <v>0</v>
      </c>
      <c r="BE848" s="377">
        <f t="shared" ref="BE848:BE911" si="355">IF(AX848&lt;AX$8,1,0)</f>
        <v>0</v>
      </c>
      <c r="BF848" s="377">
        <f t="shared" ref="BF848:BF911" si="356">IF(AY848&lt;AY$8,1,0)</f>
        <v>0</v>
      </c>
      <c r="BG848" s="328"/>
    </row>
    <row r="849" spans="2:59">
      <c r="B849" s="332">
        <v>834</v>
      </c>
      <c r="C849" s="350">
        <v>6125606.5335018486</v>
      </c>
      <c r="D849" s="350">
        <v>11513612.576043971</v>
      </c>
      <c r="E849" s="350">
        <v>16942171.31660971</v>
      </c>
      <c r="F849" s="350">
        <v>22411666.329813544</v>
      </c>
      <c r="G849" s="350">
        <v>27922975.00264198</v>
      </c>
      <c r="H849" s="348">
        <v>84916031.758611053</v>
      </c>
      <c r="I849" s="369"/>
      <c r="J849" s="350">
        <v>6980227.7248298917</v>
      </c>
      <c r="K849" s="350">
        <v>14034892.27766379</v>
      </c>
      <c r="L849" s="350">
        <v>20916013.919074986</v>
      </c>
      <c r="M849" s="350">
        <v>27618520.222538877</v>
      </c>
      <c r="N849" s="350">
        <v>34139065.234183386</v>
      </c>
      <c r="O849" s="348">
        <v>103688719.37829092</v>
      </c>
      <c r="P849" s="369"/>
      <c r="Q849" s="350">
        <f t="shared" ref="Q849:Q912" si="357">J849-C849</f>
        <v>854621.19132804312</v>
      </c>
      <c r="R849" s="350">
        <f t="shared" ref="R849:R912" si="358">K849-D849</f>
        <v>2521279.7016198188</v>
      </c>
      <c r="S849" s="350">
        <f t="shared" ref="S849:S912" si="359">L849-E849</f>
        <v>3973842.6024652757</v>
      </c>
      <c r="T849" s="350">
        <f t="shared" ref="T849:T912" si="360">M849-F849</f>
        <v>5206853.8927253336</v>
      </c>
      <c r="U849" s="350">
        <f t="shared" ref="U849:U912" si="361">N849-G849</f>
        <v>6216090.2315414064</v>
      </c>
      <c r="V849" s="350">
        <f t="shared" ref="V849:V912" si="362">O849-H849</f>
        <v>18772687.619679868</v>
      </c>
      <c r="W849" s="365"/>
      <c r="X849" s="377">
        <f t="shared" si="340"/>
        <v>0</v>
      </c>
      <c r="Y849" s="377">
        <f t="shared" si="341"/>
        <v>0</v>
      </c>
      <c r="Z849" s="377">
        <f t="shared" si="342"/>
        <v>0</v>
      </c>
      <c r="AA849" s="377">
        <f t="shared" si="343"/>
        <v>0</v>
      </c>
      <c r="AB849" s="377">
        <f t="shared" si="344"/>
        <v>0</v>
      </c>
      <c r="AC849" s="377">
        <f t="shared" si="345"/>
        <v>0</v>
      </c>
      <c r="AD849" s="376"/>
      <c r="AE849" s="332">
        <v>834</v>
      </c>
      <c r="AF849" s="350">
        <v>5087045.5621708529</v>
      </c>
      <c r="AG849" s="350">
        <v>10214040.570997246</v>
      </c>
      <c r="AH849" s="350">
        <v>15379836.952160913</v>
      </c>
      <c r="AI849" s="350">
        <v>20584605.988738492</v>
      </c>
      <c r="AJ849" s="350">
        <v>25829098.281618394</v>
      </c>
      <c r="AK849" s="348">
        <v>77094627.35568589</v>
      </c>
      <c r="AL849" s="369"/>
      <c r="AM849" s="350">
        <v>6184776.7531293174</v>
      </c>
      <c r="AN849" s="350">
        <v>13456871.315368673</v>
      </c>
      <c r="AO849" s="350">
        <v>20546092.619988613</v>
      </c>
      <c r="AP849" s="350">
        <v>27448315.136857897</v>
      </c>
      <c r="AQ849" s="350">
        <v>34161573.894682437</v>
      </c>
      <c r="AR849" s="348">
        <v>101797629.72002694</v>
      </c>
      <c r="AS849" s="369"/>
      <c r="AT849" s="350">
        <f t="shared" ref="AT849:AT912" si="363">AM849-AF849</f>
        <v>1097731.1909584645</v>
      </c>
      <c r="AU849" s="350">
        <f t="shared" si="346"/>
        <v>3242830.7443714272</v>
      </c>
      <c r="AV849" s="350">
        <f t="shared" si="347"/>
        <v>5166255.6678276993</v>
      </c>
      <c r="AW849" s="350">
        <f t="shared" si="348"/>
        <v>6863709.1481194049</v>
      </c>
      <c r="AX849" s="350">
        <f t="shared" si="349"/>
        <v>8332475.6130640432</v>
      </c>
      <c r="AY849" s="350">
        <f t="shared" si="350"/>
        <v>24703002.36434105</v>
      </c>
      <c r="AZ849" s="365"/>
      <c r="BA849" s="377">
        <f t="shared" si="351"/>
        <v>0</v>
      </c>
      <c r="BB849" s="377">
        <f t="shared" si="352"/>
        <v>0</v>
      </c>
      <c r="BC849" s="377">
        <f t="shared" si="353"/>
        <v>0</v>
      </c>
      <c r="BD849" s="377">
        <f t="shared" si="354"/>
        <v>0</v>
      </c>
      <c r="BE849" s="377">
        <f t="shared" si="355"/>
        <v>0</v>
      </c>
      <c r="BF849" s="377">
        <f t="shared" si="356"/>
        <v>0</v>
      </c>
      <c r="BG849" s="328"/>
    </row>
    <row r="850" spans="2:59">
      <c r="B850" s="332">
        <v>835</v>
      </c>
      <c r="C850" s="350">
        <v>9085302.1684041545</v>
      </c>
      <c r="D850" s="350">
        <v>17194194.123977076</v>
      </c>
      <c r="E850" s="350">
        <v>25364155.871396214</v>
      </c>
      <c r="F850" s="350">
        <v>33595729.781136036</v>
      </c>
      <c r="G850" s="350">
        <v>41890221.12409915</v>
      </c>
      <c r="H850" s="348">
        <v>127129603.06901263</v>
      </c>
      <c r="I850" s="369"/>
      <c r="J850" s="350">
        <v>10405051.10309778</v>
      </c>
      <c r="K850" s="350">
        <v>21088194.093616907</v>
      </c>
      <c r="L850" s="350">
        <v>31507078.57084693</v>
      </c>
      <c r="M850" s="350">
        <v>41654182.77102533</v>
      </c>
      <c r="N850" s="350">
        <v>51524652.701184236</v>
      </c>
      <c r="O850" s="348">
        <v>156179159.23977119</v>
      </c>
      <c r="P850" s="369"/>
      <c r="Q850" s="350">
        <f t="shared" si="357"/>
        <v>1319748.9346936252</v>
      </c>
      <c r="R850" s="350">
        <f t="shared" si="358"/>
        <v>3893999.9696398303</v>
      </c>
      <c r="S850" s="350">
        <f t="shared" si="359"/>
        <v>6142922.6994507164</v>
      </c>
      <c r="T850" s="350">
        <f t="shared" si="360"/>
        <v>8058452.9898892939</v>
      </c>
      <c r="U850" s="350">
        <f t="shared" si="361"/>
        <v>9634431.5770850852</v>
      </c>
      <c r="V850" s="350">
        <f t="shared" si="362"/>
        <v>29049556.17075856</v>
      </c>
      <c r="W850" s="365"/>
      <c r="X850" s="377">
        <f t="shared" si="340"/>
        <v>0</v>
      </c>
      <c r="Y850" s="377">
        <f t="shared" si="341"/>
        <v>0</v>
      </c>
      <c r="Z850" s="377">
        <f t="shared" si="342"/>
        <v>0</v>
      </c>
      <c r="AA850" s="377">
        <f t="shared" si="343"/>
        <v>0</v>
      </c>
      <c r="AB850" s="377">
        <f t="shared" si="344"/>
        <v>0</v>
      </c>
      <c r="AC850" s="377">
        <f t="shared" si="345"/>
        <v>0</v>
      </c>
      <c r="AD850" s="376"/>
      <c r="AE850" s="332">
        <v>835</v>
      </c>
      <c r="AF850" s="350">
        <v>4804192.5870586997</v>
      </c>
      <c r="AG850" s="350">
        <v>9646113.3275483139</v>
      </c>
      <c r="AH850" s="350">
        <v>14524677.983071174</v>
      </c>
      <c r="AI850" s="350">
        <v>19440048.312918995</v>
      </c>
      <c r="AJ850" s="350">
        <v>24392933.182616938</v>
      </c>
      <c r="AK850" s="348">
        <v>72807965.393214121</v>
      </c>
      <c r="AL850" s="369"/>
      <c r="AM850" s="350">
        <v>5816484.4179917369</v>
      </c>
      <c r="AN850" s="350">
        <v>12636263.15220594</v>
      </c>
      <c r="AO850" s="350">
        <v>19282605.990938753</v>
      </c>
      <c r="AP850" s="350">
        <v>25751623.696247354</v>
      </c>
      <c r="AQ850" s="350">
        <v>32041435.840194531</v>
      </c>
      <c r="AR850" s="348">
        <v>95528413.097578317</v>
      </c>
      <c r="AS850" s="369"/>
      <c r="AT850" s="350">
        <f t="shared" si="363"/>
        <v>1012291.8309330372</v>
      </c>
      <c r="AU850" s="350">
        <f t="shared" si="346"/>
        <v>2990149.8246576265</v>
      </c>
      <c r="AV850" s="350">
        <f t="shared" si="347"/>
        <v>4757928.0078675784</v>
      </c>
      <c r="AW850" s="350">
        <f t="shared" si="348"/>
        <v>6311575.3833283596</v>
      </c>
      <c r="AX850" s="350">
        <f t="shared" si="349"/>
        <v>7648502.6575775929</v>
      </c>
      <c r="AY850" s="350">
        <f t="shared" si="350"/>
        <v>22720447.704364195</v>
      </c>
      <c r="AZ850" s="365"/>
      <c r="BA850" s="377">
        <f t="shared" si="351"/>
        <v>0</v>
      </c>
      <c r="BB850" s="377">
        <f t="shared" si="352"/>
        <v>0</v>
      </c>
      <c r="BC850" s="377">
        <f t="shared" si="353"/>
        <v>0</v>
      </c>
      <c r="BD850" s="377">
        <f t="shared" si="354"/>
        <v>0</v>
      </c>
      <c r="BE850" s="377">
        <f t="shared" si="355"/>
        <v>0</v>
      </c>
      <c r="BF850" s="377">
        <f t="shared" si="356"/>
        <v>0</v>
      </c>
      <c r="BG850" s="328"/>
    </row>
    <row r="851" spans="2:59">
      <c r="B851" s="332">
        <v>836</v>
      </c>
      <c r="C851" s="350">
        <v>7046263.4040490584</v>
      </c>
      <c r="D851" s="350">
        <v>13268685.856814161</v>
      </c>
      <c r="E851" s="350">
        <v>19537949.26537101</v>
      </c>
      <c r="F851" s="350">
        <v>25854489.298238441</v>
      </c>
      <c r="G851" s="350">
        <v>32219316.039453834</v>
      </c>
      <c r="H851" s="348">
        <v>97926703.8639265</v>
      </c>
      <c r="I851" s="369"/>
      <c r="J851" s="350">
        <v>8179911.8158085048</v>
      </c>
      <c r="K851" s="350">
        <v>16615427.588969927</v>
      </c>
      <c r="L851" s="350">
        <v>24850100.418430507</v>
      </c>
      <c r="M851" s="350">
        <v>32878220.380719766</v>
      </c>
      <c r="N851" s="350">
        <v>40696273.112864643</v>
      </c>
      <c r="O851" s="348">
        <v>123219933.31679335</v>
      </c>
      <c r="P851" s="369"/>
      <c r="Q851" s="350">
        <f t="shared" si="357"/>
        <v>1133648.4117594464</v>
      </c>
      <c r="R851" s="350">
        <f t="shared" si="358"/>
        <v>3346741.7321557663</v>
      </c>
      <c r="S851" s="350">
        <f t="shared" si="359"/>
        <v>5312151.1530594975</v>
      </c>
      <c r="T851" s="350">
        <f t="shared" si="360"/>
        <v>7023731.0824813247</v>
      </c>
      <c r="U851" s="350">
        <f t="shared" si="361"/>
        <v>8476957.073410809</v>
      </c>
      <c r="V851" s="350">
        <f t="shared" si="362"/>
        <v>25293229.452866852</v>
      </c>
      <c r="W851" s="365"/>
      <c r="X851" s="377">
        <f t="shared" si="340"/>
        <v>0</v>
      </c>
      <c r="Y851" s="377">
        <f t="shared" si="341"/>
        <v>0</v>
      </c>
      <c r="Z851" s="377">
        <f t="shared" si="342"/>
        <v>0</v>
      </c>
      <c r="AA851" s="377">
        <f t="shared" si="343"/>
        <v>0</v>
      </c>
      <c r="AB851" s="377">
        <f t="shared" si="344"/>
        <v>0</v>
      </c>
      <c r="AC851" s="377">
        <f t="shared" si="345"/>
        <v>0</v>
      </c>
      <c r="AD851" s="376"/>
      <c r="AE851" s="332">
        <v>836</v>
      </c>
      <c r="AF851" s="350">
        <v>5715053.7143009529</v>
      </c>
      <c r="AG851" s="350">
        <v>11474988.731649559</v>
      </c>
      <c r="AH851" s="350">
        <v>17278515.245159544</v>
      </c>
      <c r="AI851" s="350">
        <v>23125825.683220103</v>
      </c>
      <c r="AJ851" s="350">
        <v>29017763.310225643</v>
      </c>
      <c r="AK851" s="348">
        <v>86612146.684555799</v>
      </c>
      <c r="AL851" s="369"/>
      <c r="AM851" s="350">
        <v>6835086.3361133207</v>
      </c>
      <c r="AN851" s="350">
        <v>14782388.95062965</v>
      </c>
      <c r="AO851" s="350">
        <v>22520851.299349967</v>
      </c>
      <c r="AP851" s="350">
        <v>30045870.567138769</v>
      </c>
      <c r="AQ851" s="350">
        <v>37355124.540790647</v>
      </c>
      <c r="AR851" s="348">
        <v>111539321.69402236</v>
      </c>
      <c r="AS851" s="369"/>
      <c r="AT851" s="350">
        <f t="shared" si="363"/>
        <v>1120032.6218123678</v>
      </c>
      <c r="AU851" s="350">
        <f t="shared" si="346"/>
        <v>3307400.2189800907</v>
      </c>
      <c r="AV851" s="350">
        <f t="shared" si="347"/>
        <v>5242336.0541904233</v>
      </c>
      <c r="AW851" s="350">
        <f t="shared" si="348"/>
        <v>6920044.8839186653</v>
      </c>
      <c r="AX851" s="350">
        <f t="shared" si="349"/>
        <v>8337361.2305650041</v>
      </c>
      <c r="AY851" s="350">
        <f t="shared" si="350"/>
        <v>24927175.009466559</v>
      </c>
      <c r="AZ851" s="365"/>
      <c r="BA851" s="377">
        <f t="shared" si="351"/>
        <v>0</v>
      </c>
      <c r="BB851" s="377">
        <f t="shared" si="352"/>
        <v>0</v>
      </c>
      <c r="BC851" s="377">
        <f t="shared" si="353"/>
        <v>0</v>
      </c>
      <c r="BD851" s="377">
        <f t="shared" si="354"/>
        <v>0</v>
      </c>
      <c r="BE851" s="377">
        <f t="shared" si="355"/>
        <v>0</v>
      </c>
      <c r="BF851" s="377">
        <f t="shared" si="356"/>
        <v>0</v>
      </c>
      <c r="BG851" s="328"/>
    </row>
    <row r="852" spans="2:59">
      <c r="B852" s="332">
        <v>837</v>
      </c>
      <c r="C852" s="350">
        <v>7803159.0878413366</v>
      </c>
      <c r="D852" s="350">
        <v>14684438.198085044</v>
      </c>
      <c r="E852" s="350">
        <v>21617514.878973104</v>
      </c>
      <c r="F852" s="350">
        <v>28602873.751544558</v>
      </c>
      <c r="G852" s="350">
        <v>35641633.079727799</v>
      </c>
      <c r="H852" s="348">
        <v>108349618.99617183</v>
      </c>
      <c r="I852" s="369"/>
      <c r="J852" s="350">
        <v>8862557.1679991763</v>
      </c>
      <c r="K852" s="350">
        <v>17809358.4736499</v>
      </c>
      <c r="L852" s="350">
        <v>26527600.995176878</v>
      </c>
      <c r="M852" s="350">
        <v>35011058.507049225</v>
      </c>
      <c r="N852" s="350">
        <v>43255680.573644504</v>
      </c>
      <c r="O852" s="348">
        <v>131466255.71751969</v>
      </c>
      <c r="P852" s="369"/>
      <c r="Q852" s="350">
        <f t="shared" si="357"/>
        <v>1059398.0801578397</v>
      </c>
      <c r="R852" s="350">
        <f t="shared" si="358"/>
        <v>3124920.2755648568</v>
      </c>
      <c r="S852" s="350">
        <f t="shared" si="359"/>
        <v>4910086.1162037738</v>
      </c>
      <c r="T852" s="350">
        <f t="shared" si="360"/>
        <v>6408184.7555046678</v>
      </c>
      <c r="U852" s="350">
        <f t="shared" si="361"/>
        <v>7614047.4939167053</v>
      </c>
      <c r="V852" s="350">
        <f t="shared" si="362"/>
        <v>23116636.721347854</v>
      </c>
      <c r="W852" s="365"/>
      <c r="X852" s="377">
        <f t="shared" si="340"/>
        <v>0</v>
      </c>
      <c r="Y852" s="377">
        <f t="shared" si="341"/>
        <v>0</v>
      </c>
      <c r="Z852" s="377">
        <f t="shared" si="342"/>
        <v>0</v>
      </c>
      <c r="AA852" s="377">
        <f t="shared" si="343"/>
        <v>0</v>
      </c>
      <c r="AB852" s="377">
        <f t="shared" si="344"/>
        <v>0</v>
      </c>
      <c r="AC852" s="377">
        <f t="shared" si="345"/>
        <v>0</v>
      </c>
      <c r="AD852" s="376"/>
      <c r="AE852" s="332">
        <v>837</v>
      </c>
      <c r="AF852" s="350">
        <v>6674702.2077786364</v>
      </c>
      <c r="AG852" s="350">
        <v>13401822.003827795</v>
      </c>
      <c r="AH852" s="350">
        <v>20179853.002153259</v>
      </c>
      <c r="AI852" s="350">
        <v>27009019.942933936</v>
      </c>
      <c r="AJ852" s="350">
        <v>33890307.688079521</v>
      </c>
      <c r="AK852" s="348">
        <v>101155704.84477314</v>
      </c>
      <c r="AL852" s="369"/>
      <c r="AM852" s="350">
        <v>7850313.288055893</v>
      </c>
      <c r="AN852" s="350">
        <v>16871652.488496266</v>
      </c>
      <c r="AO852" s="350">
        <v>25645115.615515605</v>
      </c>
      <c r="AP852" s="350">
        <v>34165364.441939458</v>
      </c>
      <c r="AQ852" s="350">
        <v>42429552.633804947</v>
      </c>
      <c r="AR852" s="348">
        <v>126961998.46781217</v>
      </c>
      <c r="AS852" s="369"/>
      <c r="AT852" s="350">
        <f t="shared" si="363"/>
        <v>1175611.0802772567</v>
      </c>
      <c r="AU852" s="350">
        <f t="shared" si="346"/>
        <v>3469830.4846684709</v>
      </c>
      <c r="AV852" s="350">
        <f t="shared" si="347"/>
        <v>5465262.6133623458</v>
      </c>
      <c r="AW852" s="350">
        <f t="shared" si="348"/>
        <v>7156344.4990055226</v>
      </c>
      <c r="AX852" s="350">
        <f t="shared" si="349"/>
        <v>8539244.9457254261</v>
      </c>
      <c r="AY852" s="350">
        <f t="shared" si="350"/>
        <v>25806293.623039022</v>
      </c>
      <c r="AZ852" s="365"/>
      <c r="BA852" s="377">
        <f t="shared" si="351"/>
        <v>0</v>
      </c>
      <c r="BB852" s="377">
        <f t="shared" si="352"/>
        <v>0</v>
      </c>
      <c r="BC852" s="377">
        <f t="shared" si="353"/>
        <v>0</v>
      </c>
      <c r="BD852" s="377">
        <f t="shared" si="354"/>
        <v>0</v>
      </c>
      <c r="BE852" s="377">
        <f t="shared" si="355"/>
        <v>0</v>
      </c>
      <c r="BF852" s="377">
        <f t="shared" si="356"/>
        <v>0</v>
      </c>
      <c r="BG852" s="328"/>
    </row>
    <row r="853" spans="2:59">
      <c r="B853" s="332">
        <v>838</v>
      </c>
      <c r="C853" s="350">
        <v>8246486.5172788901</v>
      </c>
      <c r="D853" s="350">
        <v>15490130.715705223</v>
      </c>
      <c r="E853" s="350">
        <v>22788290.806576923</v>
      </c>
      <c r="F853" s="350">
        <v>30141485.395751961</v>
      </c>
      <c r="G853" s="350">
        <v>37550895.317496061</v>
      </c>
      <c r="H853" s="348">
        <v>114217288.75280905</v>
      </c>
      <c r="I853" s="369"/>
      <c r="J853" s="350">
        <v>9337147.0977810863</v>
      </c>
      <c r="K853" s="350">
        <v>18706862.493421413</v>
      </c>
      <c r="L853" s="350">
        <v>27835560.637709741</v>
      </c>
      <c r="M853" s="350">
        <v>36716679.673830651</v>
      </c>
      <c r="N853" s="350">
        <v>45345910.881722406</v>
      </c>
      <c r="O853" s="348">
        <v>137942160.78446531</v>
      </c>
      <c r="P853" s="369"/>
      <c r="Q853" s="350">
        <f t="shared" si="357"/>
        <v>1090660.5805021962</v>
      </c>
      <c r="R853" s="350">
        <f t="shared" si="358"/>
        <v>3216731.7777161896</v>
      </c>
      <c r="S853" s="350">
        <f t="shared" si="359"/>
        <v>5047269.831132818</v>
      </c>
      <c r="T853" s="350">
        <f t="shared" si="360"/>
        <v>6575194.2780786902</v>
      </c>
      <c r="U853" s="350">
        <f t="shared" si="361"/>
        <v>7795015.5642263442</v>
      </c>
      <c r="V853" s="350">
        <f t="shared" si="362"/>
        <v>23724872.031656265</v>
      </c>
      <c r="W853" s="365"/>
      <c r="X853" s="377">
        <f t="shared" si="340"/>
        <v>0</v>
      </c>
      <c r="Y853" s="377">
        <f t="shared" si="341"/>
        <v>0</v>
      </c>
      <c r="Z853" s="377">
        <f t="shared" si="342"/>
        <v>0</v>
      </c>
      <c r="AA853" s="377">
        <f t="shared" si="343"/>
        <v>0</v>
      </c>
      <c r="AB853" s="377">
        <f t="shared" si="344"/>
        <v>0</v>
      </c>
      <c r="AC853" s="377">
        <f t="shared" si="345"/>
        <v>0</v>
      </c>
      <c r="AD853" s="376"/>
      <c r="AE853" s="332">
        <v>838</v>
      </c>
      <c r="AF853" s="350">
        <v>4555744.7686432395</v>
      </c>
      <c r="AG853" s="350">
        <v>9147266.5871255025</v>
      </c>
      <c r="AH853" s="350">
        <v>13773537.288211891</v>
      </c>
      <c r="AI853" s="350">
        <v>18434710.265846062</v>
      </c>
      <c r="AJ853" s="350">
        <v>23131457.726720273</v>
      </c>
      <c r="AK853" s="348">
        <v>69042716.636546969</v>
      </c>
      <c r="AL853" s="369"/>
      <c r="AM853" s="350">
        <v>5383101.0964357033</v>
      </c>
      <c r="AN853" s="350">
        <v>11589573.136224646</v>
      </c>
      <c r="AO853" s="350">
        <v>17627607.51789552</v>
      </c>
      <c r="AP853" s="350">
        <v>23493553.63460315</v>
      </c>
      <c r="AQ853" s="350">
        <v>29185494.026783913</v>
      </c>
      <c r="AR853" s="348">
        <v>87279329.411942929</v>
      </c>
      <c r="AS853" s="369"/>
      <c r="AT853" s="350">
        <f t="shared" si="363"/>
        <v>827356.32779246382</v>
      </c>
      <c r="AU853" s="350">
        <f t="shared" si="346"/>
        <v>2442306.5490991436</v>
      </c>
      <c r="AV853" s="350">
        <f t="shared" si="347"/>
        <v>3854070.2296836283</v>
      </c>
      <c r="AW853" s="350">
        <f t="shared" si="348"/>
        <v>5058843.3687570877</v>
      </c>
      <c r="AX853" s="350">
        <f t="shared" si="349"/>
        <v>6054036.3000636399</v>
      </c>
      <c r="AY853" s="350">
        <f t="shared" si="350"/>
        <v>18236612.77539596</v>
      </c>
      <c r="AZ853" s="365"/>
      <c r="BA853" s="377">
        <f t="shared" si="351"/>
        <v>0</v>
      </c>
      <c r="BB853" s="377">
        <f t="shared" si="352"/>
        <v>0</v>
      </c>
      <c r="BC853" s="377">
        <f t="shared" si="353"/>
        <v>0</v>
      </c>
      <c r="BD853" s="377">
        <f t="shared" si="354"/>
        <v>0</v>
      </c>
      <c r="BE853" s="377">
        <f t="shared" si="355"/>
        <v>0</v>
      </c>
      <c r="BF853" s="377">
        <f t="shared" si="356"/>
        <v>0</v>
      </c>
      <c r="BG853" s="328"/>
    </row>
    <row r="854" spans="2:59">
      <c r="B854" s="332">
        <v>839</v>
      </c>
      <c r="C854" s="350">
        <v>6116835.1476131473</v>
      </c>
      <c r="D854" s="350">
        <v>11627139.772432769</v>
      </c>
      <c r="E854" s="350">
        <v>17178960.047676921</v>
      </c>
      <c r="F854" s="350">
        <v>22772649.656437479</v>
      </c>
      <c r="G854" s="350">
        <v>28409089.106973547</v>
      </c>
      <c r="H854" s="348">
        <v>86104673.731133863</v>
      </c>
      <c r="I854" s="369"/>
      <c r="J854" s="350">
        <v>6842428.8316426063</v>
      </c>
      <c r="K854" s="350">
        <v>13765461.324341973</v>
      </c>
      <c r="L854" s="350">
        <v>20500294.948169172</v>
      </c>
      <c r="M854" s="350">
        <v>27041997.311388537</v>
      </c>
      <c r="N854" s="350">
        <v>33387240.97399519</v>
      </c>
      <c r="O854" s="348">
        <v>101537423.38953748</v>
      </c>
      <c r="P854" s="369"/>
      <c r="Q854" s="350">
        <f t="shared" si="357"/>
        <v>725593.68402945902</v>
      </c>
      <c r="R854" s="350">
        <f t="shared" si="358"/>
        <v>2138321.5519092046</v>
      </c>
      <c r="S854" s="350">
        <f t="shared" si="359"/>
        <v>3321334.9004922509</v>
      </c>
      <c r="T854" s="350">
        <f t="shared" si="360"/>
        <v>4269347.6549510583</v>
      </c>
      <c r="U854" s="350">
        <f t="shared" si="361"/>
        <v>4978151.8670216426</v>
      </c>
      <c r="V854" s="350">
        <f t="shared" si="362"/>
        <v>15432749.65840362</v>
      </c>
      <c r="W854" s="365"/>
      <c r="X854" s="377">
        <f t="shared" si="340"/>
        <v>0</v>
      </c>
      <c r="Y854" s="377">
        <f t="shared" si="341"/>
        <v>0</v>
      </c>
      <c r="Z854" s="377">
        <f t="shared" si="342"/>
        <v>0</v>
      </c>
      <c r="AA854" s="377">
        <f t="shared" si="343"/>
        <v>0</v>
      </c>
      <c r="AB854" s="377">
        <f t="shared" si="344"/>
        <v>0</v>
      </c>
      <c r="AC854" s="377">
        <f t="shared" si="345"/>
        <v>0</v>
      </c>
      <c r="AD854" s="376"/>
      <c r="AE854" s="332">
        <v>839</v>
      </c>
      <c r="AF854" s="350">
        <v>6562141.5046116365</v>
      </c>
      <c r="AG854" s="350">
        <v>13175816.638867568</v>
      </c>
      <c r="AH854" s="350">
        <v>19839544.420134135</v>
      </c>
      <c r="AI854" s="350">
        <v>26553545.79862152</v>
      </c>
      <c r="AJ854" s="350">
        <v>33318789.027745791</v>
      </c>
      <c r="AK854" s="348">
        <v>99449837.389980644</v>
      </c>
      <c r="AL854" s="369"/>
      <c r="AM854" s="350">
        <v>7731943.8012212049</v>
      </c>
      <c r="AN854" s="350">
        <v>16628701.378713192</v>
      </c>
      <c r="AO854" s="350">
        <v>25282182.807567053</v>
      </c>
      <c r="AP854" s="350">
        <v>33687135.918916538</v>
      </c>
      <c r="AQ854" s="350">
        <v>41840776.574135676</v>
      </c>
      <c r="AR854" s="348">
        <v>125170740.48055367</v>
      </c>
      <c r="AS854" s="369"/>
      <c r="AT854" s="350">
        <f t="shared" si="363"/>
        <v>1169802.2966095684</v>
      </c>
      <c r="AU854" s="350">
        <f t="shared" si="346"/>
        <v>3452884.7398456242</v>
      </c>
      <c r="AV854" s="350">
        <f t="shared" si="347"/>
        <v>5442638.387432918</v>
      </c>
      <c r="AW854" s="350">
        <f t="shared" si="348"/>
        <v>7133590.120295018</v>
      </c>
      <c r="AX854" s="350">
        <f t="shared" si="349"/>
        <v>8521987.5463898852</v>
      </c>
      <c r="AY854" s="350">
        <f t="shared" si="350"/>
        <v>25720903.090573028</v>
      </c>
      <c r="AZ854" s="365"/>
      <c r="BA854" s="377">
        <f t="shared" si="351"/>
        <v>0</v>
      </c>
      <c r="BB854" s="377">
        <f t="shared" si="352"/>
        <v>0</v>
      </c>
      <c r="BC854" s="377">
        <f t="shared" si="353"/>
        <v>0</v>
      </c>
      <c r="BD854" s="377">
        <f t="shared" si="354"/>
        <v>0</v>
      </c>
      <c r="BE854" s="377">
        <f t="shared" si="355"/>
        <v>0</v>
      </c>
      <c r="BF854" s="377">
        <f t="shared" si="356"/>
        <v>0</v>
      </c>
      <c r="BG854" s="328"/>
    </row>
    <row r="855" spans="2:59">
      <c r="B855" s="332">
        <v>840</v>
      </c>
      <c r="C855" s="350">
        <v>7571708.7647288712</v>
      </c>
      <c r="D855" s="350">
        <v>14144457.001482803</v>
      </c>
      <c r="E855" s="350">
        <v>20766646.371835798</v>
      </c>
      <c r="F855" s="350">
        <v>27438770.689572331</v>
      </c>
      <c r="G855" s="350">
        <v>34161911.533656545</v>
      </c>
      <c r="H855" s="348">
        <v>104083494.36127636</v>
      </c>
      <c r="I855" s="369"/>
      <c r="J855" s="350">
        <v>9036796.2917366698</v>
      </c>
      <c r="K855" s="350">
        <v>18473280.406885814</v>
      </c>
      <c r="L855" s="350">
        <v>27704985.027609039</v>
      </c>
      <c r="M855" s="350">
        <v>36725855.542965591</v>
      </c>
      <c r="N855" s="350">
        <v>45532485.095142253</v>
      </c>
      <c r="O855" s="348">
        <v>137473402.36433935</v>
      </c>
      <c r="P855" s="369"/>
      <c r="Q855" s="350">
        <f t="shared" si="357"/>
        <v>1465087.5270077987</v>
      </c>
      <c r="R855" s="350">
        <f t="shared" si="358"/>
        <v>4328823.4054030105</v>
      </c>
      <c r="S855" s="350">
        <f t="shared" si="359"/>
        <v>6938338.6557732411</v>
      </c>
      <c r="T855" s="350">
        <f t="shared" si="360"/>
        <v>9287084.8533932604</v>
      </c>
      <c r="U855" s="350">
        <f t="shared" si="361"/>
        <v>11370573.561485708</v>
      </c>
      <c r="V855" s="350">
        <f t="shared" si="362"/>
        <v>33389908.003062993</v>
      </c>
      <c r="W855" s="365"/>
      <c r="X855" s="377">
        <f t="shared" si="340"/>
        <v>0</v>
      </c>
      <c r="Y855" s="377">
        <f t="shared" si="341"/>
        <v>0</v>
      </c>
      <c r="Z855" s="377">
        <f t="shared" si="342"/>
        <v>0</v>
      </c>
      <c r="AA855" s="377">
        <f t="shared" si="343"/>
        <v>0</v>
      </c>
      <c r="AB855" s="377">
        <f t="shared" si="344"/>
        <v>0</v>
      </c>
      <c r="AC855" s="377">
        <f t="shared" si="345"/>
        <v>0</v>
      </c>
      <c r="AD855" s="376"/>
      <c r="AE855" s="332">
        <v>840</v>
      </c>
      <c r="AF855" s="350">
        <v>5284712.3461484024</v>
      </c>
      <c r="AG855" s="350">
        <v>10610926.45031767</v>
      </c>
      <c r="AH855" s="350">
        <v>15977449.62758885</v>
      </c>
      <c r="AI855" s="350">
        <v>21384459.816566721</v>
      </c>
      <c r="AJ855" s="350">
        <v>26832736.784157932</v>
      </c>
      <c r="AK855" s="348">
        <v>80090285.024779573</v>
      </c>
      <c r="AL855" s="369"/>
      <c r="AM855" s="350">
        <v>6507768.6254556188</v>
      </c>
      <c r="AN855" s="350">
        <v>14224940.437449509</v>
      </c>
      <c r="AO855" s="350">
        <v>21754609.117755521</v>
      </c>
      <c r="AP855" s="350">
        <v>29092465.448629785</v>
      </c>
      <c r="AQ855" s="350">
        <v>36236551.832102366</v>
      </c>
      <c r="AR855" s="348">
        <v>107816335.46139279</v>
      </c>
      <c r="AS855" s="369"/>
      <c r="AT855" s="350">
        <f t="shared" si="363"/>
        <v>1223056.2793072164</v>
      </c>
      <c r="AU855" s="350">
        <f t="shared" si="346"/>
        <v>3614013.9871318396</v>
      </c>
      <c r="AV855" s="350">
        <f t="shared" si="347"/>
        <v>5777159.4901666716</v>
      </c>
      <c r="AW855" s="350">
        <f t="shared" si="348"/>
        <v>7708005.6320630647</v>
      </c>
      <c r="AX855" s="350">
        <f t="shared" si="349"/>
        <v>9403815.047944434</v>
      </c>
      <c r="AY855" s="350">
        <f t="shared" si="350"/>
        <v>27726050.436613217</v>
      </c>
      <c r="AZ855" s="365"/>
      <c r="BA855" s="377">
        <f t="shared" si="351"/>
        <v>0</v>
      </c>
      <c r="BB855" s="377">
        <f t="shared" si="352"/>
        <v>0</v>
      </c>
      <c r="BC855" s="377">
        <f t="shared" si="353"/>
        <v>0</v>
      </c>
      <c r="BD855" s="377">
        <f t="shared" si="354"/>
        <v>0</v>
      </c>
      <c r="BE855" s="377">
        <f t="shared" si="355"/>
        <v>0</v>
      </c>
      <c r="BF855" s="377">
        <f t="shared" si="356"/>
        <v>0</v>
      </c>
      <c r="BG855" s="328"/>
    </row>
    <row r="856" spans="2:59">
      <c r="B856" s="332">
        <v>841</v>
      </c>
      <c r="C856" s="350">
        <v>10398486.189126473</v>
      </c>
      <c r="D856" s="350">
        <v>19766245.401887767</v>
      </c>
      <c r="E856" s="350">
        <v>29204583.154118504</v>
      </c>
      <c r="F856" s="350">
        <v>38714100.617728636</v>
      </c>
      <c r="G856" s="350">
        <v>48296294.649710193</v>
      </c>
      <c r="H856" s="348">
        <v>146379710.01257157</v>
      </c>
      <c r="I856" s="369"/>
      <c r="J856" s="350">
        <v>11632384.26061663</v>
      </c>
      <c r="K856" s="350">
        <v>23402525.326464638</v>
      </c>
      <c r="L856" s="350">
        <v>34852952.750629008</v>
      </c>
      <c r="M856" s="350">
        <v>45975254.913122699</v>
      </c>
      <c r="N856" s="350">
        <v>56763748.568180628</v>
      </c>
      <c r="O856" s="348">
        <v>172626865.8190136</v>
      </c>
      <c r="P856" s="369"/>
      <c r="Q856" s="350">
        <f t="shared" si="357"/>
        <v>1233898.0714901574</v>
      </c>
      <c r="R856" s="350">
        <f t="shared" si="358"/>
        <v>3636279.9245768711</v>
      </c>
      <c r="S856" s="350">
        <f t="shared" si="359"/>
        <v>5648369.5965105034</v>
      </c>
      <c r="T856" s="350">
        <f t="shared" si="360"/>
        <v>7261154.295394063</v>
      </c>
      <c r="U856" s="350">
        <f t="shared" si="361"/>
        <v>8467453.9184704348</v>
      </c>
      <c r="V856" s="350">
        <f t="shared" si="362"/>
        <v>26247155.806442022</v>
      </c>
      <c r="W856" s="365"/>
      <c r="X856" s="377">
        <f t="shared" si="340"/>
        <v>0</v>
      </c>
      <c r="Y856" s="377">
        <f t="shared" si="341"/>
        <v>0</v>
      </c>
      <c r="Z856" s="377">
        <f t="shared" si="342"/>
        <v>0</v>
      </c>
      <c r="AA856" s="377">
        <f t="shared" si="343"/>
        <v>0</v>
      </c>
      <c r="AB856" s="377">
        <f t="shared" si="344"/>
        <v>0</v>
      </c>
      <c r="AC856" s="377">
        <f t="shared" si="345"/>
        <v>0</v>
      </c>
      <c r="AD856" s="376"/>
      <c r="AE856" s="332">
        <v>841</v>
      </c>
      <c r="AF856" s="350">
        <v>4326050.7074987013</v>
      </c>
      <c r="AG856" s="350">
        <v>8686074.6377366576</v>
      </c>
      <c r="AH856" s="350">
        <v>13079095.462183669</v>
      </c>
      <c r="AI856" s="350">
        <v>17505258.840882644</v>
      </c>
      <c r="AJ856" s="350">
        <v>21965203.088836793</v>
      </c>
      <c r="AK856" s="348">
        <v>65561682.737138465</v>
      </c>
      <c r="AL856" s="369"/>
      <c r="AM856" s="350">
        <v>4965907.7450513542</v>
      </c>
      <c r="AN856" s="350">
        <v>10572887.587216364</v>
      </c>
      <c r="AO856" s="350">
        <v>16015555.842182456</v>
      </c>
      <c r="AP856" s="350">
        <v>21290487.194877714</v>
      </c>
      <c r="AQ856" s="350">
        <v>26395713.215064537</v>
      </c>
      <c r="AR856" s="348">
        <v>79240551.584392428</v>
      </c>
      <c r="AS856" s="369"/>
      <c r="AT856" s="350">
        <f t="shared" si="363"/>
        <v>639857.03755265288</v>
      </c>
      <c r="AU856" s="350">
        <f t="shared" si="346"/>
        <v>1886812.9494797066</v>
      </c>
      <c r="AV856" s="350">
        <f t="shared" si="347"/>
        <v>2936460.3799987864</v>
      </c>
      <c r="AW856" s="350">
        <f t="shared" si="348"/>
        <v>3785228.3539950699</v>
      </c>
      <c r="AX856" s="350">
        <f t="shared" si="349"/>
        <v>4430510.1262277439</v>
      </c>
      <c r="AY856" s="350">
        <f t="shared" si="350"/>
        <v>13678868.847253963</v>
      </c>
      <c r="AZ856" s="365"/>
      <c r="BA856" s="377">
        <f t="shared" si="351"/>
        <v>0</v>
      </c>
      <c r="BB856" s="377">
        <f t="shared" si="352"/>
        <v>0</v>
      </c>
      <c r="BC856" s="377">
        <f t="shared" si="353"/>
        <v>0</v>
      </c>
      <c r="BD856" s="377">
        <f t="shared" si="354"/>
        <v>0</v>
      </c>
      <c r="BE856" s="377">
        <f t="shared" si="355"/>
        <v>0</v>
      </c>
      <c r="BF856" s="377">
        <f t="shared" si="356"/>
        <v>0</v>
      </c>
      <c r="BG856" s="328"/>
    </row>
    <row r="857" spans="2:59">
      <c r="B857" s="332">
        <v>842</v>
      </c>
      <c r="C857" s="350">
        <v>8262071.5130281858</v>
      </c>
      <c r="D857" s="350">
        <v>15619420.520022418</v>
      </c>
      <c r="E857" s="350">
        <v>23032173.884469181</v>
      </c>
      <c r="F857" s="350">
        <v>30500828.620346628</v>
      </c>
      <c r="G857" s="350">
        <v>38026571.161125578</v>
      </c>
      <c r="H857" s="348">
        <v>115441065.69899198</v>
      </c>
      <c r="I857" s="369"/>
      <c r="J857" s="350">
        <v>9430961.0871772375</v>
      </c>
      <c r="K857" s="350">
        <v>19067856.342180632</v>
      </c>
      <c r="L857" s="350">
        <v>28457803.799227457</v>
      </c>
      <c r="M857" s="350">
        <v>37594232.89034801</v>
      </c>
      <c r="N857" s="350">
        <v>46472963.423336327</v>
      </c>
      <c r="O857" s="348">
        <v>141023817.54226968</v>
      </c>
      <c r="P857" s="369"/>
      <c r="Q857" s="350">
        <f t="shared" si="357"/>
        <v>1168889.5741490517</v>
      </c>
      <c r="R857" s="350">
        <f t="shared" si="358"/>
        <v>3448435.8221582137</v>
      </c>
      <c r="S857" s="350">
        <f t="shared" si="359"/>
        <v>5425629.9147582762</v>
      </c>
      <c r="T857" s="350">
        <f t="shared" si="360"/>
        <v>7093404.2700013816</v>
      </c>
      <c r="U857" s="350">
        <f t="shared" si="361"/>
        <v>8446392.2622107491</v>
      </c>
      <c r="V857" s="350">
        <f t="shared" si="362"/>
        <v>25582751.843277693</v>
      </c>
      <c r="W857" s="365"/>
      <c r="X857" s="377">
        <f t="shared" si="340"/>
        <v>0</v>
      </c>
      <c r="Y857" s="377">
        <f t="shared" si="341"/>
        <v>0</v>
      </c>
      <c r="Z857" s="377">
        <f t="shared" si="342"/>
        <v>0</v>
      </c>
      <c r="AA857" s="377">
        <f t="shared" si="343"/>
        <v>0</v>
      </c>
      <c r="AB857" s="377">
        <f t="shared" si="344"/>
        <v>0</v>
      </c>
      <c r="AC857" s="377">
        <f t="shared" si="345"/>
        <v>0</v>
      </c>
      <c r="AD857" s="376"/>
      <c r="AE857" s="332">
        <v>842</v>
      </c>
      <c r="AF857" s="350">
        <v>4360599.1179731153</v>
      </c>
      <c r="AG857" s="350">
        <v>8755442.773314856</v>
      </c>
      <c r="AH857" s="350">
        <v>13183546.840406843</v>
      </c>
      <c r="AI857" s="350">
        <v>17645058.142552264</v>
      </c>
      <c r="AJ857" s="350">
        <v>22140620.092421982</v>
      </c>
      <c r="AK857" s="348">
        <v>66085266.966669053</v>
      </c>
      <c r="AL857" s="369"/>
      <c r="AM857" s="350">
        <v>5219349.222218575</v>
      </c>
      <c r="AN857" s="350">
        <v>11291341.908565041</v>
      </c>
      <c r="AO857" s="350">
        <v>17204113.664541539</v>
      </c>
      <c r="AP857" s="350">
        <v>22954151.35427285</v>
      </c>
      <c r="AQ857" s="350">
        <v>28539687.339524753</v>
      </c>
      <c r="AR857" s="348">
        <v>85208643.489122748</v>
      </c>
      <c r="AS857" s="369"/>
      <c r="AT857" s="350">
        <f t="shared" si="363"/>
        <v>858750.10424545966</v>
      </c>
      <c r="AU857" s="350">
        <f t="shared" si="346"/>
        <v>2535899.1352501847</v>
      </c>
      <c r="AV857" s="350">
        <f t="shared" si="347"/>
        <v>4020566.8241346963</v>
      </c>
      <c r="AW857" s="350">
        <f t="shared" si="348"/>
        <v>5309093.2117205858</v>
      </c>
      <c r="AX857" s="350">
        <f t="shared" si="349"/>
        <v>6399067.247102771</v>
      </c>
      <c r="AY857" s="350">
        <f t="shared" si="350"/>
        <v>19123376.522453696</v>
      </c>
      <c r="AZ857" s="365"/>
      <c r="BA857" s="377">
        <f t="shared" si="351"/>
        <v>0</v>
      </c>
      <c r="BB857" s="377">
        <f t="shared" si="352"/>
        <v>0</v>
      </c>
      <c r="BC857" s="377">
        <f t="shared" si="353"/>
        <v>0</v>
      </c>
      <c r="BD857" s="377">
        <f t="shared" si="354"/>
        <v>0</v>
      </c>
      <c r="BE857" s="377">
        <f t="shared" si="355"/>
        <v>0</v>
      </c>
      <c r="BF857" s="377">
        <f t="shared" si="356"/>
        <v>0</v>
      </c>
      <c r="BG857" s="328"/>
    </row>
    <row r="858" spans="2:59">
      <c r="B858" s="332">
        <v>843</v>
      </c>
      <c r="C858" s="350">
        <v>9101162.5301865041</v>
      </c>
      <c r="D858" s="350">
        <v>17092505.559092231</v>
      </c>
      <c r="E858" s="350">
        <v>25143990.690233108</v>
      </c>
      <c r="F858" s="350">
        <v>33256190.964810841</v>
      </c>
      <c r="G858" s="350">
        <v>41430409.497803621</v>
      </c>
      <c r="H858" s="348">
        <v>126024259.24212632</v>
      </c>
      <c r="I858" s="369"/>
      <c r="J858" s="350">
        <v>10747824.629875146</v>
      </c>
      <c r="K858" s="350">
        <v>21956326.058080509</v>
      </c>
      <c r="L858" s="350">
        <v>32915454.677028947</v>
      </c>
      <c r="M858" s="350">
        <v>43617711.912912309</v>
      </c>
      <c r="N858" s="350">
        <v>54058653.767724514</v>
      </c>
      <c r="O858" s="348">
        <v>163295971.04562142</v>
      </c>
      <c r="P858" s="369"/>
      <c r="Q858" s="350">
        <f t="shared" si="357"/>
        <v>1646662.0996886417</v>
      </c>
      <c r="R858" s="350">
        <f t="shared" si="358"/>
        <v>4863820.4989882782</v>
      </c>
      <c r="S858" s="350">
        <f t="shared" si="359"/>
        <v>7771463.9867958389</v>
      </c>
      <c r="T858" s="350">
        <f t="shared" si="360"/>
        <v>10361520.948101468</v>
      </c>
      <c r="U858" s="350">
        <f t="shared" si="361"/>
        <v>12628244.269920893</v>
      </c>
      <c r="V858" s="350">
        <f t="shared" si="362"/>
        <v>37271711.803495109</v>
      </c>
      <c r="W858" s="365"/>
      <c r="X858" s="377">
        <f t="shared" si="340"/>
        <v>0</v>
      </c>
      <c r="Y858" s="377">
        <f t="shared" si="341"/>
        <v>0</v>
      </c>
      <c r="Z858" s="377">
        <f t="shared" si="342"/>
        <v>0</v>
      </c>
      <c r="AA858" s="377">
        <f t="shared" si="343"/>
        <v>0</v>
      </c>
      <c r="AB858" s="377">
        <f t="shared" si="344"/>
        <v>0</v>
      </c>
      <c r="AC858" s="377">
        <f t="shared" si="345"/>
        <v>0</v>
      </c>
      <c r="AD858" s="376"/>
      <c r="AE858" s="332">
        <v>843</v>
      </c>
      <c r="AF858" s="350">
        <v>4746113.9740124019</v>
      </c>
      <c r="AG858" s="350">
        <v>9529500.0000850186</v>
      </c>
      <c r="AH858" s="350">
        <v>14349086.947342666</v>
      </c>
      <c r="AI858" s="350">
        <v>19205034.619544439</v>
      </c>
      <c r="AJ858" s="350">
        <v>24098043.31263262</v>
      </c>
      <c r="AK858" s="348">
        <v>71927778.853617147</v>
      </c>
      <c r="AL858" s="369"/>
      <c r="AM858" s="350">
        <v>5761677.7796909325</v>
      </c>
      <c r="AN858" s="350">
        <v>12529498.737539086</v>
      </c>
      <c r="AO858" s="350">
        <v>19126445.013892386</v>
      </c>
      <c r="AP858" s="350">
        <v>25548670.001670219</v>
      </c>
      <c r="AQ858" s="350">
        <v>31794331.713428669</v>
      </c>
      <c r="AR858" s="348">
        <v>94760623.246221289</v>
      </c>
      <c r="AS858" s="369"/>
      <c r="AT858" s="350">
        <f t="shared" si="363"/>
        <v>1015563.8056785306</v>
      </c>
      <c r="AU858" s="350">
        <f t="shared" si="346"/>
        <v>2999998.7374540679</v>
      </c>
      <c r="AV858" s="350">
        <f t="shared" si="347"/>
        <v>4777358.0665497202</v>
      </c>
      <c r="AW858" s="350">
        <f t="shared" si="348"/>
        <v>6343635.38212578</v>
      </c>
      <c r="AX858" s="350">
        <f t="shared" si="349"/>
        <v>7696288.4007960483</v>
      </c>
      <c r="AY858" s="350">
        <f t="shared" si="350"/>
        <v>22832844.392604142</v>
      </c>
      <c r="AZ858" s="365"/>
      <c r="BA858" s="377">
        <f t="shared" si="351"/>
        <v>0</v>
      </c>
      <c r="BB858" s="377">
        <f t="shared" si="352"/>
        <v>0</v>
      </c>
      <c r="BC858" s="377">
        <f t="shared" si="353"/>
        <v>0</v>
      </c>
      <c r="BD858" s="377">
        <f t="shared" si="354"/>
        <v>0</v>
      </c>
      <c r="BE858" s="377">
        <f t="shared" si="355"/>
        <v>0</v>
      </c>
      <c r="BF858" s="377">
        <f t="shared" si="356"/>
        <v>0</v>
      </c>
      <c r="BG858" s="328"/>
    </row>
    <row r="859" spans="2:59">
      <c r="B859" s="332">
        <v>844</v>
      </c>
      <c r="C859" s="350">
        <v>7870906.5814292412</v>
      </c>
      <c r="D859" s="350">
        <v>14891743.003143113</v>
      </c>
      <c r="E859" s="350">
        <v>21965453.495353997</v>
      </c>
      <c r="F859" s="350">
        <v>29092508.87379989</v>
      </c>
      <c r="G859" s="350">
        <v>36274039.798603877</v>
      </c>
      <c r="H859" s="348">
        <v>110094651.75233011</v>
      </c>
      <c r="I859" s="369"/>
      <c r="J859" s="350">
        <v>9067553.7180517428</v>
      </c>
      <c r="K859" s="350">
        <v>18423351.902698882</v>
      </c>
      <c r="L859" s="350">
        <v>27555985.330571778</v>
      </c>
      <c r="M859" s="350">
        <v>36458776.9551915</v>
      </c>
      <c r="N859" s="350">
        <v>45127422.722630478</v>
      </c>
      <c r="O859" s="348">
        <v>136633090.62914437</v>
      </c>
      <c r="P859" s="369"/>
      <c r="Q859" s="350">
        <f t="shared" si="357"/>
        <v>1196647.1366225015</v>
      </c>
      <c r="R859" s="350">
        <f t="shared" si="358"/>
        <v>3531608.8995557688</v>
      </c>
      <c r="S859" s="350">
        <f t="shared" si="359"/>
        <v>5590531.8352177814</v>
      </c>
      <c r="T859" s="350">
        <f t="shared" si="360"/>
        <v>7366268.0813916102</v>
      </c>
      <c r="U859" s="350">
        <f t="shared" si="361"/>
        <v>8853382.924026601</v>
      </c>
      <c r="V859" s="350">
        <f t="shared" si="362"/>
        <v>26538438.876814261</v>
      </c>
      <c r="W859" s="365"/>
      <c r="X859" s="377">
        <f t="shared" si="340"/>
        <v>0</v>
      </c>
      <c r="Y859" s="377">
        <f t="shared" si="341"/>
        <v>0</v>
      </c>
      <c r="Z859" s="377">
        <f t="shared" si="342"/>
        <v>0</v>
      </c>
      <c r="AA859" s="377">
        <f t="shared" si="343"/>
        <v>0</v>
      </c>
      <c r="AB859" s="377">
        <f t="shared" si="344"/>
        <v>0</v>
      </c>
      <c r="AC859" s="377">
        <f t="shared" si="345"/>
        <v>0</v>
      </c>
      <c r="AD859" s="376"/>
      <c r="AE859" s="332">
        <v>844</v>
      </c>
      <c r="AF859" s="350">
        <v>8343209.0791726364</v>
      </c>
      <c r="AG859" s="350">
        <v>16751938.819005955</v>
      </c>
      <c r="AH859" s="350">
        <v>25224306.275075994</v>
      </c>
      <c r="AI859" s="350">
        <v>33760592.366926849</v>
      </c>
      <c r="AJ859" s="350">
        <v>42362028.147056572</v>
      </c>
      <c r="AK859" s="348">
        <v>126442074.68723801</v>
      </c>
      <c r="AL859" s="369"/>
      <c r="AM859" s="350">
        <v>9973201.2098766919</v>
      </c>
      <c r="AN859" s="350">
        <v>21565158.800855286</v>
      </c>
      <c r="AO859" s="350">
        <v>32852084.829210155</v>
      </c>
      <c r="AP859" s="350">
        <v>43827261.24826552</v>
      </c>
      <c r="AQ859" s="350">
        <v>54487292.769464694</v>
      </c>
      <c r="AR859" s="348">
        <v>162704998.85767236</v>
      </c>
      <c r="AS859" s="369"/>
      <c r="AT859" s="350">
        <f t="shared" si="363"/>
        <v>1629992.1307040555</v>
      </c>
      <c r="AU859" s="350">
        <f t="shared" si="346"/>
        <v>4813219.9818493314</v>
      </c>
      <c r="AV859" s="350">
        <f t="shared" si="347"/>
        <v>7627778.5541341603</v>
      </c>
      <c r="AW859" s="350">
        <f t="shared" si="348"/>
        <v>10066668.881338671</v>
      </c>
      <c r="AX859" s="350">
        <f t="shared" si="349"/>
        <v>12125264.622408122</v>
      </c>
      <c r="AY859" s="350">
        <f t="shared" si="350"/>
        <v>36262924.170434356</v>
      </c>
      <c r="AZ859" s="365"/>
      <c r="BA859" s="377">
        <f t="shared" si="351"/>
        <v>0</v>
      </c>
      <c r="BB859" s="377">
        <f t="shared" si="352"/>
        <v>0</v>
      </c>
      <c r="BC859" s="377">
        <f t="shared" si="353"/>
        <v>0</v>
      </c>
      <c r="BD859" s="377">
        <f t="shared" si="354"/>
        <v>0</v>
      </c>
      <c r="BE859" s="377">
        <f t="shared" si="355"/>
        <v>0</v>
      </c>
      <c r="BF859" s="377">
        <f t="shared" si="356"/>
        <v>0</v>
      </c>
      <c r="BG859" s="328"/>
    </row>
    <row r="860" spans="2:59">
      <c r="B860" s="332">
        <v>845</v>
      </c>
      <c r="C860" s="350">
        <v>7356223.1783472002</v>
      </c>
      <c r="D860" s="350">
        <v>13937795.613286033</v>
      </c>
      <c r="E860" s="350">
        <v>20568940.401323605</v>
      </c>
      <c r="F860" s="350">
        <v>27250093.095283844</v>
      </c>
      <c r="G860" s="350">
        <v>33982311.088511162</v>
      </c>
      <c r="H860" s="348">
        <v>103095363.37675184</v>
      </c>
      <c r="I860" s="369"/>
      <c r="J860" s="350">
        <v>8256218.9821340591</v>
      </c>
      <c r="K860" s="350">
        <v>16590710.325000672</v>
      </c>
      <c r="L860" s="350">
        <v>24706520.068040155</v>
      </c>
      <c r="M860" s="350">
        <v>32597563.074424211</v>
      </c>
      <c r="N860" s="350">
        <v>40259699.142493665</v>
      </c>
      <c r="O860" s="348">
        <v>122410711.59209277</v>
      </c>
      <c r="P860" s="369"/>
      <c r="Q860" s="350">
        <f t="shared" si="357"/>
        <v>899995.80378685892</v>
      </c>
      <c r="R860" s="350">
        <f t="shared" si="358"/>
        <v>2652914.7117146384</v>
      </c>
      <c r="S860" s="350">
        <f t="shared" si="359"/>
        <v>4137579.6667165495</v>
      </c>
      <c r="T860" s="350">
        <f t="shared" si="360"/>
        <v>5347469.9791403674</v>
      </c>
      <c r="U860" s="350">
        <f t="shared" si="361"/>
        <v>6277388.0539825037</v>
      </c>
      <c r="V860" s="350">
        <f t="shared" si="362"/>
        <v>19315348.215340927</v>
      </c>
      <c r="W860" s="365"/>
      <c r="X860" s="377">
        <f t="shared" si="340"/>
        <v>0</v>
      </c>
      <c r="Y860" s="377">
        <f t="shared" si="341"/>
        <v>0</v>
      </c>
      <c r="Z860" s="377">
        <f t="shared" si="342"/>
        <v>0</v>
      </c>
      <c r="AA860" s="377">
        <f t="shared" si="343"/>
        <v>0</v>
      </c>
      <c r="AB860" s="377">
        <f t="shared" si="344"/>
        <v>0</v>
      </c>
      <c r="AC860" s="377">
        <f t="shared" si="345"/>
        <v>0</v>
      </c>
      <c r="AD860" s="376"/>
      <c r="AE860" s="332">
        <v>845</v>
      </c>
      <c r="AF860" s="350">
        <v>5526272.6169497371</v>
      </c>
      <c r="AG860" s="350">
        <v>11095944.006412253</v>
      </c>
      <c r="AH860" s="350">
        <v>16707766.96672802</v>
      </c>
      <c r="AI860" s="350">
        <v>22361927.569943096</v>
      </c>
      <c r="AJ860" s="350">
        <v>28059241.225529484</v>
      </c>
      <c r="AK860" s="348">
        <v>83751152.385562599</v>
      </c>
      <c r="AL860" s="369"/>
      <c r="AM860" s="350">
        <v>6473010.1546298917</v>
      </c>
      <c r="AN860" s="350">
        <v>13889873.847544312</v>
      </c>
      <c r="AO860" s="350">
        <v>21100713.574449144</v>
      </c>
      <c r="AP860" s="350">
        <v>28101117.111657977</v>
      </c>
      <c r="AQ860" s="350">
        <v>34888700.916094854</v>
      </c>
      <c r="AR860" s="348">
        <v>104453415.60437618</v>
      </c>
      <c r="AS860" s="369"/>
      <c r="AT860" s="350">
        <f t="shared" si="363"/>
        <v>946737.53768015467</v>
      </c>
      <c r="AU860" s="350">
        <f t="shared" si="346"/>
        <v>2793929.8411320597</v>
      </c>
      <c r="AV860" s="350">
        <f t="shared" si="347"/>
        <v>4392946.6077211238</v>
      </c>
      <c r="AW860" s="350">
        <f t="shared" si="348"/>
        <v>5739189.5417148806</v>
      </c>
      <c r="AX860" s="350">
        <f t="shared" si="349"/>
        <v>6829459.69056537</v>
      </c>
      <c r="AY860" s="350">
        <f t="shared" si="350"/>
        <v>20702263.218813583</v>
      </c>
      <c r="AZ860" s="365"/>
      <c r="BA860" s="377">
        <f t="shared" si="351"/>
        <v>0</v>
      </c>
      <c r="BB860" s="377">
        <f t="shared" si="352"/>
        <v>0</v>
      </c>
      <c r="BC860" s="377">
        <f t="shared" si="353"/>
        <v>0</v>
      </c>
      <c r="BD860" s="377">
        <f t="shared" si="354"/>
        <v>0</v>
      </c>
      <c r="BE860" s="377">
        <f t="shared" si="355"/>
        <v>0</v>
      </c>
      <c r="BF860" s="377">
        <f t="shared" si="356"/>
        <v>0</v>
      </c>
      <c r="BG860" s="328"/>
    </row>
    <row r="861" spans="2:59">
      <c r="B861" s="332">
        <v>846</v>
      </c>
      <c r="C861" s="350">
        <v>6190945.3813197613</v>
      </c>
      <c r="D861" s="350">
        <v>11672172.934805499</v>
      </c>
      <c r="E861" s="350">
        <v>17194666.495274052</v>
      </c>
      <c r="F861" s="350">
        <v>22758805.660407975</v>
      </c>
      <c r="G861" s="350">
        <v>28365478.379579473</v>
      </c>
      <c r="H861" s="348">
        <v>86182068.851386756</v>
      </c>
      <c r="I861" s="369"/>
      <c r="J861" s="350">
        <v>7122055.6620495729</v>
      </c>
      <c r="K861" s="350">
        <v>14420056.729629364</v>
      </c>
      <c r="L861" s="350">
        <v>21537844.599042498</v>
      </c>
      <c r="M861" s="350">
        <v>28470441.759538133</v>
      </c>
      <c r="N861" s="350">
        <v>35214721.386490189</v>
      </c>
      <c r="O861" s="348">
        <v>106765120.13674974</v>
      </c>
      <c r="P861" s="369"/>
      <c r="Q861" s="350">
        <f t="shared" si="357"/>
        <v>931110.28072981164</v>
      </c>
      <c r="R861" s="350">
        <f t="shared" si="358"/>
        <v>2747883.7948238645</v>
      </c>
      <c r="S861" s="350">
        <f t="shared" si="359"/>
        <v>4343178.1037684456</v>
      </c>
      <c r="T861" s="350">
        <f t="shared" si="360"/>
        <v>5711636.0991301574</v>
      </c>
      <c r="U861" s="350">
        <f t="shared" si="361"/>
        <v>6849243.0069107153</v>
      </c>
      <c r="V861" s="350">
        <f t="shared" si="362"/>
        <v>20583051.285362989</v>
      </c>
      <c r="W861" s="365"/>
      <c r="X861" s="377">
        <f t="shared" si="340"/>
        <v>0</v>
      </c>
      <c r="Y861" s="377">
        <f t="shared" si="341"/>
        <v>0</v>
      </c>
      <c r="Z861" s="377">
        <f t="shared" si="342"/>
        <v>0</v>
      </c>
      <c r="AA861" s="377">
        <f t="shared" si="343"/>
        <v>0</v>
      </c>
      <c r="AB861" s="377">
        <f t="shared" si="344"/>
        <v>0</v>
      </c>
      <c r="AC861" s="377">
        <f t="shared" si="345"/>
        <v>0</v>
      </c>
      <c r="AD861" s="376"/>
      <c r="AE861" s="332">
        <v>846</v>
      </c>
      <c r="AF861" s="350">
        <v>4881829.9955086792</v>
      </c>
      <c r="AG861" s="350">
        <v>9801997.84441448</v>
      </c>
      <c r="AH861" s="350">
        <v>14759401.786653437</v>
      </c>
      <c r="AI861" s="350">
        <v>19754206.195603184</v>
      </c>
      <c r="AJ861" s="350">
        <v>24787131.392300151</v>
      </c>
      <c r="AK861" s="348">
        <v>73984567.214479923</v>
      </c>
      <c r="AL861" s="369"/>
      <c r="AM861" s="350">
        <v>6125637.266254738</v>
      </c>
      <c r="AN861" s="350">
        <v>13478560.384400908</v>
      </c>
      <c r="AO861" s="350">
        <v>20661688.826883849</v>
      </c>
      <c r="AP861" s="350">
        <v>27671009.650108393</v>
      </c>
      <c r="AQ861" s="350">
        <v>34504829.940822527</v>
      </c>
      <c r="AR861" s="348">
        <v>102441726.06847042</v>
      </c>
      <c r="AS861" s="369"/>
      <c r="AT861" s="350">
        <f t="shared" si="363"/>
        <v>1243807.2707460588</v>
      </c>
      <c r="AU861" s="350">
        <f t="shared" si="346"/>
        <v>3676562.5399864279</v>
      </c>
      <c r="AV861" s="350">
        <f t="shared" si="347"/>
        <v>5902287.040230412</v>
      </c>
      <c r="AW861" s="350">
        <f t="shared" si="348"/>
        <v>7916803.4545052089</v>
      </c>
      <c r="AX861" s="350">
        <f t="shared" si="349"/>
        <v>9717698.5485223755</v>
      </c>
      <c r="AY861" s="350">
        <f t="shared" si="350"/>
        <v>28457158.853990495</v>
      </c>
      <c r="AZ861" s="365"/>
      <c r="BA861" s="377">
        <f t="shared" si="351"/>
        <v>0</v>
      </c>
      <c r="BB861" s="377">
        <f t="shared" si="352"/>
        <v>0</v>
      </c>
      <c r="BC861" s="377">
        <f t="shared" si="353"/>
        <v>0</v>
      </c>
      <c r="BD861" s="377">
        <f t="shared" si="354"/>
        <v>0</v>
      </c>
      <c r="BE861" s="377">
        <f t="shared" si="355"/>
        <v>0</v>
      </c>
      <c r="BF861" s="377">
        <f t="shared" si="356"/>
        <v>0</v>
      </c>
      <c r="BG861" s="328"/>
    </row>
    <row r="862" spans="2:59">
      <c r="B862" s="332">
        <v>847</v>
      </c>
      <c r="C862" s="350">
        <v>10142716.638343282</v>
      </c>
      <c r="D862" s="350">
        <v>19031434.257989034</v>
      </c>
      <c r="E862" s="350">
        <v>27987041.918282516</v>
      </c>
      <c r="F862" s="350">
        <v>37010182.115292229</v>
      </c>
      <c r="G862" s="350">
        <v>46102306.516807154</v>
      </c>
      <c r="H862" s="348">
        <v>140273681.44671422</v>
      </c>
      <c r="I862" s="369"/>
      <c r="J862" s="350">
        <v>11515260.406979734</v>
      </c>
      <c r="K862" s="350">
        <v>23080079.066178072</v>
      </c>
      <c r="L862" s="350">
        <v>34346744.789603248</v>
      </c>
      <c r="M862" s="350">
        <v>45307323.30032824</v>
      </c>
      <c r="N862" s="350">
        <v>55956691.044606991</v>
      </c>
      <c r="O862" s="348">
        <v>170206098.60769629</v>
      </c>
      <c r="P862" s="369"/>
      <c r="Q862" s="350">
        <f t="shared" si="357"/>
        <v>1372543.768636452</v>
      </c>
      <c r="R862" s="350">
        <f t="shared" si="358"/>
        <v>4048644.8081890382</v>
      </c>
      <c r="S862" s="350">
        <f t="shared" si="359"/>
        <v>6359702.8713207319</v>
      </c>
      <c r="T862" s="350">
        <f t="shared" si="360"/>
        <v>8297141.185036011</v>
      </c>
      <c r="U862" s="350">
        <f t="shared" si="361"/>
        <v>9854384.5277998373</v>
      </c>
      <c r="V862" s="350">
        <f t="shared" si="362"/>
        <v>29932417.160982072</v>
      </c>
      <c r="W862" s="365"/>
      <c r="X862" s="377">
        <f t="shared" si="340"/>
        <v>0</v>
      </c>
      <c r="Y862" s="377">
        <f t="shared" si="341"/>
        <v>0</v>
      </c>
      <c r="Z862" s="377">
        <f t="shared" si="342"/>
        <v>0</v>
      </c>
      <c r="AA862" s="377">
        <f t="shared" si="343"/>
        <v>0</v>
      </c>
      <c r="AB862" s="377">
        <f t="shared" si="344"/>
        <v>0</v>
      </c>
      <c r="AC862" s="377">
        <f t="shared" si="345"/>
        <v>0</v>
      </c>
      <c r="AD862" s="376"/>
      <c r="AE862" s="332">
        <v>847</v>
      </c>
      <c r="AF862" s="350">
        <v>5181882.974056825</v>
      </c>
      <c r="AG862" s="350">
        <v>10404460.16933053</v>
      </c>
      <c r="AH862" s="350">
        <v>15666562.108038764</v>
      </c>
      <c r="AI862" s="350">
        <v>20968363.266475815</v>
      </c>
      <c r="AJ862" s="350">
        <v>26310628.238926608</v>
      </c>
      <c r="AK862" s="348">
        <v>78531896.756828547</v>
      </c>
      <c r="AL862" s="369"/>
      <c r="AM862" s="350">
        <v>6345199.4740149584</v>
      </c>
      <c r="AN862" s="350">
        <v>13841560.587220125</v>
      </c>
      <c r="AO862" s="350">
        <v>21152990.520125665</v>
      </c>
      <c r="AP862" s="350">
        <v>28275274.06892965</v>
      </c>
      <c r="AQ862" s="350">
        <v>35206455.325899787</v>
      </c>
      <c r="AR862" s="348">
        <v>104821479.97619018</v>
      </c>
      <c r="AS862" s="369"/>
      <c r="AT862" s="350">
        <f t="shared" si="363"/>
        <v>1163316.4999581333</v>
      </c>
      <c r="AU862" s="350">
        <f t="shared" si="346"/>
        <v>3437100.417889595</v>
      </c>
      <c r="AV862" s="350">
        <f t="shared" si="347"/>
        <v>5486428.4120869003</v>
      </c>
      <c r="AW862" s="350">
        <f t="shared" si="348"/>
        <v>7306910.8024538346</v>
      </c>
      <c r="AX862" s="350">
        <f t="shared" si="349"/>
        <v>8895827.0869731791</v>
      </c>
      <c r="AY862" s="350">
        <f t="shared" si="350"/>
        <v>26289583.219361633</v>
      </c>
      <c r="AZ862" s="365"/>
      <c r="BA862" s="377">
        <f t="shared" si="351"/>
        <v>0</v>
      </c>
      <c r="BB862" s="377">
        <f t="shared" si="352"/>
        <v>0</v>
      </c>
      <c r="BC862" s="377">
        <f t="shared" si="353"/>
        <v>0</v>
      </c>
      <c r="BD862" s="377">
        <f t="shared" si="354"/>
        <v>0</v>
      </c>
      <c r="BE862" s="377">
        <f t="shared" si="355"/>
        <v>0</v>
      </c>
      <c r="BF862" s="377">
        <f t="shared" si="356"/>
        <v>0</v>
      </c>
      <c r="BG862" s="328"/>
    </row>
    <row r="863" spans="2:59">
      <c r="B863" s="332">
        <v>848</v>
      </c>
      <c r="C863" s="350">
        <v>8387249.7701873705</v>
      </c>
      <c r="D863" s="350">
        <v>15714425.703833956</v>
      </c>
      <c r="E863" s="350">
        <v>23096733.069583505</v>
      </c>
      <c r="F863" s="350">
        <v>30534708.378681857</v>
      </c>
      <c r="G863" s="350">
        <v>38029551.270983994</v>
      </c>
      <c r="H863" s="348">
        <v>115762668.19327068</v>
      </c>
      <c r="I863" s="369"/>
      <c r="J863" s="350">
        <v>9720875.2818285022</v>
      </c>
      <c r="K863" s="350">
        <v>19651515.47075472</v>
      </c>
      <c r="L863" s="350">
        <v>29350424.189320512</v>
      </c>
      <c r="M863" s="350">
        <v>38810705.565964706</v>
      </c>
      <c r="N863" s="350">
        <v>48028026.599475652</v>
      </c>
      <c r="O863" s="348">
        <v>145561547.10734409</v>
      </c>
      <c r="P863" s="369"/>
      <c r="Q863" s="350">
        <f t="shared" si="357"/>
        <v>1333625.5116411317</v>
      </c>
      <c r="R863" s="350">
        <f t="shared" si="358"/>
        <v>3937089.766920764</v>
      </c>
      <c r="S863" s="350">
        <f t="shared" si="359"/>
        <v>6253691.1197370067</v>
      </c>
      <c r="T863" s="350">
        <f t="shared" si="360"/>
        <v>8275997.1872828491</v>
      </c>
      <c r="U863" s="350">
        <f t="shared" si="361"/>
        <v>9998475.328491658</v>
      </c>
      <c r="V863" s="350">
        <f t="shared" si="362"/>
        <v>29798878.914073408</v>
      </c>
      <c r="W863" s="365"/>
      <c r="X863" s="377">
        <f t="shared" si="340"/>
        <v>0</v>
      </c>
      <c r="Y863" s="377">
        <f t="shared" si="341"/>
        <v>0</v>
      </c>
      <c r="Z863" s="377">
        <f t="shared" si="342"/>
        <v>0</v>
      </c>
      <c r="AA863" s="377">
        <f t="shared" si="343"/>
        <v>0</v>
      </c>
      <c r="AB863" s="377">
        <f t="shared" si="344"/>
        <v>0</v>
      </c>
      <c r="AC863" s="377">
        <f t="shared" si="345"/>
        <v>0</v>
      </c>
      <c r="AD863" s="376"/>
      <c r="AE863" s="332">
        <v>848</v>
      </c>
      <c r="AF863" s="350">
        <v>6066993.1811168427</v>
      </c>
      <c r="AG863" s="350">
        <v>12181631.506647356</v>
      </c>
      <c r="AH863" s="350">
        <v>18342545.741939478</v>
      </c>
      <c r="AI863" s="350">
        <v>24549940.165340099</v>
      </c>
      <c r="AJ863" s="350">
        <v>30804709.970418081</v>
      </c>
      <c r="AK863" s="348">
        <v>91945820.565461859</v>
      </c>
      <c r="AL863" s="369"/>
      <c r="AM863" s="350">
        <v>7049815.99976232</v>
      </c>
      <c r="AN863" s="350">
        <v>15081227.893093791</v>
      </c>
      <c r="AO863" s="350">
        <v>22884763.664802104</v>
      </c>
      <c r="AP863" s="350">
        <v>30455595.36930304</v>
      </c>
      <c r="AQ863" s="350">
        <v>37791048.974160835</v>
      </c>
      <c r="AR863" s="348">
        <v>113262451.90112208</v>
      </c>
      <c r="AS863" s="369"/>
      <c r="AT863" s="350">
        <f t="shared" si="363"/>
        <v>982822.81864547729</v>
      </c>
      <c r="AU863" s="350">
        <f t="shared" si="346"/>
        <v>2899596.386446435</v>
      </c>
      <c r="AV863" s="350">
        <f t="shared" si="347"/>
        <v>4542217.9228626266</v>
      </c>
      <c r="AW863" s="350">
        <f t="shared" si="348"/>
        <v>5905655.2039629407</v>
      </c>
      <c r="AX863" s="350">
        <f t="shared" si="349"/>
        <v>6986339.0037427545</v>
      </c>
      <c r="AY863" s="350">
        <f t="shared" si="350"/>
        <v>21316631.335660219</v>
      </c>
      <c r="AZ863" s="365"/>
      <c r="BA863" s="377">
        <f t="shared" si="351"/>
        <v>0</v>
      </c>
      <c r="BB863" s="377">
        <f t="shared" si="352"/>
        <v>0</v>
      </c>
      <c r="BC863" s="377">
        <f t="shared" si="353"/>
        <v>0</v>
      </c>
      <c r="BD863" s="377">
        <f t="shared" si="354"/>
        <v>0</v>
      </c>
      <c r="BE863" s="377">
        <f t="shared" si="355"/>
        <v>0</v>
      </c>
      <c r="BF863" s="377">
        <f t="shared" si="356"/>
        <v>0</v>
      </c>
      <c r="BG863" s="328"/>
    </row>
    <row r="864" spans="2:59">
      <c r="B864" s="332">
        <v>849</v>
      </c>
      <c r="C864" s="350">
        <v>9321649.3168648332</v>
      </c>
      <c r="D864" s="350">
        <v>17369931.130499315</v>
      </c>
      <c r="E864" s="350">
        <v>25478738.83778673</v>
      </c>
      <c r="F864" s="350">
        <v>33648690.205069885</v>
      </c>
      <c r="G864" s="350">
        <v>41881115.315434717</v>
      </c>
      <c r="H864" s="348">
        <v>127700124.80565548</v>
      </c>
      <c r="I864" s="369"/>
      <c r="J864" s="350">
        <v>10577000.631379483</v>
      </c>
      <c r="K864" s="350">
        <v>21073098.920126516</v>
      </c>
      <c r="L864" s="350">
        <v>31304297.452540323</v>
      </c>
      <c r="M864" s="350">
        <v>41263265.081726179</v>
      </c>
      <c r="N864" s="350">
        <v>50945204.40783716</v>
      </c>
      <c r="O864" s="348">
        <v>155162866.49360967</v>
      </c>
      <c r="P864" s="369"/>
      <c r="Q864" s="350">
        <f t="shared" si="357"/>
        <v>1255351.31451465</v>
      </c>
      <c r="R864" s="350">
        <f t="shared" si="358"/>
        <v>3703167.7896272019</v>
      </c>
      <c r="S864" s="350">
        <f t="shared" si="359"/>
        <v>5825558.6147535928</v>
      </c>
      <c r="T864" s="350">
        <f t="shared" si="360"/>
        <v>7614574.8766562939</v>
      </c>
      <c r="U864" s="350">
        <f t="shared" si="361"/>
        <v>9064089.0924024433</v>
      </c>
      <c r="V864" s="350">
        <f t="shared" si="362"/>
        <v>27462741.687954187</v>
      </c>
      <c r="W864" s="365"/>
      <c r="X864" s="377">
        <f t="shared" si="340"/>
        <v>0</v>
      </c>
      <c r="Y864" s="377">
        <f t="shared" si="341"/>
        <v>0</v>
      </c>
      <c r="Z864" s="377">
        <f t="shared" si="342"/>
        <v>0</v>
      </c>
      <c r="AA864" s="377">
        <f t="shared" si="343"/>
        <v>0</v>
      </c>
      <c r="AB864" s="377">
        <f t="shared" si="344"/>
        <v>0</v>
      </c>
      <c r="AC864" s="377">
        <f t="shared" si="345"/>
        <v>0</v>
      </c>
      <c r="AD864" s="376"/>
      <c r="AE864" s="332">
        <v>849</v>
      </c>
      <c r="AF864" s="350">
        <v>6080757.8532782504</v>
      </c>
      <c r="AG864" s="350">
        <v>12209268.947315983</v>
      </c>
      <c r="AH864" s="350">
        <v>18384160.940969087</v>
      </c>
      <c r="AI864" s="350">
        <v>24605638.576047055</v>
      </c>
      <c r="AJ864" s="350">
        <v>30874599.077115916</v>
      </c>
      <c r="AK864" s="348">
        <v>92154425.394726291</v>
      </c>
      <c r="AL864" s="369"/>
      <c r="AM864" s="350">
        <v>7374384.4860068597</v>
      </c>
      <c r="AN864" s="350">
        <v>16030583.765600162</v>
      </c>
      <c r="AO864" s="350">
        <v>24467631.811591171</v>
      </c>
      <c r="AP864" s="350">
        <v>32680602.448674902</v>
      </c>
      <c r="AQ864" s="350">
        <v>40667128.09075208</v>
      </c>
      <c r="AR864" s="348">
        <v>121220330.60262518</v>
      </c>
      <c r="AS864" s="369"/>
      <c r="AT864" s="350">
        <f t="shared" si="363"/>
        <v>1293626.6327286093</v>
      </c>
      <c r="AU864" s="350">
        <f t="shared" si="346"/>
        <v>3821314.8182841782</v>
      </c>
      <c r="AV864" s="350">
        <f t="shared" si="347"/>
        <v>6083470.8706220835</v>
      </c>
      <c r="AW864" s="350">
        <f t="shared" si="348"/>
        <v>8074963.8726278469</v>
      </c>
      <c r="AX864" s="350">
        <f t="shared" si="349"/>
        <v>9792529.0136361644</v>
      </c>
      <c r="AY864" s="350">
        <f t="shared" si="350"/>
        <v>29065905.207898885</v>
      </c>
      <c r="AZ864" s="365"/>
      <c r="BA864" s="377">
        <f t="shared" si="351"/>
        <v>0</v>
      </c>
      <c r="BB864" s="377">
        <f t="shared" si="352"/>
        <v>0</v>
      </c>
      <c r="BC864" s="377">
        <f t="shared" si="353"/>
        <v>0</v>
      </c>
      <c r="BD864" s="377">
        <f t="shared" si="354"/>
        <v>0</v>
      </c>
      <c r="BE864" s="377">
        <f t="shared" si="355"/>
        <v>0</v>
      </c>
      <c r="BF864" s="377">
        <f t="shared" si="356"/>
        <v>0</v>
      </c>
      <c r="BG864" s="328"/>
    </row>
    <row r="865" spans="2:59">
      <c r="B865" s="332">
        <v>850</v>
      </c>
      <c r="C865" s="350">
        <v>5926418.7984766699</v>
      </c>
      <c r="D865" s="350">
        <v>11055116.499544399</v>
      </c>
      <c r="E865" s="350">
        <v>16222387.74370957</v>
      </c>
      <c r="F865" s="350">
        <v>21428622.614188556</v>
      </c>
      <c r="G865" s="350">
        <v>26674667.13591285</v>
      </c>
      <c r="H865" s="348">
        <v>81307212.791832045</v>
      </c>
      <c r="I865" s="369"/>
      <c r="J865" s="350">
        <v>6776891.122817141</v>
      </c>
      <c r="K865" s="350">
        <v>13564743.892076289</v>
      </c>
      <c r="L865" s="350">
        <v>20183585.454565194</v>
      </c>
      <c r="M865" s="350">
        <v>26628809.470635351</v>
      </c>
      <c r="N865" s="350">
        <v>32897494.590851247</v>
      </c>
      <c r="O865" s="348">
        <v>100051524.53094523</v>
      </c>
      <c r="P865" s="369"/>
      <c r="Q865" s="350">
        <f t="shared" si="357"/>
        <v>850472.32434047107</v>
      </c>
      <c r="R865" s="350">
        <f t="shared" si="358"/>
        <v>2509627.3925318904</v>
      </c>
      <c r="S865" s="350">
        <f t="shared" si="359"/>
        <v>3961197.7108556237</v>
      </c>
      <c r="T865" s="350">
        <f t="shared" si="360"/>
        <v>5200186.8564467952</v>
      </c>
      <c r="U865" s="350">
        <f t="shared" si="361"/>
        <v>6222827.4549383968</v>
      </c>
      <c r="V865" s="350">
        <f t="shared" si="362"/>
        <v>18744311.739113182</v>
      </c>
      <c r="W865" s="365"/>
      <c r="X865" s="377">
        <f t="shared" si="340"/>
        <v>0</v>
      </c>
      <c r="Y865" s="377">
        <f t="shared" si="341"/>
        <v>0</v>
      </c>
      <c r="Z865" s="377">
        <f t="shared" si="342"/>
        <v>0</v>
      </c>
      <c r="AA865" s="377">
        <f t="shared" si="343"/>
        <v>0</v>
      </c>
      <c r="AB865" s="377">
        <f t="shared" si="344"/>
        <v>0</v>
      </c>
      <c r="AC865" s="377">
        <f t="shared" si="345"/>
        <v>0</v>
      </c>
      <c r="AD865" s="376"/>
      <c r="AE865" s="332">
        <v>850</v>
      </c>
      <c r="AF865" s="350">
        <v>5482174.459736512</v>
      </c>
      <c r="AG865" s="350">
        <v>11007401.381547324</v>
      </c>
      <c r="AH865" s="350">
        <v>16574443.516104013</v>
      </c>
      <c r="AI865" s="350">
        <v>22183485.450648159</v>
      </c>
      <c r="AJ865" s="350">
        <v>27835336.087905243</v>
      </c>
      <c r="AK865" s="348">
        <v>83082840.895941257</v>
      </c>
      <c r="AL865" s="369"/>
      <c r="AM865" s="350">
        <v>6543270.7482571732</v>
      </c>
      <c r="AN865" s="350">
        <v>14140595.941061687</v>
      </c>
      <c r="AO865" s="350">
        <v>21537192.52981763</v>
      </c>
      <c r="AP865" s="350">
        <v>28728649.017538745</v>
      </c>
      <c r="AQ865" s="350">
        <v>35712724.350930743</v>
      </c>
      <c r="AR865" s="348">
        <v>106662432.58760598</v>
      </c>
      <c r="AS865" s="369"/>
      <c r="AT865" s="350">
        <f t="shared" si="363"/>
        <v>1061096.2885206612</v>
      </c>
      <c r="AU865" s="350">
        <f t="shared" si="346"/>
        <v>3133194.5595143624</v>
      </c>
      <c r="AV865" s="350">
        <f t="shared" si="347"/>
        <v>4962749.0137136169</v>
      </c>
      <c r="AW865" s="350">
        <f t="shared" si="348"/>
        <v>6545163.5668905862</v>
      </c>
      <c r="AX865" s="350">
        <f t="shared" si="349"/>
        <v>7877388.2630254999</v>
      </c>
      <c r="AY865" s="350">
        <f t="shared" si="350"/>
        <v>23579591.691664726</v>
      </c>
      <c r="AZ865" s="365"/>
      <c r="BA865" s="377">
        <f t="shared" si="351"/>
        <v>0</v>
      </c>
      <c r="BB865" s="377">
        <f t="shared" si="352"/>
        <v>0</v>
      </c>
      <c r="BC865" s="377">
        <f t="shared" si="353"/>
        <v>0</v>
      </c>
      <c r="BD865" s="377">
        <f t="shared" si="354"/>
        <v>0</v>
      </c>
      <c r="BE865" s="377">
        <f t="shared" si="355"/>
        <v>0</v>
      </c>
      <c r="BF865" s="377">
        <f t="shared" si="356"/>
        <v>0</v>
      </c>
      <c r="BG865" s="328"/>
    </row>
    <row r="866" spans="2:59">
      <c r="B866" s="332">
        <v>851</v>
      </c>
      <c r="C866" s="350">
        <v>7454089.6363925207</v>
      </c>
      <c r="D866" s="350">
        <v>13988026.552441515</v>
      </c>
      <c r="E866" s="350">
        <v>20571133.608910624</v>
      </c>
      <c r="F866" s="350">
        <v>27203882.665025055</v>
      </c>
      <c r="G866" s="350">
        <v>33887340.629472017</v>
      </c>
      <c r="H866" s="348">
        <v>103104473.09224173</v>
      </c>
      <c r="I866" s="369"/>
      <c r="J866" s="350">
        <v>8412802.2447713297</v>
      </c>
      <c r="K866" s="350">
        <v>16815189.274698921</v>
      </c>
      <c r="L866" s="350">
        <v>25002983.232505724</v>
      </c>
      <c r="M866" s="350">
        <v>32970135.436757956</v>
      </c>
      <c r="N866" s="350">
        <v>40712589.281311147</v>
      </c>
      <c r="O866" s="348">
        <v>123913699.47004509</v>
      </c>
      <c r="P866" s="369"/>
      <c r="Q866" s="350">
        <f t="shared" si="357"/>
        <v>958712.60837880895</v>
      </c>
      <c r="R866" s="350">
        <f t="shared" si="358"/>
        <v>2827162.7222574055</v>
      </c>
      <c r="S866" s="350">
        <f t="shared" si="359"/>
        <v>4431849.6235950999</v>
      </c>
      <c r="T866" s="350">
        <f t="shared" si="360"/>
        <v>5766252.7717329003</v>
      </c>
      <c r="U866" s="350">
        <f t="shared" si="361"/>
        <v>6825248.6518391296</v>
      </c>
      <c r="V866" s="350">
        <f t="shared" si="362"/>
        <v>20809226.377803355</v>
      </c>
      <c r="W866" s="365"/>
      <c r="X866" s="377">
        <f t="shared" si="340"/>
        <v>0</v>
      </c>
      <c r="Y866" s="377">
        <f t="shared" si="341"/>
        <v>0</v>
      </c>
      <c r="Z866" s="377">
        <f t="shared" si="342"/>
        <v>0</v>
      </c>
      <c r="AA866" s="377">
        <f t="shared" si="343"/>
        <v>0</v>
      </c>
      <c r="AB866" s="377">
        <f t="shared" si="344"/>
        <v>0</v>
      </c>
      <c r="AC866" s="377">
        <f t="shared" si="345"/>
        <v>0</v>
      </c>
      <c r="AD866" s="376"/>
      <c r="AE866" s="332">
        <v>851</v>
      </c>
      <c r="AF866" s="350">
        <v>6121698.8373972718</v>
      </c>
      <c r="AG866" s="350">
        <v>12291472.432167372</v>
      </c>
      <c r="AH866" s="350">
        <v>18507939.203364447</v>
      </c>
      <c r="AI866" s="350">
        <v>24771305.271299057</v>
      </c>
      <c r="AJ866" s="350">
        <v>31082473.901438318</v>
      </c>
      <c r="AK866" s="348">
        <v>92774889.645666465</v>
      </c>
      <c r="AL866" s="369"/>
      <c r="AM866" s="350">
        <v>7102773.7353727799</v>
      </c>
      <c r="AN866" s="350">
        <v>15185748.23505139</v>
      </c>
      <c r="AO866" s="350">
        <v>23038474.098118041</v>
      </c>
      <c r="AP866" s="350">
        <v>30656082.846630279</v>
      </c>
      <c r="AQ866" s="350">
        <v>38035865.591179505</v>
      </c>
      <c r="AR866" s="348">
        <v>114018944.50635199</v>
      </c>
      <c r="AS866" s="369"/>
      <c r="AT866" s="350">
        <f t="shared" si="363"/>
        <v>981074.89797550812</v>
      </c>
      <c r="AU866" s="350">
        <f t="shared" si="346"/>
        <v>2894275.802884018</v>
      </c>
      <c r="AV866" s="350">
        <f t="shared" si="347"/>
        <v>4530534.894753594</v>
      </c>
      <c r="AW866" s="350">
        <f t="shared" si="348"/>
        <v>5884777.5753312223</v>
      </c>
      <c r="AX866" s="350">
        <f t="shared" si="349"/>
        <v>6953391.6897411868</v>
      </c>
      <c r="AY866" s="350">
        <f t="shared" si="350"/>
        <v>21244054.860685527</v>
      </c>
      <c r="AZ866" s="365"/>
      <c r="BA866" s="377">
        <f t="shared" si="351"/>
        <v>0</v>
      </c>
      <c r="BB866" s="377">
        <f t="shared" si="352"/>
        <v>0</v>
      </c>
      <c r="BC866" s="377">
        <f t="shared" si="353"/>
        <v>0</v>
      </c>
      <c r="BD866" s="377">
        <f t="shared" si="354"/>
        <v>0</v>
      </c>
      <c r="BE866" s="377">
        <f t="shared" si="355"/>
        <v>0</v>
      </c>
      <c r="BF866" s="377">
        <f t="shared" si="356"/>
        <v>0</v>
      </c>
      <c r="BG866" s="328"/>
    </row>
    <row r="867" spans="2:59">
      <c r="B867" s="332">
        <v>852</v>
      </c>
      <c r="C867" s="350">
        <v>9619375.1937300377</v>
      </c>
      <c r="D867" s="350">
        <v>17965735.405834347</v>
      </c>
      <c r="E867" s="350">
        <v>26374876.818723481</v>
      </c>
      <c r="F867" s="350">
        <v>34847427.671417698</v>
      </c>
      <c r="G867" s="350">
        <v>43384761.910029143</v>
      </c>
      <c r="H867" s="348">
        <v>132192176.9997347</v>
      </c>
      <c r="I867" s="369"/>
      <c r="J867" s="350">
        <v>11284314.145947296</v>
      </c>
      <c r="K867" s="350">
        <v>22882899.265076663</v>
      </c>
      <c r="L867" s="350">
        <v>34226949.73768799</v>
      </c>
      <c r="M867" s="350">
        <v>45308390.139078215</v>
      </c>
      <c r="N867" s="350">
        <v>56122235.884712324</v>
      </c>
      <c r="O867" s="348">
        <v>169824789.17250249</v>
      </c>
      <c r="P867" s="369"/>
      <c r="Q867" s="350">
        <f t="shared" si="357"/>
        <v>1664938.9522172585</v>
      </c>
      <c r="R867" s="350">
        <f t="shared" si="358"/>
        <v>4917163.8592423163</v>
      </c>
      <c r="S867" s="350">
        <f t="shared" si="359"/>
        <v>7852072.9189645089</v>
      </c>
      <c r="T867" s="350">
        <f t="shared" si="360"/>
        <v>10460962.467660517</v>
      </c>
      <c r="U867" s="350">
        <f t="shared" si="361"/>
        <v>12737473.97468318</v>
      </c>
      <c r="V867" s="350">
        <f t="shared" si="362"/>
        <v>37632612.172767788</v>
      </c>
      <c r="W867" s="365"/>
      <c r="X867" s="377">
        <f t="shared" si="340"/>
        <v>0</v>
      </c>
      <c r="Y867" s="377">
        <f t="shared" si="341"/>
        <v>0</v>
      </c>
      <c r="Z867" s="377">
        <f t="shared" si="342"/>
        <v>0</v>
      </c>
      <c r="AA867" s="377">
        <f t="shared" si="343"/>
        <v>0</v>
      </c>
      <c r="AB867" s="377">
        <f t="shared" si="344"/>
        <v>0</v>
      </c>
      <c r="AC867" s="377">
        <f t="shared" si="345"/>
        <v>0</v>
      </c>
      <c r="AD867" s="376"/>
      <c r="AE867" s="332">
        <v>852</v>
      </c>
      <c r="AF867" s="350">
        <v>5671648.2789944075</v>
      </c>
      <c r="AG867" s="350">
        <v>11387836.990662664</v>
      </c>
      <c r="AH867" s="350">
        <v>17147286.124112047</v>
      </c>
      <c r="AI867" s="350">
        <v>22950186.646251533</v>
      </c>
      <c r="AJ867" s="350">
        <v>28797375.416941121</v>
      </c>
      <c r="AK867" s="348">
        <v>85954333.456961766</v>
      </c>
      <c r="AL867" s="369"/>
      <c r="AM867" s="350">
        <v>6791449.2882955102</v>
      </c>
      <c r="AN867" s="350">
        <v>14694658.828536747</v>
      </c>
      <c r="AO867" s="350">
        <v>22390862.067851156</v>
      </c>
      <c r="AP867" s="350">
        <v>29875488.808699057</v>
      </c>
      <c r="AQ867" s="350">
        <v>37146242.855514586</v>
      </c>
      <c r="AR867" s="348">
        <v>110898701.84889705</v>
      </c>
      <c r="AS867" s="369"/>
      <c r="AT867" s="350">
        <f t="shared" si="363"/>
        <v>1119801.0093011027</v>
      </c>
      <c r="AU867" s="350">
        <f t="shared" si="346"/>
        <v>3306821.8378740828</v>
      </c>
      <c r="AV867" s="350">
        <f t="shared" si="347"/>
        <v>5243575.9437391087</v>
      </c>
      <c r="AW867" s="350">
        <f t="shared" si="348"/>
        <v>6925302.1624475233</v>
      </c>
      <c r="AX867" s="350">
        <f t="shared" si="349"/>
        <v>8348867.4385734648</v>
      </c>
      <c r="AY867" s="350">
        <f t="shared" si="350"/>
        <v>24944368.391935289</v>
      </c>
      <c r="AZ867" s="365"/>
      <c r="BA867" s="377">
        <f t="shared" si="351"/>
        <v>0</v>
      </c>
      <c r="BB867" s="377">
        <f t="shared" si="352"/>
        <v>0</v>
      </c>
      <c r="BC867" s="377">
        <f t="shared" si="353"/>
        <v>0</v>
      </c>
      <c r="BD867" s="377">
        <f t="shared" si="354"/>
        <v>0</v>
      </c>
      <c r="BE867" s="377">
        <f t="shared" si="355"/>
        <v>0</v>
      </c>
      <c r="BF867" s="377">
        <f t="shared" si="356"/>
        <v>0</v>
      </c>
      <c r="BG867" s="328"/>
    </row>
    <row r="868" spans="2:59">
      <c r="B868" s="332">
        <v>853</v>
      </c>
      <c r="C868" s="350">
        <v>5385733.6938321292</v>
      </c>
      <c r="D868" s="350">
        <v>10178467.301675661</v>
      </c>
      <c r="E868" s="350">
        <v>15007291.438910518</v>
      </c>
      <c r="F868" s="350">
        <v>19872530.822722714</v>
      </c>
      <c r="G868" s="350">
        <v>24774958.735193945</v>
      </c>
      <c r="H868" s="348">
        <v>75218981.992334962</v>
      </c>
      <c r="I868" s="369"/>
      <c r="J868" s="350">
        <v>6217650.7944294307</v>
      </c>
      <c r="K868" s="350">
        <v>12633888.69633399</v>
      </c>
      <c r="L868" s="350">
        <v>18900766.677954476</v>
      </c>
      <c r="M868" s="350">
        <v>25013630.145220149</v>
      </c>
      <c r="N868" s="350">
        <v>30969458.178601559</v>
      </c>
      <c r="O868" s="348">
        <v>93735394.4925396</v>
      </c>
      <c r="P868" s="369"/>
      <c r="Q868" s="350">
        <f t="shared" si="357"/>
        <v>831917.1005973015</v>
      </c>
      <c r="R868" s="350">
        <f t="shared" si="358"/>
        <v>2455421.394658329</v>
      </c>
      <c r="S868" s="350">
        <f t="shared" si="359"/>
        <v>3893475.2390439585</v>
      </c>
      <c r="T868" s="350">
        <f t="shared" si="360"/>
        <v>5141099.3224974349</v>
      </c>
      <c r="U868" s="350">
        <f t="shared" si="361"/>
        <v>6194499.4434076138</v>
      </c>
      <c r="V868" s="350">
        <f t="shared" si="362"/>
        <v>18516412.500204638</v>
      </c>
      <c r="W868" s="365"/>
      <c r="X868" s="377">
        <f t="shared" si="340"/>
        <v>0</v>
      </c>
      <c r="Y868" s="377">
        <f t="shared" si="341"/>
        <v>0</v>
      </c>
      <c r="Z868" s="377">
        <f t="shared" si="342"/>
        <v>0</v>
      </c>
      <c r="AA868" s="377">
        <f t="shared" si="343"/>
        <v>0</v>
      </c>
      <c r="AB868" s="377">
        <f t="shared" si="344"/>
        <v>0</v>
      </c>
      <c r="AC868" s="377">
        <f t="shared" si="345"/>
        <v>0</v>
      </c>
      <c r="AD868" s="376"/>
      <c r="AE868" s="332">
        <v>853</v>
      </c>
      <c r="AF868" s="350">
        <v>6650668.2661788315</v>
      </c>
      <c r="AG868" s="350">
        <v>13353565.377937339</v>
      </c>
      <c r="AH868" s="350">
        <v>20107190.373402394</v>
      </c>
      <c r="AI868" s="350">
        <v>26911767.183519449</v>
      </c>
      <c r="AJ868" s="350">
        <v>33768277.123955548</v>
      </c>
      <c r="AK868" s="348">
        <v>100791468.32499357</v>
      </c>
      <c r="AL868" s="369"/>
      <c r="AM868" s="350">
        <v>8234106.4566988135</v>
      </c>
      <c r="AN868" s="350">
        <v>18032951.396024264</v>
      </c>
      <c r="AO868" s="350">
        <v>27597154.134729646</v>
      </c>
      <c r="AP868" s="350">
        <v>36921279.121360652</v>
      </c>
      <c r="AQ868" s="350">
        <v>46002907.591269784</v>
      </c>
      <c r="AR868" s="348">
        <v>136788398.70008317</v>
      </c>
      <c r="AS868" s="369"/>
      <c r="AT868" s="350">
        <f t="shared" si="363"/>
        <v>1583438.190519982</v>
      </c>
      <c r="AU868" s="350">
        <f t="shared" si="346"/>
        <v>4679386.0180869251</v>
      </c>
      <c r="AV868" s="350">
        <f t="shared" si="347"/>
        <v>7489963.7613272518</v>
      </c>
      <c r="AW868" s="350">
        <f t="shared" si="348"/>
        <v>10009511.937841203</v>
      </c>
      <c r="AX868" s="350">
        <f t="shared" si="349"/>
        <v>12234630.467314236</v>
      </c>
      <c r="AY868" s="350">
        <f t="shared" si="350"/>
        <v>35996930.375089601</v>
      </c>
      <c r="AZ868" s="365"/>
      <c r="BA868" s="377">
        <f t="shared" si="351"/>
        <v>0</v>
      </c>
      <c r="BB868" s="377">
        <f t="shared" si="352"/>
        <v>0</v>
      </c>
      <c r="BC868" s="377">
        <f t="shared" si="353"/>
        <v>0</v>
      </c>
      <c r="BD868" s="377">
        <f t="shared" si="354"/>
        <v>0</v>
      </c>
      <c r="BE868" s="377">
        <f t="shared" si="355"/>
        <v>0</v>
      </c>
      <c r="BF868" s="377">
        <f t="shared" si="356"/>
        <v>0</v>
      </c>
      <c r="BG868" s="328"/>
    </row>
    <row r="869" spans="2:59">
      <c r="B869" s="332">
        <v>854</v>
      </c>
      <c r="C869" s="350">
        <v>6858353.5651463345</v>
      </c>
      <c r="D869" s="350">
        <v>12880586.666570313</v>
      </c>
      <c r="E869" s="350">
        <v>18948142.599695511</v>
      </c>
      <c r="F869" s="350">
        <v>25061453.144303747</v>
      </c>
      <c r="G869" s="350">
        <v>31221500.294295892</v>
      </c>
      <c r="H869" s="348">
        <v>94970036.270011798</v>
      </c>
      <c r="I869" s="369"/>
      <c r="J869" s="350">
        <v>7984101.2709194589</v>
      </c>
      <c r="K869" s="350">
        <v>16204382.397302588</v>
      </c>
      <c r="L869" s="350">
        <v>24230649.716270968</v>
      </c>
      <c r="M869" s="350">
        <v>32057391.096064501</v>
      </c>
      <c r="N869" s="350">
        <v>39681251.246598355</v>
      </c>
      <c r="O869" s="348">
        <v>120157775.72715586</v>
      </c>
      <c r="P869" s="369"/>
      <c r="Q869" s="350">
        <f t="shared" si="357"/>
        <v>1125747.7057731245</v>
      </c>
      <c r="R869" s="350">
        <f t="shared" si="358"/>
        <v>3323795.7307322752</v>
      </c>
      <c r="S869" s="350">
        <f t="shared" si="359"/>
        <v>5282507.1165754572</v>
      </c>
      <c r="T869" s="350">
        <f t="shared" si="360"/>
        <v>6995937.951760754</v>
      </c>
      <c r="U869" s="350">
        <f t="shared" si="361"/>
        <v>8459750.9523024634</v>
      </c>
      <c r="V869" s="350">
        <f t="shared" si="362"/>
        <v>25187739.457144067</v>
      </c>
      <c r="W869" s="365"/>
      <c r="X869" s="377">
        <f t="shared" si="340"/>
        <v>0</v>
      </c>
      <c r="Y869" s="377">
        <f t="shared" si="341"/>
        <v>0</v>
      </c>
      <c r="Z869" s="377">
        <f t="shared" si="342"/>
        <v>0</v>
      </c>
      <c r="AA869" s="377">
        <f t="shared" si="343"/>
        <v>0</v>
      </c>
      <c r="AB869" s="377">
        <f t="shared" si="344"/>
        <v>0</v>
      </c>
      <c r="AC869" s="377">
        <f t="shared" si="345"/>
        <v>0</v>
      </c>
      <c r="AD869" s="376"/>
      <c r="AE869" s="332">
        <v>854</v>
      </c>
      <c r="AF869" s="350">
        <v>6327577.6504799686</v>
      </c>
      <c r="AG869" s="350">
        <v>12704846.860179776</v>
      </c>
      <c r="AH869" s="350">
        <v>19130379.584213927</v>
      </c>
      <c r="AI869" s="350">
        <v>25604388.874923781</v>
      </c>
      <c r="AJ869" s="350">
        <v>32127808.375491396</v>
      </c>
      <c r="AK869" s="348">
        <v>95895001.345288843</v>
      </c>
      <c r="AL869" s="369"/>
      <c r="AM869" s="350">
        <v>7143362.6536022965</v>
      </c>
      <c r="AN869" s="350">
        <v>15108406.6760785</v>
      </c>
      <c r="AO869" s="350">
        <v>22829519.890704744</v>
      </c>
      <c r="AP869" s="350">
        <v>30301726.16997768</v>
      </c>
      <c r="AQ869" s="350">
        <v>37522024.706215702</v>
      </c>
      <c r="AR869" s="348">
        <v>112905040.09657893</v>
      </c>
      <c r="AS869" s="369"/>
      <c r="AT869" s="350">
        <f t="shared" si="363"/>
        <v>815785.00312232785</v>
      </c>
      <c r="AU869" s="350">
        <f t="shared" si="346"/>
        <v>2403559.8158987239</v>
      </c>
      <c r="AV869" s="350">
        <f t="shared" si="347"/>
        <v>3699140.3064908162</v>
      </c>
      <c r="AW869" s="350">
        <f t="shared" si="348"/>
        <v>4697337.2950538993</v>
      </c>
      <c r="AX869" s="350">
        <f t="shared" si="349"/>
        <v>5394216.3307243064</v>
      </c>
      <c r="AY869" s="350">
        <f t="shared" si="350"/>
        <v>17010038.751290083</v>
      </c>
      <c r="AZ869" s="365"/>
      <c r="BA869" s="377">
        <f t="shared" si="351"/>
        <v>0</v>
      </c>
      <c r="BB869" s="377">
        <f t="shared" si="352"/>
        <v>0</v>
      </c>
      <c r="BC869" s="377">
        <f t="shared" si="353"/>
        <v>0</v>
      </c>
      <c r="BD869" s="377">
        <f t="shared" si="354"/>
        <v>0</v>
      </c>
      <c r="BE869" s="377">
        <f t="shared" si="355"/>
        <v>0</v>
      </c>
      <c r="BF869" s="377">
        <f t="shared" si="356"/>
        <v>0</v>
      </c>
      <c r="BG869" s="328"/>
    </row>
    <row r="870" spans="2:59">
      <c r="B870" s="332">
        <v>855</v>
      </c>
      <c r="C870" s="350">
        <v>6526933.6120863836</v>
      </c>
      <c r="D870" s="350">
        <v>12043071.853417516</v>
      </c>
      <c r="E870" s="350">
        <v>17600653.712416921</v>
      </c>
      <c r="F870" s="350">
        <v>23200138.644076526</v>
      </c>
      <c r="G870" s="350">
        <v>28842453.947059046</v>
      </c>
      <c r="H870" s="348">
        <v>88213251.769056395</v>
      </c>
      <c r="I870" s="369"/>
      <c r="J870" s="350">
        <v>7341417.5346600031</v>
      </c>
      <c r="K870" s="350">
        <v>14445021.573116209</v>
      </c>
      <c r="L870" s="350">
        <v>21364657.393565729</v>
      </c>
      <c r="M870" s="350">
        <v>28095411.727935687</v>
      </c>
      <c r="N870" s="350">
        <v>34634029.969650187</v>
      </c>
      <c r="O870" s="348">
        <v>105880538.19892782</v>
      </c>
      <c r="P870" s="369"/>
      <c r="Q870" s="350">
        <f t="shared" si="357"/>
        <v>814483.92257361952</v>
      </c>
      <c r="R870" s="350">
        <f t="shared" si="358"/>
        <v>2401949.7196986936</v>
      </c>
      <c r="S870" s="350">
        <f t="shared" si="359"/>
        <v>3764003.6811488084</v>
      </c>
      <c r="T870" s="350">
        <f t="shared" si="360"/>
        <v>4895273.0838591605</v>
      </c>
      <c r="U870" s="350">
        <f t="shared" si="361"/>
        <v>5791576.0225911401</v>
      </c>
      <c r="V870" s="350">
        <f t="shared" si="362"/>
        <v>17667286.429871425</v>
      </c>
      <c r="W870" s="365"/>
      <c r="X870" s="377">
        <f t="shared" si="340"/>
        <v>0</v>
      </c>
      <c r="Y870" s="377">
        <f t="shared" si="341"/>
        <v>0</v>
      </c>
      <c r="Z870" s="377">
        <f t="shared" si="342"/>
        <v>0</v>
      </c>
      <c r="AA870" s="377">
        <f t="shared" si="343"/>
        <v>0</v>
      </c>
      <c r="AB870" s="377">
        <f t="shared" si="344"/>
        <v>0</v>
      </c>
      <c r="AC870" s="377">
        <f t="shared" si="345"/>
        <v>0</v>
      </c>
      <c r="AD870" s="376"/>
      <c r="AE870" s="332">
        <v>855</v>
      </c>
      <c r="AF870" s="350">
        <v>8707339.0229716748</v>
      </c>
      <c r="AG870" s="350">
        <v>17483058.281889468</v>
      </c>
      <c r="AH870" s="350">
        <v>26325192.653345205</v>
      </c>
      <c r="AI870" s="350">
        <v>35234035.317299411</v>
      </c>
      <c r="AJ870" s="350">
        <v>44210871.05414702</v>
      </c>
      <c r="AK870" s="348">
        <v>131960496.32965277</v>
      </c>
      <c r="AL870" s="369"/>
      <c r="AM870" s="350">
        <v>10253531.395560822</v>
      </c>
      <c r="AN870" s="350">
        <v>22046842.464517236</v>
      </c>
      <c r="AO870" s="350">
        <v>33517168.742899425</v>
      </c>
      <c r="AP870" s="350">
        <v>44657542.804941937</v>
      </c>
      <c r="AQ870" s="350">
        <v>55464264.26174286</v>
      </c>
      <c r="AR870" s="348">
        <v>165939349.6696623</v>
      </c>
      <c r="AS870" s="369"/>
      <c r="AT870" s="350">
        <f t="shared" si="363"/>
        <v>1546192.3725891467</v>
      </c>
      <c r="AU870" s="350">
        <f t="shared" si="346"/>
        <v>4563784.1826277673</v>
      </c>
      <c r="AV870" s="350">
        <f t="shared" si="347"/>
        <v>7191976.0895542204</v>
      </c>
      <c r="AW870" s="350">
        <f t="shared" si="348"/>
        <v>9423507.4876425266</v>
      </c>
      <c r="AX870" s="350">
        <f t="shared" si="349"/>
        <v>11253393.20759584</v>
      </c>
      <c r="AY870" s="350">
        <f t="shared" si="350"/>
        <v>33978853.340009525</v>
      </c>
      <c r="AZ870" s="365"/>
      <c r="BA870" s="377">
        <f t="shared" si="351"/>
        <v>0</v>
      </c>
      <c r="BB870" s="377">
        <f t="shared" si="352"/>
        <v>0</v>
      </c>
      <c r="BC870" s="377">
        <f t="shared" si="353"/>
        <v>0</v>
      </c>
      <c r="BD870" s="377">
        <f t="shared" si="354"/>
        <v>0</v>
      </c>
      <c r="BE870" s="377">
        <f t="shared" si="355"/>
        <v>0</v>
      </c>
      <c r="BF870" s="377">
        <f t="shared" si="356"/>
        <v>0</v>
      </c>
      <c r="BG870" s="328"/>
    </row>
    <row r="871" spans="2:59">
      <c r="B871" s="332">
        <v>856</v>
      </c>
      <c r="C871" s="350">
        <v>7445402.4394652061</v>
      </c>
      <c r="D871" s="350">
        <v>14211246.875298962</v>
      </c>
      <c r="E871" s="350">
        <v>21028085.157662474</v>
      </c>
      <c r="F871" s="350">
        <v>27896334.539053768</v>
      </c>
      <c r="G871" s="350">
        <v>34817068.749579377</v>
      </c>
      <c r="H871" s="348">
        <v>105398137.76105979</v>
      </c>
      <c r="I871" s="369"/>
      <c r="J871" s="350">
        <v>8386786.3480615942</v>
      </c>
      <c r="K871" s="350">
        <v>16986435.358493261</v>
      </c>
      <c r="L871" s="350">
        <v>25356902.328104153</v>
      </c>
      <c r="M871" s="350">
        <v>33492075.65473574</v>
      </c>
      <c r="N871" s="350">
        <v>41387888.643882006</v>
      </c>
      <c r="O871" s="348">
        <v>125610088.33327676</v>
      </c>
      <c r="P871" s="369"/>
      <c r="Q871" s="350">
        <f t="shared" si="357"/>
        <v>941383.90859638806</v>
      </c>
      <c r="R871" s="350">
        <f t="shared" si="358"/>
        <v>2775188.483194299</v>
      </c>
      <c r="S871" s="350">
        <f t="shared" si="359"/>
        <v>4328817.1704416797</v>
      </c>
      <c r="T871" s="350">
        <f t="shared" si="360"/>
        <v>5595741.1156819724</v>
      </c>
      <c r="U871" s="350">
        <f t="shared" si="361"/>
        <v>6570819.8943026289</v>
      </c>
      <c r="V871" s="350">
        <f t="shared" si="362"/>
        <v>20211950.572216973</v>
      </c>
      <c r="W871" s="365"/>
      <c r="X871" s="377">
        <f t="shared" si="340"/>
        <v>0</v>
      </c>
      <c r="Y871" s="377">
        <f t="shared" si="341"/>
        <v>0</v>
      </c>
      <c r="Z871" s="377">
        <f t="shared" si="342"/>
        <v>0</v>
      </c>
      <c r="AA871" s="377">
        <f t="shared" si="343"/>
        <v>0</v>
      </c>
      <c r="AB871" s="377">
        <f t="shared" si="344"/>
        <v>0</v>
      </c>
      <c r="AC871" s="377">
        <f t="shared" si="345"/>
        <v>0</v>
      </c>
      <c r="AD871" s="376"/>
      <c r="AE871" s="332">
        <v>856</v>
      </c>
      <c r="AF871" s="350">
        <v>5353713.4982594159</v>
      </c>
      <c r="AG871" s="350">
        <v>10749470.632494539</v>
      </c>
      <c r="AH871" s="350">
        <v>16186063.145201173</v>
      </c>
      <c r="AI871" s="350">
        <v>21663671.298283439</v>
      </c>
      <c r="AJ871" s="350">
        <v>27183085.039867219</v>
      </c>
      <c r="AK871" s="348">
        <v>81136003.614105791</v>
      </c>
      <c r="AL871" s="369"/>
      <c r="AM871" s="350">
        <v>6243006.2658480648</v>
      </c>
      <c r="AN871" s="350">
        <v>13373467.552268188</v>
      </c>
      <c r="AO871" s="350">
        <v>20303502.922932312</v>
      </c>
      <c r="AP871" s="350">
        <v>27028845.813096441</v>
      </c>
      <c r="AQ871" s="350">
        <v>33547158.867745578</v>
      </c>
      <c r="AR871" s="348">
        <v>100495981.42189059</v>
      </c>
      <c r="AS871" s="369"/>
      <c r="AT871" s="350">
        <f t="shared" si="363"/>
        <v>889292.76758864895</v>
      </c>
      <c r="AU871" s="350">
        <f t="shared" si="346"/>
        <v>2623996.9197736494</v>
      </c>
      <c r="AV871" s="350">
        <f t="shared" si="347"/>
        <v>4117439.7777311392</v>
      </c>
      <c r="AW871" s="350">
        <f t="shared" si="348"/>
        <v>5365174.5148130022</v>
      </c>
      <c r="AX871" s="350">
        <f t="shared" si="349"/>
        <v>6364073.8278783597</v>
      </c>
      <c r="AY871" s="350">
        <f t="shared" si="350"/>
        <v>19359977.807784796</v>
      </c>
      <c r="AZ871" s="365"/>
      <c r="BA871" s="377">
        <f t="shared" si="351"/>
        <v>0</v>
      </c>
      <c r="BB871" s="377">
        <f t="shared" si="352"/>
        <v>0</v>
      </c>
      <c r="BC871" s="377">
        <f t="shared" si="353"/>
        <v>0</v>
      </c>
      <c r="BD871" s="377">
        <f t="shared" si="354"/>
        <v>0</v>
      </c>
      <c r="BE871" s="377">
        <f t="shared" si="355"/>
        <v>0</v>
      </c>
      <c r="BF871" s="377">
        <f t="shared" si="356"/>
        <v>0</v>
      </c>
      <c r="BG871" s="328"/>
    </row>
    <row r="872" spans="2:59">
      <c r="B872" s="332">
        <v>857</v>
      </c>
      <c r="C872" s="350">
        <v>7578367.8832341973</v>
      </c>
      <c r="D872" s="350">
        <v>13961126.173771987</v>
      </c>
      <c r="E872" s="350">
        <v>20391831.660522964</v>
      </c>
      <c r="F872" s="350">
        <v>26871022.774205193</v>
      </c>
      <c r="G872" s="350">
        <v>33399775.453323446</v>
      </c>
      <c r="H872" s="348">
        <v>102202123.94505778</v>
      </c>
      <c r="I872" s="369"/>
      <c r="J872" s="350">
        <v>9172358.8100524154</v>
      </c>
      <c r="K872" s="350">
        <v>18672748.795871057</v>
      </c>
      <c r="L872" s="350">
        <v>27986327.789142288</v>
      </c>
      <c r="M872" s="350">
        <v>37106986.52147197</v>
      </c>
      <c r="N872" s="350">
        <v>46031365.370592043</v>
      </c>
      <c r="O872" s="348">
        <v>138969787.28712976</v>
      </c>
      <c r="P872" s="369"/>
      <c r="Q872" s="350">
        <f t="shared" si="357"/>
        <v>1593990.9268182181</v>
      </c>
      <c r="R872" s="350">
        <f t="shared" si="358"/>
        <v>4711622.6220990699</v>
      </c>
      <c r="S872" s="350">
        <f t="shared" si="359"/>
        <v>7594496.1286193244</v>
      </c>
      <c r="T872" s="350">
        <f t="shared" si="360"/>
        <v>10235963.747266777</v>
      </c>
      <c r="U872" s="350">
        <f t="shared" si="361"/>
        <v>12631589.917268597</v>
      </c>
      <c r="V872" s="350">
        <f t="shared" si="362"/>
        <v>36767663.34207198</v>
      </c>
      <c r="W872" s="365"/>
      <c r="X872" s="377">
        <f t="shared" si="340"/>
        <v>0</v>
      </c>
      <c r="Y872" s="377">
        <f t="shared" si="341"/>
        <v>0</v>
      </c>
      <c r="Z872" s="377">
        <f t="shared" si="342"/>
        <v>0</v>
      </c>
      <c r="AA872" s="377">
        <f t="shared" si="343"/>
        <v>0</v>
      </c>
      <c r="AB872" s="377">
        <f t="shared" si="344"/>
        <v>0</v>
      </c>
      <c r="AC872" s="377">
        <f t="shared" si="345"/>
        <v>0</v>
      </c>
      <c r="AD872" s="376"/>
      <c r="AE872" s="332">
        <v>857</v>
      </c>
      <c r="AF872" s="350">
        <v>7805771.7254679985</v>
      </c>
      <c r="AG872" s="350">
        <v>15672843.523314124</v>
      </c>
      <c r="AH872" s="350">
        <v>23599453.741132729</v>
      </c>
      <c r="AI872" s="350">
        <v>31585865.20271422</v>
      </c>
      <c r="AJ872" s="350">
        <v>39633229.660902232</v>
      </c>
      <c r="AK872" s="348">
        <v>118297163.8535313</v>
      </c>
      <c r="AL872" s="369"/>
      <c r="AM872" s="350">
        <v>9406288.7488386352</v>
      </c>
      <c r="AN872" s="350">
        <v>20399992.585705493</v>
      </c>
      <c r="AO872" s="350">
        <v>31110575.745550171</v>
      </c>
      <c r="AP872" s="350">
        <v>41531731.571735024</v>
      </c>
      <c r="AQ872" s="350">
        <v>51660359.973888218</v>
      </c>
      <c r="AR872" s="348">
        <v>154108948.62571755</v>
      </c>
      <c r="AS872" s="369"/>
      <c r="AT872" s="350">
        <f t="shared" si="363"/>
        <v>1600517.0233706366</v>
      </c>
      <c r="AU872" s="350">
        <f t="shared" si="346"/>
        <v>4727149.0623913687</v>
      </c>
      <c r="AV872" s="350">
        <f t="shared" si="347"/>
        <v>7511122.0044174418</v>
      </c>
      <c r="AW872" s="350">
        <f t="shared" si="348"/>
        <v>9945866.3690208048</v>
      </c>
      <c r="AX872" s="350">
        <f t="shared" si="349"/>
        <v>12027130.312985986</v>
      </c>
      <c r="AY872" s="350">
        <f t="shared" si="350"/>
        <v>35811784.772186249</v>
      </c>
      <c r="AZ872" s="365"/>
      <c r="BA872" s="377">
        <f t="shared" si="351"/>
        <v>0</v>
      </c>
      <c r="BB872" s="377">
        <f t="shared" si="352"/>
        <v>0</v>
      </c>
      <c r="BC872" s="377">
        <f t="shared" si="353"/>
        <v>0</v>
      </c>
      <c r="BD872" s="377">
        <f t="shared" si="354"/>
        <v>0</v>
      </c>
      <c r="BE872" s="377">
        <f t="shared" si="355"/>
        <v>0</v>
      </c>
      <c r="BF872" s="377">
        <f t="shared" si="356"/>
        <v>0</v>
      </c>
      <c r="BG872" s="328"/>
    </row>
    <row r="873" spans="2:59">
      <c r="B873" s="332">
        <v>858</v>
      </c>
      <c r="C873" s="350">
        <v>9474602.8701591734</v>
      </c>
      <c r="D873" s="350">
        <v>17775722.960546825</v>
      </c>
      <c r="E873" s="350">
        <v>26139310.574749704</v>
      </c>
      <c r="F873" s="350">
        <v>34565966.357640728</v>
      </c>
      <c r="G873" s="350">
        <v>43057046.283541486</v>
      </c>
      <c r="H873" s="348">
        <v>131012649.04663792</v>
      </c>
      <c r="I873" s="369"/>
      <c r="J873" s="350">
        <v>11055563.266514171</v>
      </c>
      <c r="K873" s="350">
        <v>22443959.625635237</v>
      </c>
      <c r="L873" s="350">
        <v>33564248.862678617</v>
      </c>
      <c r="M873" s="350">
        <v>44408918.793344468</v>
      </c>
      <c r="N873" s="350">
        <v>54973467.86077255</v>
      </c>
      <c r="O873" s="348">
        <v>166446158.40894502</v>
      </c>
      <c r="P873" s="369"/>
      <c r="Q873" s="350">
        <f t="shared" si="357"/>
        <v>1580960.3963549975</v>
      </c>
      <c r="R873" s="350">
        <f t="shared" si="358"/>
        <v>4668236.6650884114</v>
      </c>
      <c r="S873" s="350">
        <f t="shared" si="359"/>
        <v>7424938.2879289128</v>
      </c>
      <c r="T873" s="350">
        <f t="shared" si="360"/>
        <v>9842952.4357037395</v>
      </c>
      <c r="U873" s="350">
        <f t="shared" si="361"/>
        <v>11916421.577231064</v>
      </c>
      <c r="V873" s="350">
        <f t="shared" si="362"/>
        <v>35433509.362307101</v>
      </c>
      <c r="W873" s="365"/>
      <c r="X873" s="377">
        <f t="shared" si="340"/>
        <v>0</v>
      </c>
      <c r="Y873" s="377">
        <f t="shared" si="341"/>
        <v>0</v>
      </c>
      <c r="Z873" s="377">
        <f t="shared" si="342"/>
        <v>0</v>
      </c>
      <c r="AA873" s="377">
        <f t="shared" si="343"/>
        <v>0</v>
      </c>
      <c r="AB873" s="377">
        <f t="shared" si="344"/>
        <v>0</v>
      </c>
      <c r="AC873" s="377">
        <f t="shared" si="345"/>
        <v>0</v>
      </c>
      <c r="AD873" s="376"/>
      <c r="AE873" s="332">
        <v>858</v>
      </c>
      <c r="AF873" s="350">
        <v>7609196.8799345512</v>
      </c>
      <c r="AG873" s="350">
        <v>15278150.096062938</v>
      </c>
      <c r="AH873" s="350">
        <v>23005142.360145122</v>
      </c>
      <c r="AI873" s="350">
        <v>30790429.877209418</v>
      </c>
      <c r="AJ873" s="350">
        <v>38635135.3951983</v>
      </c>
      <c r="AK873" s="348">
        <v>115318054.60855033</v>
      </c>
      <c r="AL873" s="369"/>
      <c r="AM873" s="350">
        <v>8593886.9241521694</v>
      </c>
      <c r="AN873" s="350">
        <v>18179428.615989424</v>
      </c>
      <c r="AO873" s="350">
        <v>27471742.507490709</v>
      </c>
      <c r="AP873" s="350">
        <v>36464843.54285647</v>
      </c>
      <c r="AQ873" s="350">
        <v>45155126.834545739</v>
      </c>
      <c r="AR873" s="348">
        <v>135865028.42503452</v>
      </c>
      <c r="AS873" s="369"/>
      <c r="AT873" s="350">
        <f t="shared" si="363"/>
        <v>984690.04421761818</v>
      </c>
      <c r="AU873" s="350">
        <f t="shared" si="346"/>
        <v>2901278.5199264865</v>
      </c>
      <c r="AV873" s="350">
        <f t="shared" si="347"/>
        <v>4466600.1473455876</v>
      </c>
      <c r="AW873" s="350">
        <f t="shared" si="348"/>
        <v>5674413.6656470522</v>
      </c>
      <c r="AX873" s="350">
        <f t="shared" si="349"/>
        <v>6519991.4393474385</v>
      </c>
      <c r="AY873" s="350">
        <f t="shared" si="350"/>
        <v>20546973.816484198</v>
      </c>
      <c r="AZ873" s="365"/>
      <c r="BA873" s="377">
        <f t="shared" si="351"/>
        <v>0</v>
      </c>
      <c r="BB873" s="377">
        <f t="shared" si="352"/>
        <v>0</v>
      </c>
      <c r="BC873" s="377">
        <f t="shared" si="353"/>
        <v>0</v>
      </c>
      <c r="BD873" s="377">
        <f t="shared" si="354"/>
        <v>0</v>
      </c>
      <c r="BE873" s="377">
        <f t="shared" si="355"/>
        <v>0</v>
      </c>
      <c r="BF873" s="377">
        <f t="shared" si="356"/>
        <v>0</v>
      </c>
      <c r="BG873" s="328"/>
    </row>
    <row r="874" spans="2:59">
      <c r="B874" s="332">
        <v>859</v>
      </c>
      <c r="C874" s="350">
        <v>12003696.164386384</v>
      </c>
      <c r="D874" s="350">
        <v>22494199.847325601</v>
      </c>
      <c r="E874" s="350">
        <v>33063637.905570403</v>
      </c>
      <c r="F874" s="350">
        <v>43712777.289804138</v>
      </c>
      <c r="G874" s="350">
        <v>54443335.038782656</v>
      </c>
      <c r="H874" s="348">
        <v>165717646.24586919</v>
      </c>
      <c r="I874" s="369"/>
      <c r="J874" s="350">
        <v>13981041.959924374</v>
      </c>
      <c r="K874" s="350">
        <v>28332584.600120507</v>
      </c>
      <c r="L874" s="350">
        <v>42352056.331772111</v>
      </c>
      <c r="M874" s="350">
        <v>56029659.452153429</v>
      </c>
      <c r="N874" s="350">
        <v>69359357.965025842</v>
      </c>
      <c r="O874" s="348">
        <v>210054700.30899626</v>
      </c>
      <c r="P874" s="369"/>
      <c r="Q874" s="350">
        <f t="shared" si="357"/>
        <v>1977345.7955379896</v>
      </c>
      <c r="R874" s="350">
        <f t="shared" si="358"/>
        <v>5838384.7527949065</v>
      </c>
      <c r="S874" s="350">
        <f t="shared" si="359"/>
        <v>9288418.4262017086</v>
      </c>
      <c r="T874" s="350">
        <f t="shared" si="360"/>
        <v>12316882.162349291</v>
      </c>
      <c r="U874" s="350">
        <f t="shared" si="361"/>
        <v>14916022.926243186</v>
      </c>
      <c r="V874" s="350">
        <f t="shared" si="362"/>
        <v>44337054.063127071</v>
      </c>
      <c r="W874" s="365"/>
      <c r="X874" s="377">
        <f t="shared" si="340"/>
        <v>0</v>
      </c>
      <c r="Y874" s="377">
        <f t="shared" si="341"/>
        <v>0</v>
      </c>
      <c r="Z874" s="377">
        <f t="shared" si="342"/>
        <v>0</v>
      </c>
      <c r="AA874" s="377">
        <f t="shared" si="343"/>
        <v>0</v>
      </c>
      <c r="AB874" s="377">
        <f t="shared" si="344"/>
        <v>0</v>
      </c>
      <c r="AC874" s="377">
        <f t="shared" si="345"/>
        <v>0</v>
      </c>
      <c r="AD874" s="376"/>
      <c r="AE874" s="332">
        <v>859</v>
      </c>
      <c r="AF874" s="350">
        <v>5869136.4571982138</v>
      </c>
      <c r="AG874" s="350">
        <v>11784364.255813636</v>
      </c>
      <c r="AH874" s="350">
        <v>17744358.814661659</v>
      </c>
      <c r="AI874" s="350">
        <v>23749317.750165667</v>
      </c>
      <c r="AJ874" s="350">
        <v>29800107.061850365</v>
      </c>
      <c r="AK874" s="348">
        <v>88947284.339689553</v>
      </c>
      <c r="AL874" s="369"/>
      <c r="AM874" s="350">
        <v>6916103.6375584546</v>
      </c>
      <c r="AN874" s="350">
        <v>14874688.624611899</v>
      </c>
      <c r="AO874" s="350">
        <v>22615710.089588083</v>
      </c>
      <c r="AP874" s="350">
        <v>30134470.327973083</v>
      </c>
      <c r="AQ874" s="350">
        <v>37428479.93702025</v>
      </c>
      <c r="AR874" s="348">
        <v>111969452.61675176</v>
      </c>
      <c r="AS874" s="369"/>
      <c r="AT874" s="350">
        <f t="shared" si="363"/>
        <v>1046967.1803602409</v>
      </c>
      <c r="AU874" s="350">
        <f t="shared" si="346"/>
        <v>3090324.3687982634</v>
      </c>
      <c r="AV874" s="350">
        <f t="shared" si="347"/>
        <v>4871351.274926424</v>
      </c>
      <c r="AW874" s="350">
        <f t="shared" si="348"/>
        <v>6385152.5778074153</v>
      </c>
      <c r="AX874" s="350">
        <f t="shared" si="349"/>
        <v>7628372.8751698844</v>
      </c>
      <c r="AY874" s="350">
        <f t="shared" si="350"/>
        <v>23022168.277062207</v>
      </c>
      <c r="AZ874" s="365"/>
      <c r="BA874" s="377">
        <f t="shared" si="351"/>
        <v>0</v>
      </c>
      <c r="BB874" s="377">
        <f t="shared" si="352"/>
        <v>0</v>
      </c>
      <c r="BC874" s="377">
        <f t="shared" si="353"/>
        <v>0</v>
      </c>
      <c r="BD874" s="377">
        <f t="shared" si="354"/>
        <v>0</v>
      </c>
      <c r="BE874" s="377">
        <f t="shared" si="355"/>
        <v>0</v>
      </c>
      <c r="BF874" s="377">
        <f t="shared" si="356"/>
        <v>0</v>
      </c>
      <c r="BG874" s="328"/>
    </row>
    <row r="875" spans="2:59">
      <c r="B875" s="332">
        <v>860</v>
      </c>
      <c r="C875" s="350">
        <v>8817682.9386940077</v>
      </c>
      <c r="D875" s="350">
        <v>16392181.59267192</v>
      </c>
      <c r="E875" s="350">
        <v>24023630.258258082</v>
      </c>
      <c r="F875" s="350">
        <v>31712622.02789332</v>
      </c>
      <c r="G875" s="350">
        <v>39460413.7732407</v>
      </c>
      <c r="H875" s="348">
        <v>120406530.59075803</v>
      </c>
      <c r="I875" s="369"/>
      <c r="J875" s="350">
        <v>10077995.962183103</v>
      </c>
      <c r="K875" s="350">
        <v>20111227.212683603</v>
      </c>
      <c r="L875" s="350">
        <v>29898227.659356736</v>
      </c>
      <c r="M875" s="350">
        <v>39432054.037388787</v>
      </c>
      <c r="N875" s="350">
        <v>48708242.04597728</v>
      </c>
      <c r="O875" s="348">
        <v>148227746.91758949</v>
      </c>
      <c r="P875" s="369"/>
      <c r="Q875" s="350">
        <f t="shared" si="357"/>
        <v>1260313.0234890953</v>
      </c>
      <c r="R875" s="350">
        <f t="shared" si="358"/>
        <v>3719045.6200116836</v>
      </c>
      <c r="S875" s="350">
        <f t="shared" si="359"/>
        <v>5874597.4010986537</v>
      </c>
      <c r="T875" s="350">
        <f t="shared" si="360"/>
        <v>7719432.0094954669</v>
      </c>
      <c r="U875" s="350">
        <f t="shared" si="361"/>
        <v>9247828.2727365792</v>
      </c>
      <c r="V875" s="350">
        <f t="shared" si="362"/>
        <v>27821216.32683146</v>
      </c>
      <c r="W875" s="365"/>
      <c r="X875" s="377">
        <f t="shared" si="340"/>
        <v>0</v>
      </c>
      <c r="Y875" s="377">
        <f t="shared" si="341"/>
        <v>0</v>
      </c>
      <c r="Z875" s="377">
        <f t="shared" si="342"/>
        <v>0</v>
      </c>
      <c r="AA875" s="377">
        <f t="shared" si="343"/>
        <v>0</v>
      </c>
      <c r="AB875" s="377">
        <f t="shared" si="344"/>
        <v>0</v>
      </c>
      <c r="AC875" s="377">
        <f t="shared" si="345"/>
        <v>0</v>
      </c>
      <c r="AD875" s="376"/>
      <c r="AE875" s="332">
        <v>860</v>
      </c>
      <c r="AF875" s="350">
        <v>5303027.9796029516</v>
      </c>
      <c r="AG875" s="350">
        <v>10647701.553056959</v>
      </c>
      <c r="AH875" s="350">
        <v>16032823.901863346</v>
      </c>
      <c r="AI875" s="350">
        <v>21458573.581322376</v>
      </c>
      <c r="AJ875" s="350">
        <v>26925733.060838763</v>
      </c>
      <c r="AK875" s="348">
        <v>80367860.076684386</v>
      </c>
      <c r="AL875" s="369"/>
      <c r="AM875" s="350">
        <v>6288198.145208491</v>
      </c>
      <c r="AN875" s="350">
        <v>13556169.394280864</v>
      </c>
      <c r="AO875" s="350">
        <v>20628735.948931146</v>
      </c>
      <c r="AP875" s="350">
        <v>27501642.13854681</v>
      </c>
      <c r="AQ875" s="350">
        <v>34172678.364744224</v>
      </c>
      <c r="AR875" s="348">
        <v>102147423.99171153</v>
      </c>
      <c r="AS875" s="369"/>
      <c r="AT875" s="350">
        <f t="shared" si="363"/>
        <v>985170.16560553946</v>
      </c>
      <c r="AU875" s="350">
        <f t="shared" si="346"/>
        <v>2908467.8412239049</v>
      </c>
      <c r="AV875" s="350">
        <f t="shared" si="347"/>
        <v>4595912.0470678005</v>
      </c>
      <c r="AW875" s="350">
        <f t="shared" si="348"/>
        <v>6043068.5572244339</v>
      </c>
      <c r="AX875" s="350">
        <f t="shared" si="349"/>
        <v>7246945.303905461</v>
      </c>
      <c r="AY875" s="350">
        <f t="shared" si="350"/>
        <v>21779563.915027142</v>
      </c>
      <c r="AZ875" s="365"/>
      <c r="BA875" s="377">
        <f t="shared" si="351"/>
        <v>0</v>
      </c>
      <c r="BB875" s="377">
        <f t="shared" si="352"/>
        <v>0</v>
      </c>
      <c r="BC875" s="377">
        <f t="shared" si="353"/>
        <v>0</v>
      </c>
      <c r="BD875" s="377">
        <f t="shared" si="354"/>
        <v>0</v>
      </c>
      <c r="BE875" s="377">
        <f t="shared" si="355"/>
        <v>0</v>
      </c>
      <c r="BF875" s="377">
        <f t="shared" si="356"/>
        <v>0</v>
      </c>
      <c r="BG875" s="328"/>
    </row>
    <row r="876" spans="2:59">
      <c r="B876" s="332">
        <v>861</v>
      </c>
      <c r="C876" s="350">
        <v>7328697.6370330844</v>
      </c>
      <c r="D876" s="350">
        <v>13854217.654047746</v>
      </c>
      <c r="E876" s="350">
        <v>20428877.744540188</v>
      </c>
      <c r="F876" s="350">
        <v>27053118.923865326</v>
      </c>
      <c r="G876" s="350">
        <v>33727993.570700094</v>
      </c>
      <c r="H876" s="348">
        <v>102392905.53018643</v>
      </c>
      <c r="I876" s="369"/>
      <c r="J876" s="350">
        <v>8228661.7981850114</v>
      </c>
      <c r="K876" s="350">
        <v>16507157.4804237</v>
      </c>
      <c r="L876" s="350">
        <v>24560584.78334479</v>
      </c>
      <c r="M876" s="350">
        <v>32383237.810682952</v>
      </c>
      <c r="N876" s="350">
        <v>39971356.579669118</v>
      </c>
      <c r="O876" s="348">
        <v>121650998.45230557</v>
      </c>
      <c r="P876" s="369"/>
      <c r="Q876" s="350">
        <f t="shared" si="357"/>
        <v>899964.16115192696</v>
      </c>
      <c r="R876" s="350">
        <f t="shared" si="358"/>
        <v>2652939.8263759539</v>
      </c>
      <c r="S876" s="350">
        <f t="shared" si="359"/>
        <v>4131707.0388046019</v>
      </c>
      <c r="T876" s="350">
        <f t="shared" si="360"/>
        <v>5330118.8868176267</v>
      </c>
      <c r="U876" s="350">
        <f t="shared" si="361"/>
        <v>6243363.0089690238</v>
      </c>
      <c r="V876" s="350">
        <f t="shared" si="362"/>
        <v>19258092.922119141</v>
      </c>
      <c r="W876" s="365"/>
      <c r="X876" s="377">
        <f t="shared" si="340"/>
        <v>0</v>
      </c>
      <c r="Y876" s="377">
        <f t="shared" si="341"/>
        <v>0</v>
      </c>
      <c r="Z876" s="377">
        <f t="shared" si="342"/>
        <v>0</v>
      </c>
      <c r="AA876" s="377">
        <f t="shared" si="343"/>
        <v>0</v>
      </c>
      <c r="AB876" s="377">
        <f t="shared" si="344"/>
        <v>0</v>
      </c>
      <c r="AC876" s="377">
        <f t="shared" si="345"/>
        <v>0</v>
      </c>
      <c r="AD876" s="376"/>
      <c r="AE876" s="332">
        <v>861</v>
      </c>
      <c r="AF876" s="350">
        <v>4515201.2537469398</v>
      </c>
      <c r="AG876" s="350">
        <v>9065861.1621139515</v>
      </c>
      <c r="AH876" s="350">
        <v>13650960.707964692</v>
      </c>
      <c r="AI876" s="350">
        <v>18270651.920124713</v>
      </c>
      <c r="AJ876" s="350">
        <v>22925601.023032352</v>
      </c>
      <c r="AK876" s="348">
        <v>68428276.066982657</v>
      </c>
      <c r="AL876" s="369"/>
      <c r="AM876" s="350">
        <v>5391063.4075119887</v>
      </c>
      <c r="AN876" s="350">
        <v>11652123.105863187</v>
      </c>
      <c r="AO876" s="350">
        <v>17747917.433483072</v>
      </c>
      <c r="AP876" s="350">
        <v>23674812.470057681</v>
      </c>
      <c r="AQ876" s="350">
        <v>29430964.402333323</v>
      </c>
      <c r="AR876" s="348">
        <v>87896880.819249257</v>
      </c>
      <c r="AS876" s="369"/>
      <c r="AT876" s="350">
        <f t="shared" si="363"/>
        <v>875862.15376504883</v>
      </c>
      <c r="AU876" s="350">
        <f t="shared" si="346"/>
        <v>2586261.9437492359</v>
      </c>
      <c r="AV876" s="350">
        <f t="shared" si="347"/>
        <v>4096956.7255183794</v>
      </c>
      <c r="AW876" s="350">
        <f t="shared" si="348"/>
        <v>5404160.5499329679</v>
      </c>
      <c r="AX876" s="350">
        <f t="shared" si="349"/>
        <v>6505363.3793009706</v>
      </c>
      <c r="AY876" s="350">
        <f t="shared" si="350"/>
        <v>19468604.752266601</v>
      </c>
      <c r="AZ876" s="365"/>
      <c r="BA876" s="377">
        <f t="shared" si="351"/>
        <v>0</v>
      </c>
      <c r="BB876" s="377">
        <f t="shared" si="352"/>
        <v>0</v>
      </c>
      <c r="BC876" s="377">
        <f t="shared" si="353"/>
        <v>0</v>
      </c>
      <c r="BD876" s="377">
        <f t="shared" si="354"/>
        <v>0</v>
      </c>
      <c r="BE876" s="377">
        <f t="shared" si="355"/>
        <v>0</v>
      </c>
      <c r="BF876" s="377">
        <f t="shared" si="356"/>
        <v>0</v>
      </c>
      <c r="BG876" s="328"/>
    </row>
    <row r="877" spans="2:59">
      <c r="B877" s="332">
        <v>862</v>
      </c>
      <c r="C877" s="350">
        <v>8797631.8366618473</v>
      </c>
      <c r="D877" s="350">
        <v>16307559.62662502</v>
      </c>
      <c r="E877" s="350">
        <v>23873936.103906974</v>
      </c>
      <c r="F877" s="350">
        <v>31497363.697762817</v>
      </c>
      <c r="G877" s="350">
        <v>39179094.827588499</v>
      </c>
      <c r="H877" s="348">
        <v>119655586.09254515</v>
      </c>
      <c r="I877" s="369"/>
      <c r="J877" s="350">
        <v>10214362.659631353</v>
      </c>
      <c r="K877" s="350">
        <v>20490695.084501021</v>
      </c>
      <c r="L877" s="350">
        <v>30533335.929151978</v>
      </c>
      <c r="M877" s="350">
        <v>40335188.55878032</v>
      </c>
      <c r="N877" s="350">
        <v>49891814.802656747</v>
      </c>
      <c r="O877" s="348">
        <v>151465397.0347214</v>
      </c>
      <c r="P877" s="369"/>
      <c r="Q877" s="350">
        <f t="shared" si="357"/>
        <v>1416730.8229695056</v>
      </c>
      <c r="R877" s="350">
        <f t="shared" si="358"/>
        <v>4183135.4578760006</v>
      </c>
      <c r="S877" s="350">
        <f t="shared" si="359"/>
        <v>6659399.8252450041</v>
      </c>
      <c r="T877" s="350">
        <f t="shared" si="360"/>
        <v>8837824.8610175028</v>
      </c>
      <c r="U877" s="350">
        <f t="shared" si="361"/>
        <v>10712719.975068249</v>
      </c>
      <c r="V877" s="350">
        <f t="shared" si="362"/>
        <v>31809810.942176253</v>
      </c>
      <c r="W877" s="365"/>
      <c r="X877" s="377">
        <f t="shared" si="340"/>
        <v>0</v>
      </c>
      <c r="Y877" s="377">
        <f t="shared" si="341"/>
        <v>0</v>
      </c>
      <c r="Z877" s="377">
        <f t="shared" si="342"/>
        <v>0</v>
      </c>
      <c r="AA877" s="377">
        <f t="shared" si="343"/>
        <v>0</v>
      </c>
      <c r="AB877" s="377">
        <f t="shared" si="344"/>
        <v>0</v>
      </c>
      <c r="AC877" s="377">
        <f t="shared" si="345"/>
        <v>0</v>
      </c>
      <c r="AD877" s="376"/>
      <c r="AE877" s="332">
        <v>862</v>
      </c>
      <c r="AF877" s="350">
        <v>6253031.3525799531</v>
      </c>
      <c r="AG877" s="350">
        <v>12555168.839438111</v>
      </c>
      <c r="AH877" s="350">
        <v>18905001.23973529</v>
      </c>
      <c r="AI877" s="350">
        <v>25302739.095805995</v>
      </c>
      <c r="AJ877" s="350">
        <v>31749305.051418822</v>
      </c>
      <c r="AK877" s="348">
        <v>94765245.578978166</v>
      </c>
      <c r="AL877" s="369"/>
      <c r="AM877" s="350">
        <v>7322205.8703524265</v>
      </c>
      <c r="AN877" s="350">
        <v>15710393.912469912</v>
      </c>
      <c r="AO877" s="350">
        <v>23865401.883742683</v>
      </c>
      <c r="AP877" s="350">
        <v>31782237.89502047</v>
      </c>
      <c r="AQ877" s="350">
        <v>39458202.84943103</v>
      </c>
      <c r="AR877" s="348">
        <v>118138442.41101652</v>
      </c>
      <c r="AS877" s="369"/>
      <c r="AT877" s="350">
        <f t="shared" si="363"/>
        <v>1069174.5177724734</v>
      </c>
      <c r="AU877" s="350">
        <f t="shared" si="346"/>
        <v>3155225.0730318017</v>
      </c>
      <c r="AV877" s="350">
        <f t="shared" si="347"/>
        <v>4960400.6440073922</v>
      </c>
      <c r="AW877" s="350">
        <f t="shared" si="348"/>
        <v>6479498.7992144749</v>
      </c>
      <c r="AX877" s="350">
        <f t="shared" si="349"/>
        <v>7708897.7980122082</v>
      </c>
      <c r="AY877" s="350">
        <f t="shared" si="350"/>
        <v>23373196.832038358</v>
      </c>
      <c r="AZ877" s="365"/>
      <c r="BA877" s="377">
        <f t="shared" si="351"/>
        <v>0</v>
      </c>
      <c r="BB877" s="377">
        <f t="shared" si="352"/>
        <v>0</v>
      </c>
      <c r="BC877" s="377">
        <f t="shared" si="353"/>
        <v>0</v>
      </c>
      <c r="BD877" s="377">
        <f t="shared" si="354"/>
        <v>0</v>
      </c>
      <c r="BE877" s="377">
        <f t="shared" si="355"/>
        <v>0</v>
      </c>
      <c r="BF877" s="377">
        <f t="shared" si="356"/>
        <v>0</v>
      </c>
      <c r="BG877" s="328"/>
    </row>
    <row r="878" spans="2:59">
      <c r="B878" s="332">
        <v>863</v>
      </c>
      <c r="C878" s="350">
        <v>6168090.5319810081</v>
      </c>
      <c r="D878" s="350">
        <v>11578136.059787616</v>
      </c>
      <c r="E878" s="350">
        <v>17028895.157373905</v>
      </c>
      <c r="F878" s="350">
        <v>22520757.519143723</v>
      </c>
      <c r="G878" s="350">
        <v>28054606.10104923</v>
      </c>
      <c r="H878" s="348">
        <v>85350485.369335473</v>
      </c>
      <c r="I878" s="369"/>
      <c r="J878" s="350">
        <v>6946972.2759446697</v>
      </c>
      <c r="K878" s="350">
        <v>13874754.815159548</v>
      </c>
      <c r="L878" s="350">
        <v>20625645.218495142</v>
      </c>
      <c r="M878" s="350">
        <v>27194600.639164843</v>
      </c>
      <c r="N878" s="350">
        <v>33578207.160496958</v>
      </c>
      <c r="O878" s="348">
        <v>102220180.10926116</v>
      </c>
      <c r="P878" s="369"/>
      <c r="Q878" s="350">
        <f t="shared" si="357"/>
        <v>778881.7439636616</v>
      </c>
      <c r="R878" s="350">
        <f t="shared" si="358"/>
        <v>2296618.7553719319</v>
      </c>
      <c r="S878" s="350">
        <f t="shared" si="359"/>
        <v>3596750.0611212365</v>
      </c>
      <c r="T878" s="350">
        <f t="shared" si="360"/>
        <v>4673843.1200211197</v>
      </c>
      <c r="U878" s="350">
        <f t="shared" si="361"/>
        <v>5523601.0594477281</v>
      </c>
      <c r="V878" s="350">
        <f t="shared" si="362"/>
        <v>16869694.739925683</v>
      </c>
      <c r="W878" s="365"/>
      <c r="X878" s="377">
        <f t="shared" si="340"/>
        <v>0</v>
      </c>
      <c r="Y878" s="377">
        <f t="shared" si="341"/>
        <v>0</v>
      </c>
      <c r="Z878" s="377">
        <f t="shared" si="342"/>
        <v>0</v>
      </c>
      <c r="AA878" s="377">
        <f t="shared" si="343"/>
        <v>0</v>
      </c>
      <c r="AB878" s="377">
        <f t="shared" si="344"/>
        <v>0</v>
      </c>
      <c r="AC878" s="377">
        <f t="shared" si="345"/>
        <v>0</v>
      </c>
      <c r="AD878" s="376"/>
      <c r="AE878" s="332">
        <v>863</v>
      </c>
      <c r="AF878" s="350">
        <v>4087103.0078173759</v>
      </c>
      <c r="AG878" s="350">
        <v>8206302.7408539411</v>
      </c>
      <c r="AH878" s="350">
        <v>12356676.797699675</v>
      </c>
      <c r="AI878" s="350">
        <v>16538362.792922633</v>
      </c>
      <c r="AJ878" s="350">
        <v>20751963.784449309</v>
      </c>
      <c r="AK878" s="348">
        <v>61940409.123742931</v>
      </c>
      <c r="AL878" s="369"/>
      <c r="AM878" s="350">
        <v>4944109.2246309873</v>
      </c>
      <c r="AN878" s="350">
        <v>10737713.758357679</v>
      </c>
      <c r="AO878" s="350">
        <v>16383644.588363271</v>
      </c>
      <c r="AP878" s="350">
        <v>21878594.181556839</v>
      </c>
      <c r="AQ878" s="350">
        <v>27220958.547792222</v>
      </c>
      <c r="AR878" s="348">
        <v>81165020.300701007</v>
      </c>
      <c r="AS878" s="369"/>
      <c r="AT878" s="350">
        <f t="shared" si="363"/>
        <v>857006.21681361133</v>
      </c>
      <c r="AU878" s="350">
        <f t="shared" si="346"/>
        <v>2531411.0175037384</v>
      </c>
      <c r="AV878" s="350">
        <f t="shared" si="347"/>
        <v>4026967.7906635962</v>
      </c>
      <c r="AW878" s="350">
        <f t="shared" si="348"/>
        <v>5340231.3886342067</v>
      </c>
      <c r="AX878" s="350">
        <f t="shared" si="349"/>
        <v>6468994.7633429132</v>
      </c>
      <c r="AY878" s="350">
        <f t="shared" si="350"/>
        <v>19224611.176958077</v>
      </c>
      <c r="AZ878" s="365"/>
      <c r="BA878" s="377">
        <f t="shared" si="351"/>
        <v>0</v>
      </c>
      <c r="BB878" s="377">
        <f t="shared" si="352"/>
        <v>0</v>
      </c>
      <c r="BC878" s="377">
        <f t="shared" si="353"/>
        <v>0</v>
      </c>
      <c r="BD878" s="377">
        <f t="shared" si="354"/>
        <v>0</v>
      </c>
      <c r="BE878" s="377">
        <f t="shared" si="355"/>
        <v>0</v>
      </c>
      <c r="BF878" s="377">
        <f t="shared" si="356"/>
        <v>0</v>
      </c>
      <c r="BG878" s="328"/>
    </row>
    <row r="879" spans="2:59">
      <c r="B879" s="332">
        <v>864</v>
      </c>
      <c r="C879" s="350">
        <v>6480555.6424512453</v>
      </c>
      <c r="D879" s="350">
        <v>12166240.558614004</v>
      </c>
      <c r="E879" s="350">
        <v>17894713.898830153</v>
      </c>
      <c r="F879" s="350">
        <v>23666384.743184976</v>
      </c>
      <c r="G879" s="350">
        <v>29482180.829746716</v>
      </c>
      <c r="H879" s="348">
        <v>89690075.672827095</v>
      </c>
      <c r="I879" s="369"/>
      <c r="J879" s="350">
        <v>7464319.9843010427</v>
      </c>
      <c r="K879" s="350">
        <v>15069806.682880947</v>
      </c>
      <c r="L879" s="350">
        <v>22495609.280482963</v>
      </c>
      <c r="M879" s="350">
        <v>29736333.859905299</v>
      </c>
      <c r="N879" s="350">
        <v>36788510.816238493</v>
      </c>
      <c r="O879" s="348">
        <v>111554580.62380874</v>
      </c>
      <c r="P879" s="369"/>
      <c r="Q879" s="350">
        <f t="shared" si="357"/>
        <v>983764.34184979741</v>
      </c>
      <c r="R879" s="350">
        <f t="shared" si="358"/>
        <v>2903566.124266943</v>
      </c>
      <c r="S879" s="350">
        <f t="shared" si="359"/>
        <v>4600895.3816528097</v>
      </c>
      <c r="T879" s="350">
        <f t="shared" si="360"/>
        <v>6069949.1167203225</v>
      </c>
      <c r="U879" s="350">
        <f t="shared" si="361"/>
        <v>7306329.986491777</v>
      </c>
      <c r="V879" s="350">
        <f t="shared" si="362"/>
        <v>21864504.950981647</v>
      </c>
      <c r="W879" s="365"/>
      <c r="X879" s="377">
        <f t="shared" si="340"/>
        <v>0</v>
      </c>
      <c r="Y879" s="377">
        <f t="shared" si="341"/>
        <v>0</v>
      </c>
      <c r="Z879" s="377">
        <f t="shared" si="342"/>
        <v>0</v>
      </c>
      <c r="AA879" s="377">
        <f t="shared" si="343"/>
        <v>0</v>
      </c>
      <c r="AB879" s="377">
        <f t="shared" si="344"/>
        <v>0</v>
      </c>
      <c r="AC879" s="377">
        <f t="shared" si="345"/>
        <v>0</v>
      </c>
      <c r="AD879" s="376"/>
      <c r="AE879" s="332">
        <v>864</v>
      </c>
      <c r="AF879" s="350">
        <v>8005115.881019501</v>
      </c>
      <c r="AG879" s="350">
        <v>16073097.318470884</v>
      </c>
      <c r="AH879" s="350">
        <v>24202137.670788743</v>
      </c>
      <c r="AI879" s="350">
        <v>32392506.473769475</v>
      </c>
      <c r="AJ879" s="350">
        <v>40645384.893773541</v>
      </c>
      <c r="AK879" s="348">
        <v>121318242.23782215</v>
      </c>
      <c r="AL879" s="369"/>
      <c r="AM879" s="350">
        <v>9406993.710581312</v>
      </c>
      <c r="AN879" s="350">
        <v>20210642.503002267</v>
      </c>
      <c r="AO879" s="350">
        <v>30716766.771593355</v>
      </c>
      <c r="AP879" s="350">
        <v>40918966.543268517</v>
      </c>
      <c r="AQ879" s="350">
        <v>50813819.986612648</v>
      </c>
      <c r="AR879" s="348">
        <v>152067189.5150581</v>
      </c>
      <c r="AS879" s="369"/>
      <c r="AT879" s="350">
        <f t="shared" si="363"/>
        <v>1401877.8295618109</v>
      </c>
      <c r="AU879" s="350">
        <f t="shared" si="346"/>
        <v>4137545.1845313832</v>
      </c>
      <c r="AV879" s="350">
        <f t="shared" si="347"/>
        <v>6514629.100804612</v>
      </c>
      <c r="AW879" s="350">
        <f t="shared" si="348"/>
        <v>8526460.0694990419</v>
      </c>
      <c r="AX879" s="350">
        <f t="shared" si="349"/>
        <v>10168435.092839107</v>
      </c>
      <c r="AY879" s="350">
        <f t="shared" si="350"/>
        <v>30748947.277235955</v>
      </c>
      <c r="AZ879" s="365"/>
      <c r="BA879" s="377">
        <f t="shared" si="351"/>
        <v>0</v>
      </c>
      <c r="BB879" s="377">
        <f t="shared" si="352"/>
        <v>0</v>
      </c>
      <c r="BC879" s="377">
        <f t="shared" si="353"/>
        <v>0</v>
      </c>
      <c r="BD879" s="377">
        <f t="shared" si="354"/>
        <v>0</v>
      </c>
      <c r="BE879" s="377">
        <f t="shared" si="355"/>
        <v>0</v>
      </c>
      <c r="BF879" s="377">
        <f t="shared" si="356"/>
        <v>0</v>
      </c>
      <c r="BG879" s="328"/>
    </row>
    <row r="880" spans="2:59">
      <c r="B880" s="332">
        <v>865</v>
      </c>
      <c r="C880" s="350">
        <v>6182001.7666116096</v>
      </c>
      <c r="D880" s="350">
        <v>11618376.327742858</v>
      </c>
      <c r="E880" s="350">
        <v>17095667.227588773</v>
      </c>
      <c r="F880" s="350">
        <v>22614261.851084463</v>
      </c>
      <c r="G880" s="350">
        <v>28175045.621239148</v>
      </c>
      <c r="H880" s="348">
        <v>85685352.79426685</v>
      </c>
      <c r="I880" s="369"/>
      <c r="J880" s="350">
        <v>7113368.4369383818</v>
      </c>
      <c r="K880" s="350">
        <v>14367140.698346782</v>
      </c>
      <c r="L880" s="350">
        <v>21444290.02258651</v>
      </c>
      <c r="M880" s="350">
        <v>28339821.725338358</v>
      </c>
      <c r="N880" s="350">
        <v>35050577.93138323</v>
      </c>
      <c r="O880" s="348">
        <v>106315198.81459326</v>
      </c>
      <c r="P880" s="369"/>
      <c r="Q880" s="350">
        <f t="shared" si="357"/>
        <v>931366.67032677215</v>
      </c>
      <c r="R880" s="350">
        <f t="shared" si="358"/>
        <v>2748764.3706039246</v>
      </c>
      <c r="S880" s="350">
        <f t="shared" si="359"/>
        <v>4348622.7949977368</v>
      </c>
      <c r="T880" s="350">
        <f t="shared" si="360"/>
        <v>5725559.8742538951</v>
      </c>
      <c r="U880" s="350">
        <f t="shared" si="361"/>
        <v>6875532.3101440817</v>
      </c>
      <c r="V880" s="350">
        <f t="shared" si="362"/>
        <v>20629846.020326406</v>
      </c>
      <c r="W880" s="365"/>
      <c r="X880" s="377">
        <f t="shared" si="340"/>
        <v>0</v>
      </c>
      <c r="Y880" s="377">
        <f t="shared" si="341"/>
        <v>0</v>
      </c>
      <c r="Z880" s="377">
        <f t="shared" si="342"/>
        <v>0</v>
      </c>
      <c r="AA880" s="377">
        <f t="shared" si="343"/>
        <v>0</v>
      </c>
      <c r="AB880" s="377">
        <f t="shared" si="344"/>
        <v>0</v>
      </c>
      <c r="AC880" s="377">
        <f t="shared" si="345"/>
        <v>0</v>
      </c>
      <c r="AD880" s="376"/>
      <c r="AE880" s="332">
        <v>865</v>
      </c>
      <c r="AF880" s="350">
        <v>6586107.9439223427</v>
      </c>
      <c r="AG880" s="350">
        <v>13223937.730072703</v>
      </c>
      <c r="AH880" s="350">
        <v>19912002.966930639</v>
      </c>
      <c r="AI880" s="350">
        <v>26650525.411666963</v>
      </c>
      <c r="AJ880" s="350">
        <v>33440476.853980333</v>
      </c>
      <c r="AK880" s="348">
        <v>99813050.906572983</v>
      </c>
      <c r="AL880" s="369"/>
      <c r="AM880" s="350">
        <v>7585137.5063821692</v>
      </c>
      <c r="AN880" s="350">
        <v>16170300.772576304</v>
      </c>
      <c r="AO880" s="350">
        <v>24506056.733552612</v>
      </c>
      <c r="AP880" s="350">
        <v>32587183.547577567</v>
      </c>
      <c r="AQ880" s="350">
        <v>40410709.628045708</v>
      </c>
      <c r="AR880" s="348">
        <v>121259388.18813437</v>
      </c>
      <c r="AS880" s="369"/>
      <c r="AT880" s="350">
        <f t="shared" si="363"/>
        <v>999029.56245982647</v>
      </c>
      <c r="AU880" s="350">
        <f t="shared" si="346"/>
        <v>2946363.0425036009</v>
      </c>
      <c r="AV880" s="350">
        <f t="shared" si="347"/>
        <v>4594053.7666219734</v>
      </c>
      <c r="AW880" s="350">
        <f t="shared" si="348"/>
        <v>5936658.1359106041</v>
      </c>
      <c r="AX880" s="350">
        <f t="shared" si="349"/>
        <v>6970232.7740653753</v>
      </c>
      <c r="AY880" s="350">
        <f t="shared" si="350"/>
        <v>21446337.28156139</v>
      </c>
      <c r="AZ880" s="365"/>
      <c r="BA880" s="377">
        <f t="shared" si="351"/>
        <v>0</v>
      </c>
      <c r="BB880" s="377">
        <f t="shared" si="352"/>
        <v>0</v>
      </c>
      <c r="BC880" s="377">
        <f t="shared" si="353"/>
        <v>0</v>
      </c>
      <c r="BD880" s="377">
        <f t="shared" si="354"/>
        <v>0</v>
      </c>
      <c r="BE880" s="377">
        <f t="shared" si="355"/>
        <v>0</v>
      </c>
      <c r="BF880" s="377">
        <f t="shared" si="356"/>
        <v>0</v>
      </c>
      <c r="BG880" s="328"/>
    </row>
    <row r="881" spans="2:59">
      <c r="B881" s="332">
        <v>866</v>
      </c>
      <c r="C881" s="350">
        <v>11894605.381556291</v>
      </c>
      <c r="D881" s="350">
        <v>22598155.678440444</v>
      </c>
      <c r="E881" s="350">
        <v>33382344.790584434</v>
      </c>
      <c r="F881" s="350">
        <v>44247863.10033001</v>
      </c>
      <c r="G881" s="350">
        <v>55196422.425285675</v>
      </c>
      <c r="H881" s="348">
        <v>167319391.37619686</v>
      </c>
      <c r="I881" s="369"/>
      <c r="J881" s="350">
        <v>13437678.410873597</v>
      </c>
      <c r="K881" s="350">
        <v>27148083.060044371</v>
      </c>
      <c r="L881" s="350">
        <v>40502443.464119785</v>
      </c>
      <c r="M881" s="350">
        <v>53490921.564801216</v>
      </c>
      <c r="N881" s="350">
        <v>66106959.491907373</v>
      </c>
      <c r="O881" s="348">
        <v>200686085.99174637</v>
      </c>
      <c r="P881" s="369"/>
      <c r="Q881" s="350">
        <f t="shared" si="357"/>
        <v>1543073.0293173064</v>
      </c>
      <c r="R881" s="350">
        <f t="shared" si="358"/>
        <v>4549927.3816039264</v>
      </c>
      <c r="S881" s="350">
        <f t="shared" si="359"/>
        <v>7120098.6735353507</v>
      </c>
      <c r="T881" s="350">
        <f t="shared" si="360"/>
        <v>9243058.4644712061</v>
      </c>
      <c r="U881" s="350">
        <f t="shared" si="361"/>
        <v>10910537.066621698</v>
      </c>
      <c r="V881" s="350">
        <f t="shared" si="362"/>
        <v>33366694.615549505</v>
      </c>
      <c r="W881" s="365"/>
      <c r="X881" s="377">
        <f t="shared" si="340"/>
        <v>0</v>
      </c>
      <c r="Y881" s="377">
        <f t="shared" si="341"/>
        <v>0</v>
      </c>
      <c r="Z881" s="377">
        <f t="shared" si="342"/>
        <v>0</v>
      </c>
      <c r="AA881" s="377">
        <f t="shared" si="343"/>
        <v>0</v>
      </c>
      <c r="AB881" s="377">
        <f t="shared" si="344"/>
        <v>0</v>
      </c>
      <c r="AC881" s="377">
        <f t="shared" si="345"/>
        <v>0</v>
      </c>
      <c r="AD881" s="376"/>
      <c r="AE881" s="332">
        <v>866</v>
      </c>
      <c r="AF881" s="350">
        <v>8150388.821620062</v>
      </c>
      <c r="AG881" s="350">
        <v>16364784.053143848</v>
      </c>
      <c r="AH881" s="350">
        <v>24641346.26695554</v>
      </c>
      <c r="AI881" s="350">
        <v>32980349.890255772</v>
      </c>
      <c r="AJ881" s="350">
        <v>41382997.524636306</v>
      </c>
      <c r="AK881" s="348">
        <v>123519866.55661151</v>
      </c>
      <c r="AL881" s="369"/>
      <c r="AM881" s="350">
        <v>9313840.2658155095</v>
      </c>
      <c r="AN881" s="350">
        <v>19794863.411395378</v>
      </c>
      <c r="AO881" s="350">
        <v>29965059.803829871</v>
      </c>
      <c r="AP881" s="350">
        <v>39817987.957811236</v>
      </c>
      <c r="AQ881" s="350">
        <v>49349896.708803579</v>
      </c>
      <c r="AR881" s="348">
        <v>148241648.14765558</v>
      </c>
      <c r="AS881" s="369"/>
      <c r="AT881" s="350">
        <f t="shared" si="363"/>
        <v>1163451.4441954475</v>
      </c>
      <c r="AU881" s="350">
        <f t="shared" si="346"/>
        <v>3430079.3582515307</v>
      </c>
      <c r="AV881" s="350">
        <f t="shared" si="347"/>
        <v>5323713.5368743315</v>
      </c>
      <c r="AW881" s="350">
        <f t="shared" si="348"/>
        <v>6837638.0675554648</v>
      </c>
      <c r="AX881" s="350">
        <f t="shared" si="349"/>
        <v>7966899.1841672733</v>
      </c>
      <c r="AY881" s="350">
        <f t="shared" si="350"/>
        <v>24721781.591044068</v>
      </c>
      <c r="AZ881" s="365"/>
      <c r="BA881" s="377">
        <f t="shared" si="351"/>
        <v>0</v>
      </c>
      <c r="BB881" s="377">
        <f t="shared" si="352"/>
        <v>0</v>
      </c>
      <c r="BC881" s="377">
        <f t="shared" si="353"/>
        <v>0</v>
      </c>
      <c r="BD881" s="377">
        <f t="shared" si="354"/>
        <v>0</v>
      </c>
      <c r="BE881" s="377">
        <f t="shared" si="355"/>
        <v>0</v>
      </c>
      <c r="BF881" s="377">
        <f t="shared" si="356"/>
        <v>0</v>
      </c>
      <c r="BG881" s="328"/>
    </row>
    <row r="882" spans="2:59">
      <c r="B882" s="332">
        <v>867</v>
      </c>
      <c r="C882" s="350">
        <v>7625223.3478480391</v>
      </c>
      <c r="D882" s="350">
        <v>14467382.37010341</v>
      </c>
      <c r="E882" s="350">
        <v>21361082.87749391</v>
      </c>
      <c r="F882" s="350">
        <v>28306771.855787408</v>
      </c>
      <c r="G882" s="350">
        <v>35305546.035272166</v>
      </c>
      <c r="H882" s="348">
        <v>107066006.48650493</v>
      </c>
      <c r="I882" s="369"/>
      <c r="J882" s="350">
        <v>8514387.3784144912</v>
      </c>
      <c r="K882" s="350">
        <v>17087518.843309317</v>
      </c>
      <c r="L882" s="350">
        <v>25428102.671311151</v>
      </c>
      <c r="M882" s="350">
        <v>33529960.98812915</v>
      </c>
      <c r="N882" s="350">
        <v>41388886.673400268</v>
      </c>
      <c r="O882" s="348">
        <v>125948856.55456439</v>
      </c>
      <c r="P882" s="369"/>
      <c r="Q882" s="350">
        <f t="shared" si="357"/>
        <v>889164.03056645207</v>
      </c>
      <c r="R882" s="350">
        <f t="shared" si="358"/>
        <v>2620136.4732059073</v>
      </c>
      <c r="S882" s="350">
        <f t="shared" si="359"/>
        <v>4067019.7938172407</v>
      </c>
      <c r="T882" s="350">
        <f t="shared" si="360"/>
        <v>5223189.1323417425</v>
      </c>
      <c r="U882" s="350">
        <f t="shared" si="361"/>
        <v>6083340.6381281018</v>
      </c>
      <c r="V882" s="350">
        <f t="shared" si="362"/>
        <v>18882850.068059459</v>
      </c>
      <c r="W882" s="365"/>
      <c r="X882" s="377">
        <f t="shared" si="340"/>
        <v>0</v>
      </c>
      <c r="Y882" s="377">
        <f t="shared" si="341"/>
        <v>0</v>
      </c>
      <c r="Z882" s="377">
        <f t="shared" si="342"/>
        <v>0</v>
      </c>
      <c r="AA882" s="377">
        <f t="shared" si="343"/>
        <v>0</v>
      </c>
      <c r="AB882" s="377">
        <f t="shared" si="344"/>
        <v>0</v>
      </c>
      <c r="AC882" s="377">
        <f t="shared" si="345"/>
        <v>0</v>
      </c>
      <c r="AD882" s="376"/>
      <c r="AE882" s="332">
        <v>867</v>
      </c>
      <c r="AF882" s="350">
        <v>4892238.6561602298</v>
      </c>
      <c r="AG882" s="350">
        <v>9822896.9067258686</v>
      </c>
      <c r="AH882" s="350">
        <v>14790870.642545287</v>
      </c>
      <c r="AI882" s="350">
        <v>19796324.587460332</v>
      </c>
      <c r="AJ882" s="350">
        <v>24839980.598320279</v>
      </c>
      <c r="AK882" s="348">
        <v>74142311.391212001</v>
      </c>
      <c r="AL882" s="369"/>
      <c r="AM882" s="350">
        <v>5661654.467268344</v>
      </c>
      <c r="AN882" s="350">
        <v>12092527.663135109</v>
      </c>
      <c r="AO882" s="350">
        <v>18338956.559686098</v>
      </c>
      <c r="AP882" s="350">
        <v>24397054.582809396</v>
      </c>
      <c r="AQ882" s="350">
        <v>30264642.076615274</v>
      </c>
      <c r="AR882" s="348">
        <v>90754835.349514216</v>
      </c>
      <c r="AS882" s="369"/>
      <c r="AT882" s="350">
        <f t="shared" si="363"/>
        <v>769415.8111081142</v>
      </c>
      <c r="AU882" s="350">
        <f t="shared" si="346"/>
        <v>2269630.7564092409</v>
      </c>
      <c r="AV882" s="350">
        <f t="shared" si="347"/>
        <v>3548085.9171408117</v>
      </c>
      <c r="AW882" s="350">
        <f t="shared" si="348"/>
        <v>4600729.9953490645</v>
      </c>
      <c r="AX882" s="350">
        <f t="shared" si="349"/>
        <v>5424661.4782949947</v>
      </c>
      <c r="AY882" s="350">
        <f t="shared" si="350"/>
        <v>16612523.958302215</v>
      </c>
      <c r="AZ882" s="365"/>
      <c r="BA882" s="377">
        <f t="shared" si="351"/>
        <v>0</v>
      </c>
      <c r="BB882" s="377">
        <f t="shared" si="352"/>
        <v>0</v>
      </c>
      <c r="BC882" s="377">
        <f t="shared" si="353"/>
        <v>0</v>
      </c>
      <c r="BD882" s="377">
        <f t="shared" si="354"/>
        <v>0</v>
      </c>
      <c r="BE882" s="377">
        <f t="shared" si="355"/>
        <v>0</v>
      </c>
      <c r="BF882" s="377">
        <f t="shared" si="356"/>
        <v>0</v>
      </c>
      <c r="BG882" s="328"/>
    </row>
    <row r="883" spans="2:59">
      <c r="B883" s="332">
        <v>868</v>
      </c>
      <c r="C883" s="350">
        <v>6498744.4532602308</v>
      </c>
      <c r="D883" s="350">
        <v>12263398.423806207</v>
      </c>
      <c r="E883" s="350">
        <v>18071455.749313299</v>
      </c>
      <c r="F883" s="350">
        <v>23923312.43728672</v>
      </c>
      <c r="G883" s="350">
        <v>29819900.951268129</v>
      </c>
      <c r="H883" s="348">
        <v>90576812.014934584</v>
      </c>
      <c r="I883" s="369"/>
      <c r="J883" s="350">
        <v>7528123.3375569247</v>
      </c>
      <c r="K883" s="350">
        <v>15302019.173775457</v>
      </c>
      <c r="L883" s="350">
        <v>22886489.398016639</v>
      </c>
      <c r="M883" s="350">
        <v>30276337.423578035</v>
      </c>
      <c r="N883" s="350">
        <v>37468381.969678394</v>
      </c>
      <c r="O883" s="348">
        <v>113461351.30260545</v>
      </c>
      <c r="P883" s="369"/>
      <c r="Q883" s="350">
        <f t="shared" si="357"/>
        <v>1029378.8842966938</v>
      </c>
      <c r="R883" s="350">
        <f t="shared" si="358"/>
        <v>3038620.7499692496</v>
      </c>
      <c r="S883" s="350">
        <f t="shared" si="359"/>
        <v>4815033.6487033404</v>
      </c>
      <c r="T883" s="350">
        <f t="shared" si="360"/>
        <v>6353024.9862913154</v>
      </c>
      <c r="U883" s="350">
        <f t="shared" si="361"/>
        <v>7648481.0184102654</v>
      </c>
      <c r="V883" s="350">
        <f t="shared" si="362"/>
        <v>22884539.287670866</v>
      </c>
      <c r="W883" s="365"/>
      <c r="X883" s="377">
        <f t="shared" si="340"/>
        <v>0</v>
      </c>
      <c r="Y883" s="377">
        <f t="shared" si="341"/>
        <v>0</v>
      </c>
      <c r="Z883" s="377">
        <f t="shared" si="342"/>
        <v>0</v>
      </c>
      <c r="AA883" s="377">
        <f t="shared" si="343"/>
        <v>0</v>
      </c>
      <c r="AB883" s="377">
        <f t="shared" si="344"/>
        <v>0</v>
      </c>
      <c r="AC883" s="377">
        <f t="shared" si="345"/>
        <v>0</v>
      </c>
      <c r="AD883" s="376"/>
      <c r="AE883" s="332">
        <v>868</v>
      </c>
      <c r="AF883" s="350">
        <v>5996086.9747386621</v>
      </c>
      <c r="AG883" s="350">
        <v>12039262.255216241</v>
      </c>
      <c r="AH883" s="350">
        <v>18128172.609309759</v>
      </c>
      <c r="AI883" s="350">
        <v>24263019.927922741</v>
      </c>
      <c r="AJ883" s="350">
        <v>30444688.942311317</v>
      </c>
      <c r="AK883" s="348">
        <v>90871230.709498718</v>
      </c>
      <c r="AL883" s="369"/>
      <c r="AM883" s="350">
        <v>6923758.3353940845</v>
      </c>
      <c r="AN883" s="350">
        <v>14775472.878274135</v>
      </c>
      <c r="AO883" s="350">
        <v>22400666.754336495</v>
      </c>
      <c r="AP883" s="350">
        <v>29794580.793280173</v>
      </c>
      <c r="AQ883" s="350">
        <v>36954527.992227934</v>
      </c>
      <c r="AR883" s="348">
        <v>110849006.75351283</v>
      </c>
      <c r="AS883" s="369"/>
      <c r="AT883" s="350">
        <f t="shared" si="363"/>
        <v>927671.36065542232</v>
      </c>
      <c r="AU883" s="350">
        <f t="shared" si="346"/>
        <v>2736210.6230578944</v>
      </c>
      <c r="AV883" s="350">
        <f t="shared" si="347"/>
        <v>4272494.145026736</v>
      </c>
      <c r="AW883" s="350">
        <f t="shared" si="348"/>
        <v>5531560.8653574325</v>
      </c>
      <c r="AX883" s="350">
        <f t="shared" si="349"/>
        <v>6509839.0499166176</v>
      </c>
      <c r="AY883" s="350">
        <f t="shared" si="350"/>
        <v>19977776.044014111</v>
      </c>
      <c r="AZ883" s="365"/>
      <c r="BA883" s="377">
        <f t="shared" si="351"/>
        <v>0</v>
      </c>
      <c r="BB883" s="377">
        <f t="shared" si="352"/>
        <v>0</v>
      </c>
      <c r="BC883" s="377">
        <f t="shared" si="353"/>
        <v>0</v>
      </c>
      <c r="BD883" s="377">
        <f t="shared" si="354"/>
        <v>0</v>
      </c>
      <c r="BE883" s="377">
        <f t="shared" si="355"/>
        <v>0</v>
      </c>
      <c r="BF883" s="377">
        <f t="shared" si="356"/>
        <v>0</v>
      </c>
      <c r="BG883" s="328"/>
    </row>
    <row r="884" spans="2:59">
      <c r="B884" s="332">
        <v>869</v>
      </c>
      <c r="C884" s="350">
        <v>9038492.2195378039</v>
      </c>
      <c r="D884" s="350">
        <v>16931770.331997287</v>
      </c>
      <c r="E884" s="350">
        <v>24884438.434807487</v>
      </c>
      <c r="F884" s="350">
        <v>32897075.336021774</v>
      </c>
      <c r="G884" s="350">
        <v>40970973.728343084</v>
      </c>
      <c r="H884" s="348">
        <v>124722750.05070744</v>
      </c>
      <c r="I884" s="369"/>
      <c r="J884" s="350">
        <v>10589096.001218475</v>
      </c>
      <c r="K884" s="350">
        <v>21510963.64488709</v>
      </c>
      <c r="L884" s="350">
        <v>32183433.10494557</v>
      </c>
      <c r="M884" s="350">
        <v>42599174.841282099</v>
      </c>
      <c r="N884" s="350">
        <v>52753772.325172544</v>
      </c>
      <c r="O884" s="348">
        <v>159636439.91750577</v>
      </c>
      <c r="P884" s="369"/>
      <c r="Q884" s="350">
        <f t="shared" si="357"/>
        <v>1550603.7816806715</v>
      </c>
      <c r="R884" s="350">
        <f t="shared" si="358"/>
        <v>4579193.3128898032</v>
      </c>
      <c r="S884" s="350">
        <f t="shared" si="359"/>
        <v>7298994.6701380834</v>
      </c>
      <c r="T884" s="350">
        <f t="shared" si="360"/>
        <v>9702099.505260326</v>
      </c>
      <c r="U884" s="350">
        <f t="shared" si="361"/>
        <v>11782798.596829459</v>
      </c>
      <c r="V884" s="350">
        <f t="shared" si="362"/>
        <v>34913689.866798326</v>
      </c>
      <c r="W884" s="365"/>
      <c r="X884" s="377">
        <f t="shared" si="340"/>
        <v>0</v>
      </c>
      <c r="Y884" s="377">
        <f t="shared" si="341"/>
        <v>0</v>
      </c>
      <c r="Z884" s="377">
        <f t="shared" si="342"/>
        <v>0</v>
      </c>
      <c r="AA884" s="377">
        <f t="shared" si="343"/>
        <v>0</v>
      </c>
      <c r="AB884" s="377">
        <f t="shared" si="344"/>
        <v>0</v>
      </c>
      <c r="AC884" s="377">
        <f t="shared" si="345"/>
        <v>0</v>
      </c>
      <c r="AD884" s="376"/>
      <c r="AE884" s="332">
        <v>869</v>
      </c>
      <c r="AF884" s="350">
        <v>6149183.2380320393</v>
      </c>
      <c r="AG884" s="350">
        <v>12346657.073177988</v>
      </c>
      <c r="AH884" s="350">
        <v>18591033.721651047</v>
      </c>
      <c r="AI884" s="350">
        <v>24882520.229173716</v>
      </c>
      <c r="AJ884" s="350">
        <v>31222023.91657595</v>
      </c>
      <c r="AK884" s="348">
        <v>93191418.178610742</v>
      </c>
      <c r="AL884" s="369"/>
      <c r="AM884" s="350">
        <v>7771532.2193289073</v>
      </c>
      <c r="AN884" s="350">
        <v>17142694.782936469</v>
      </c>
      <c r="AO884" s="350">
        <v>26301649.408650123</v>
      </c>
      <c r="AP884" s="350">
        <v>35243325.630388565</v>
      </c>
      <c r="AQ884" s="350">
        <v>43965647.396107346</v>
      </c>
      <c r="AR884" s="348">
        <v>130424849.4374114</v>
      </c>
      <c r="AS884" s="369"/>
      <c r="AT884" s="350">
        <f t="shared" si="363"/>
        <v>1622348.9812968681</v>
      </c>
      <c r="AU884" s="350">
        <f t="shared" si="346"/>
        <v>4796037.709758481</v>
      </c>
      <c r="AV884" s="350">
        <f t="shared" si="347"/>
        <v>7710615.6869990751</v>
      </c>
      <c r="AW884" s="350">
        <f t="shared" si="348"/>
        <v>10360805.401214849</v>
      </c>
      <c r="AX884" s="350">
        <f t="shared" si="349"/>
        <v>12743623.479531396</v>
      </c>
      <c r="AY884" s="350">
        <f t="shared" si="350"/>
        <v>37233431.258800656</v>
      </c>
      <c r="AZ884" s="365"/>
      <c r="BA884" s="377">
        <f t="shared" si="351"/>
        <v>0</v>
      </c>
      <c r="BB884" s="377">
        <f t="shared" si="352"/>
        <v>0</v>
      </c>
      <c r="BC884" s="377">
        <f t="shared" si="353"/>
        <v>0</v>
      </c>
      <c r="BD884" s="377">
        <f t="shared" si="354"/>
        <v>0</v>
      </c>
      <c r="BE884" s="377">
        <f t="shared" si="355"/>
        <v>0</v>
      </c>
      <c r="BF884" s="377">
        <f t="shared" si="356"/>
        <v>0</v>
      </c>
      <c r="BG884" s="328"/>
    </row>
    <row r="885" spans="2:59">
      <c r="B885" s="332">
        <v>870</v>
      </c>
      <c r="C885" s="350">
        <v>6538076.5072718225</v>
      </c>
      <c r="D885" s="350">
        <v>12254133.715073954</v>
      </c>
      <c r="E885" s="350">
        <v>18013201.336685237</v>
      </c>
      <c r="F885" s="350">
        <v>23815696.617940497</v>
      </c>
      <c r="G885" s="350">
        <v>29662554.854880162</v>
      </c>
      <c r="H885" s="348">
        <v>90283663.031851679</v>
      </c>
      <c r="I885" s="369"/>
      <c r="J885" s="350">
        <v>7405912.1735128295</v>
      </c>
      <c r="K885" s="350">
        <v>14813801.727298694</v>
      </c>
      <c r="L885" s="350">
        <v>22034163.679727577</v>
      </c>
      <c r="M885" s="350">
        <v>29061733.391421311</v>
      </c>
      <c r="N885" s="350">
        <v>35893025.267188847</v>
      </c>
      <c r="O885" s="348">
        <v>109208636.23914926</v>
      </c>
      <c r="P885" s="369"/>
      <c r="Q885" s="350">
        <f t="shared" si="357"/>
        <v>867835.66624100693</v>
      </c>
      <c r="R885" s="350">
        <f t="shared" si="358"/>
        <v>2559668.0122247394</v>
      </c>
      <c r="S885" s="350">
        <f t="shared" si="359"/>
        <v>4020962.3430423401</v>
      </c>
      <c r="T885" s="350">
        <f t="shared" si="360"/>
        <v>5246036.773480814</v>
      </c>
      <c r="U885" s="350">
        <f t="shared" si="361"/>
        <v>6230470.4123086855</v>
      </c>
      <c r="V885" s="350">
        <f t="shared" si="362"/>
        <v>18924973.207297578</v>
      </c>
      <c r="W885" s="365"/>
      <c r="X885" s="377">
        <f t="shared" si="340"/>
        <v>0</v>
      </c>
      <c r="Y885" s="377">
        <f t="shared" si="341"/>
        <v>0</v>
      </c>
      <c r="Z885" s="377">
        <f t="shared" si="342"/>
        <v>0</v>
      </c>
      <c r="AA885" s="377">
        <f t="shared" si="343"/>
        <v>0</v>
      </c>
      <c r="AB885" s="377">
        <f t="shared" si="344"/>
        <v>0</v>
      </c>
      <c r="AC885" s="377">
        <f t="shared" si="345"/>
        <v>0</v>
      </c>
      <c r="AD885" s="376"/>
      <c r="AE885" s="332">
        <v>870</v>
      </c>
      <c r="AF885" s="350">
        <v>6679054.1116412049</v>
      </c>
      <c r="AG885" s="350">
        <v>13410559.987804957</v>
      </c>
      <c r="AH885" s="350">
        <v>20193010.260333821</v>
      </c>
      <c r="AI885" s="350">
        <v>27026629.815937232</v>
      </c>
      <c r="AJ885" s="350">
        <v>33912404.158654556</v>
      </c>
      <c r="AK885" s="348">
        <v>101221658.33437178</v>
      </c>
      <c r="AL885" s="369"/>
      <c r="AM885" s="350">
        <v>7969544.1040981002</v>
      </c>
      <c r="AN885" s="350">
        <v>17221076.711487003</v>
      </c>
      <c r="AO885" s="350">
        <v>26227989.333120979</v>
      </c>
      <c r="AP885" s="350">
        <v>34984907.986079499</v>
      </c>
      <c r="AQ885" s="350">
        <v>43489100.049714528</v>
      </c>
      <c r="AR885" s="348">
        <v>129892618.1845001</v>
      </c>
      <c r="AS885" s="369"/>
      <c r="AT885" s="350">
        <f t="shared" si="363"/>
        <v>1290489.9924568953</v>
      </c>
      <c r="AU885" s="350">
        <f t="shared" si="346"/>
        <v>3810516.7236820459</v>
      </c>
      <c r="AV885" s="350">
        <f t="shared" si="347"/>
        <v>6034979.0727871582</v>
      </c>
      <c r="AW885" s="350">
        <f t="shared" si="348"/>
        <v>7958278.1701422669</v>
      </c>
      <c r="AX885" s="350">
        <f t="shared" si="349"/>
        <v>9576695.8910599723</v>
      </c>
      <c r="AY885" s="350">
        <f t="shared" si="350"/>
        <v>28670959.850128323</v>
      </c>
      <c r="AZ885" s="365"/>
      <c r="BA885" s="377">
        <f t="shared" si="351"/>
        <v>0</v>
      </c>
      <c r="BB885" s="377">
        <f t="shared" si="352"/>
        <v>0</v>
      </c>
      <c r="BC885" s="377">
        <f t="shared" si="353"/>
        <v>0</v>
      </c>
      <c r="BD885" s="377">
        <f t="shared" si="354"/>
        <v>0</v>
      </c>
      <c r="BE885" s="377">
        <f t="shared" si="355"/>
        <v>0</v>
      </c>
      <c r="BF885" s="377">
        <f t="shared" si="356"/>
        <v>0</v>
      </c>
      <c r="BG885" s="328"/>
    </row>
    <row r="886" spans="2:59">
      <c r="B886" s="332">
        <v>871</v>
      </c>
      <c r="C886" s="350">
        <v>10999994.421272323</v>
      </c>
      <c r="D886" s="350">
        <v>20924622.522380821</v>
      </c>
      <c r="E886" s="350">
        <v>30924029.502117872</v>
      </c>
      <c r="F886" s="350">
        <v>40998847.925994411</v>
      </c>
      <c r="G886" s="350">
        <v>51150661.742329985</v>
      </c>
      <c r="H886" s="348">
        <v>154998156.11409542</v>
      </c>
      <c r="I886" s="369"/>
      <c r="J886" s="350">
        <v>12462391.504678544</v>
      </c>
      <c r="K886" s="350">
        <v>25237189.42120301</v>
      </c>
      <c r="L886" s="350">
        <v>37678936.696728177</v>
      </c>
      <c r="M886" s="350">
        <v>49778632.103364661</v>
      </c>
      <c r="N886" s="350">
        <v>61530366.852373905</v>
      </c>
      <c r="O886" s="348">
        <v>186687516.57834831</v>
      </c>
      <c r="P886" s="369"/>
      <c r="Q886" s="350">
        <f t="shared" si="357"/>
        <v>1462397.0834062211</v>
      </c>
      <c r="R886" s="350">
        <f t="shared" si="358"/>
        <v>4312566.8988221884</v>
      </c>
      <c r="S886" s="350">
        <f t="shared" si="359"/>
        <v>6754907.1946103051</v>
      </c>
      <c r="T886" s="350">
        <f t="shared" si="360"/>
        <v>8779784.1773702502</v>
      </c>
      <c r="U886" s="350">
        <f t="shared" si="361"/>
        <v>10379705.110043921</v>
      </c>
      <c r="V886" s="350">
        <f t="shared" si="362"/>
        <v>31689360.464252889</v>
      </c>
      <c r="W886" s="365"/>
      <c r="X886" s="377">
        <f t="shared" si="340"/>
        <v>0</v>
      </c>
      <c r="Y886" s="377">
        <f t="shared" si="341"/>
        <v>0</v>
      </c>
      <c r="Z886" s="377">
        <f t="shared" si="342"/>
        <v>0</v>
      </c>
      <c r="AA886" s="377">
        <f t="shared" si="343"/>
        <v>0</v>
      </c>
      <c r="AB886" s="377">
        <f t="shared" si="344"/>
        <v>0</v>
      </c>
      <c r="AC886" s="377">
        <f t="shared" si="345"/>
        <v>0</v>
      </c>
      <c r="AD886" s="376"/>
      <c r="AE886" s="332">
        <v>871</v>
      </c>
      <c r="AF886" s="350">
        <v>5911264.0628672</v>
      </c>
      <c r="AG886" s="350">
        <v>11868950.30250876</v>
      </c>
      <c r="AH886" s="350">
        <v>17871724.630134612</v>
      </c>
      <c r="AI886" s="350">
        <v>23919786.080623277</v>
      </c>
      <c r="AJ886" s="350">
        <v>30014006.869488258</v>
      </c>
      <c r="AK886" s="348">
        <v>89585731.945622101</v>
      </c>
      <c r="AL886" s="369"/>
      <c r="AM886" s="350">
        <v>7170594.7536307499</v>
      </c>
      <c r="AN886" s="350">
        <v>15588977.162570849</v>
      </c>
      <c r="AO886" s="350">
        <v>23794369.696839526</v>
      </c>
      <c r="AP886" s="350">
        <v>31781982.993871227</v>
      </c>
      <c r="AQ886" s="350">
        <v>39549517.246010661</v>
      </c>
      <c r="AR886" s="348">
        <v>117885441.85292301</v>
      </c>
      <c r="AS886" s="369"/>
      <c r="AT886" s="350">
        <f t="shared" si="363"/>
        <v>1259330.6907635499</v>
      </c>
      <c r="AU886" s="350">
        <f t="shared" si="346"/>
        <v>3720026.8600620888</v>
      </c>
      <c r="AV886" s="350">
        <f t="shared" si="347"/>
        <v>5922645.066704914</v>
      </c>
      <c r="AW886" s="350">
        <f t="shared" si="348"/>
        <v>7862196.9132479504</v>
      </c>
      <c r="AX886" s="350">
        <f t="shared" si="349"/>
        <v>9535510.3765224032</v>
      </c>
      <c r="AY886" s="350">
        <f t="shared" si="350"/>
        <v>28299709.907300904</v>
      </c>
      <c r="AZ886" s="365"/>
      <c r="BA886" s="377">
        <f t="shared" si="351"/>
        <v>0</v>
      </c>
      <c r="BB886" s="377">
        <f t="shared" si="352"/>
        <v>0</v>
      </c>
      <c r="BC886" s="377">
        <f t="shared" si="353"/>
        <v>0</v>
      </c>
      <c r="BD886" s="377">
        <f t="shared" si="354"/>
        <v>0</v>
      </c>
      <c r="BE886" s="377">
        <f t="shared" si="355"/>
        <v>0</v>
      </c>
      <c r="BF886" s="377">
        <f t="shared" si="356"/>
        <v>0</v>
      </c>
      <c r="BG886" s="328"/>
    </row>
    <row r="887" spans="2:59">
      <c r="B887" s="332">
        <v>872</v>
      </c>
      <c r="C887" s="350">
        <v>6391239.0501824515</v>
      </c>
      <c r="D887" s="350">
        <v>12041417.741185758</v>
      </c>
      <c r="E887" s="350">
        <v>17734131.685583577</v>
      </c>
      <c r="F887" s="350">
        <v>23469774.653592028</v>
      </c>
      <c r="G887" s="350">
        <v>29249263.039923683</v>
      </c>
      <c r="H887" s="348">
        <v>88885826.170467496</v>
      </c>
      <c r="I887" s="369"/>
      <c r="J887" s="350">
        <v>7251811.3841689471</v>
      </c>
      <c r="K887" s="350">
        <v>14579684.727635911</v>
      </c>
      <c r="L887" s="350">
        <v>21718903.936786868</v>
      </c>
      <c r="M887" s="350">
        <v>28664360.288644157</v>
      </c>
      <c r="N887" s="350">
        <v>35412722.60303165</v>
      </c>
      <c r="O887" s="348">
        <v>107627482.94026753</v>
      </c>
      <c r="P887" s="369"/>
      <c r="Q887" s="350">
        <f t="shared" si="357"/>
        <v>860572.33398649562</v>
      </c>
      <c r="R887" s="350">
        <f t="shared" si="358"/>
        <v>2538266.9864501525</v>
      </c>
      <c r="S887" s="350">
        <f t="shared" si="359"/>
        <v>3984772.2512032911</v>
      </c>
      <c r="T887" s="350">
        <f t="shared" si="360"/>
        <v>5194585.6350521296</v>
      </c>
      <c r="U887" s="350">
        <f t="shared" si="361"/>
        <v>6163459.5631079674</v>
      </c>
      <c r="V887" s="350">
        <f t="shared" si="362"/>
        <v>18741656.769800037</v>
      </c>
      <c r="W887" s="365"/>
      <c r="X887" s="377">
        <f t="shared" si="340"/>
        <v>0</v>
      </c>
      <c r="Y887" s="377">
        <f t="shared" si="341"/>
        <v>0</v>
      </c>
      <c r="Z887" s="377">
        <f t="shared" si="342"/>
        <v>0</v>
      </c>
      <c r="AA887" s="377">
        <f t="shared" si="343"/>
        <v>0</v>
      </c>
      <c r="AB887" s="377">
        <f t="shared" si="344"/>
        <v>0</v>
      </c>
      <c r="AC887" s="377">
        <f t="shared" si="345"/>
        <v>0</v>
      </c>
      <c r="AD887" s="376"/>
      <c r="AE887" s="332">
        <v>872</v>
      </c>
      <c r="AF887" s="350">
        <v>5713572.2313752612</v>
      </c>
      <c r="AG887" s="350">
        <v>11472014.131457105</v>
      </c>
      <c r="AH887" s="350">
        <v>17274036.227709021</v>
      </c>
      <c r="AI887" s="350">
        <v>23119830.898638025</v>
      </c>
      <c r="AJ887" s="350">
        <v>29010241.190043584</v>
      </c>
      <c r="AK887" s="348">
        <v>86589694.679223001</v>
      </c>
      <c r="AL887" s="369"/>
      <c r="AM887" s="350">
        <v>6574852.201999261</v>
      </c>
      <c r="AN887" s="350">
        <v>14012033.674694959</v>
      </c>
      <c r="AO887" s="350">
        <v>21232687.990409657</v>
      </c>
      <c r="AP887" s="350">
        <v>28232286.629900001</v>
      </c>
      <c r="AQ887" s="350">
        <v>35008246.220206521</v>
      </c>
      <c r="AR887" s="348">
        <v>105060106.71721041</v>
      </c>
      <c r="AS887" s="369"/>
      <c r="AT887" s="350">
        <f t="shared" si="363"/>
        <v>861279.97062399983</v>
      </c>
      <c r="AU887" s="350">
        <f t="shared" si="346"/>
        <v>2540019.5432378538</v>
      </c>
      <c r="AV887" s="350">
        <f t="shared" si="347"/>
        <v>3958651.7627006359</v>
      </c>
      <c r="AW887" s="350">
        <f t="shared" si="348"/>
        <v>5112455.7312619761</v>
      </c>
      <c r="AX887" s="350">
        <f t="shared" si="349"/>
        <v>5998005.0301629379</v>
      </c>
      <c r="AY887" s="350">
        <f t="shared" si="350"/>
        <v>18470412.037987411</v>
      </c>
      <c r="AZ887" s="365"/>
      <c r="BA887" s="377">
        <f t="shared" si="351"/>
        <v>0</v>
      </c>
      <c r="BB887" s="377">
        <f t="shared" si="352"/>
        <v>0</v>
      </c>
      <c r="BC887" s="377">
        <f t="shared" si="353"/>
        <v>0</v>
      </c>
      <c r="BD887" s="377">
        <f t="shared" si="354"/>
        <v>0</v>
      </c>
      <c r="BE887" s="377">
        <f t="shared" si="355"/>
        <v>0</v>
      </c>
      <c r="BF887" s="377">
        <f t="shared" si="356"/>
        <v>0</v>
      </c>
      <c r="BG887" s="328"/>
    </row>
    <row r="888" spans="2:59">
      <c r="B888" s="332">
        <v>873</v>
      </c>
      <c r="C888" s="350">
        <v>7996676.7100615781</v>
      </c>
      <c r="D888" s="350">
        <v>15028474.879066516</v>
      </c>
      <c r="E888" s="350">
        <v>22113197.06198477</v>
      </c>
      <c r="F888" s="350">
        <v>29251344.44282873</v>
      </c>
      <c r="G888" s="350">
        <v>36444062.34037967</v>
      </c>
      <c r="H888" s="348">
        <v>110833755.43432127</v>
      </c>
      <c r="I888" s="369"/>
      <c r="J888" s="350">
        <v>9341503.695729252</v>
      </c>
      <c r="K888" s="350">
        <v>18999512.035772536</v>
      </c>
      <c r="L888" s="350">
        <v>28441915.986526869</v>
      </c>
      <c r="M888" s="350">
        <v>37661872.56886901</v>
      </c>
      <c r="N888" s="350">
        <v>46655082.774283633</v>
      </c>
      <c r="O888" s="348">
        <v>141099887.06118131</v>
      </c>
      <c r="P888" s="369"/>
      <c r="Q888" s="350">
        <f t="shared" si="357"/>
        <v>1344826.9856676739</v>
      </c>
      <c r="R888" s="350">
        <f t="shared" si="358"/>
        <v>3971037.1567060202</v>
      </c>
      <c r="S888" s="350">
        <f t="shared" si="359"/>
        <v>6328718.9245420992</v>
      </c>
      <c r="T888" s="350">
        <f t="shared" si="360"/>
        <v>8410528.1260402799</v>
      </c>
      <c r="U888" s="350">
        <f t="shared" si="361"/>
        <v>10211020.433903962</v>
      </c>
      <c r="V888" s="350">
        <f t="shared" si="362"/>
        <v>30266131.626860037</v>
      </c>
      <c r="W888" s="365"/>
      <c r="X888" s="377">
        <f t="shared" si="340"/>
        <v>0</v>
      </c>
      <c r="Y888" s="377">
        <f t="shared" si="341"/>
        <v>0</v>
      </c>
      <c r="Z888" s="377">
        <f t="shared" si="342"/>
        <v>0</v>
      </c>
      <c r="AA888" s="377">
        <f t="shared" si="343"/>
        <v>0</v>
      </c>
      <c r="AB888" s="377">
        <f t="shared" si="344"/>
        <v>0</v>
      </c>
      <c r="AC888" s="377">
        <f t="shared" si="345"/>
        <v>0</v>
      </c>
      <c r="AD888" s="376"/>
      <c r="AE888" s="332">
        <v>873</v>
      </c>
      <c r="AF888" s="350">
        <v>7360466.0965680461</v>
      </c>
      <c r="AG888" s="350">
        <v>14778735.203565443</v>
      </c>
      <c r="AH888" s="350">
        <v>22253146.167776119</v>
      </c>
      <c r="AI888" s="350">
        <v>29783946.819352772</v>
      </c>
      <c r="AJ888" s="350">
        <v>37372223.205653094</v>
      </c>
      <c r="AK888" s="348">
        <v>111548517.49291548</v>
      </c>
      <c r="AL888" s="369"/>
      <c r="AM888" s="350">
        <v>8540630.7364458516</v>
      </c>
      <c r="AN888" s="350">
        <v>18260355.799112242</v>
      </c>
      <c r="AO888" s="350">
        <v>27703256.70229049</v>
      </c>
      <c r="AP888" s="350">
        <v>36863479.639402673</v>
      </c>
      <c r="AQ888" s="350">
        <v>45737768.12867187</v>
      </c>
      <c r="AR888" s="348">
        <v>137105491.00592312</v>
      </c>
      <c r="AS888" s="369"/>
      <c r="AT888" s="350">
        <f t="shared" si="363"/>
        <v>1180164.6398778055</v>
      </c>
      <c r="AU888" s="350">
        <f t="shared" si="346"/>
        <v>3481620.5955467988</v>
      </c>
      <c r="AV888" s="350">
        <f t="shared" si="347"/>
        <v>5450110.5345143713</v>
      </c>
      <c r="AW888" s="350">
        <f t="shared" si="348"/>
        <v>7079532.8200499006</v>
      </c>
      <c r="AX888" s="350">
        <f t="shared" si="349"/>
        <v>8365544.9230187759</v>
      </c>
      <c r="AY888" s="350">
        <f t="shared" si="350"/>
        <v>25556973.513007641</v>
      </c>
      <c r="AZ888" s="365"/>
      <c r="BA888" s="377">
        <f t="shared" si="351"/>
        <v>0</v>
      </c>
      <c r="BB888" s="377">
        <f t="shared" si="352"/>
        <v>0</v>
      </c>
      <c r="BC888" s="377">
        <f t="shared" si="353"/>
        <v>0</v>
      </c>
      <c r="BD888" s="377">
        <f t="shared" si="354"/>
        <v>0</v>
      </c>
      <c r="BE888" s="377">
        <f t="shared" si="355"/>
        <v>0</v>
      </c>
      <c r="BF888" s="377">
        <f t="shared" si="356"/>
        <v>0</v>
      </c>
      <c r="BG888" s="328"/>
    </row>
    <row r="889" spans="2:59">
      <c r="B889" s="332">
        <v>874</v>
      </c>
      <c r="C889" s="350">
        <v>10035526.398482325</v>
      </c>
      <c r="D889" s="350">
        <v>19079252.479399934</v>
      </c>
      <c r="E889" s="350">
        <v>28191116.711154535</v>
      </c>
      <c r="F889" s="350">
        <v>37371698.616150394</v>
      </c>
      <c r="G889" s="350">
        <v>46622442.902792074</v>
      </c>
      <c r="H889" s="348">
        <v>141300037.10797927</v>
      </c>
      <c r="I889" s="369"/>
      <c r="J889" s="350">
        <v>11386221.504323866</v>
      </c>
      <c r="K889" s="350">
        <v>23062728.780969176</v>
      </c>
      <c r="L889" s="350">
        <v>34434118.367182769</v>
      </c>
      <c r="M889" s="350">
        <v>45492283.546731129</v>
      </c>
      <c r="N889" s="350">
        <v>56231960.804372869</v>
      </c>
      <c r="O889" s="348">
        <v>170607313.0035798</v>
      </c>
      <c r="P889" s="369"/>
      <c r="Q889" s="350">
        <f t="shared" si="357"/>
        <v>1350695.1058415417</v>
      </c>
      <c r="R889" s="350">
        <f t="shared" si="358"/>
        <v>3983476.301569242</v>
      </c>
      <c r="S889" s="350">
        <f t="shared" si="359"/>
        <v>6243001.6560282335</v>
      </c>
      <c r="T889" s="350">
        <f t="shared" si="360"/>
        <v>8120584.9305807352</v>
      </c>
      <c r="U889" s="350">
        <f t="shared" si="361"/>
        <v>9609517.9015807956</v>
      </c>
      <c r="V889" s="350">
        <f t="shared" si="362"/>
        <v>29307275.895600528</v>
      </c>
      <c r="W889" s="365"/>
      <c r="X889" s="377">
        <f t="shared" si="340"/>
        <v>0</v>
      </c>
      <c r="Y889" s="377">
        <f t="shared" si="341"/>
        <v>0</v>
      </c>
      <c r="Z889" s="377">
        <f t="shared" si="342"/>
        <v>0</v>
      </c>
      <c r="AA889" s="377">
        <f t="shared" si="343"/>
        <v>0</v>
      </c>
      <c r="AB889" s="377">
        <f t="shared" si="344"/>
        <v>0</v>
      </c>
      <c r="AC889" s="377">
        <f t="shared" si="345"/>
        <v>0</v>
      </c>
      <c r="AD889" s="376"/>
      <c r="AE889" s="332">
        <v>874</v>
      </c>
      <c r="AF889" s="350">
        <v>8369913.5497474149</v>
      </c>
      <c r="AG889" s="350">
        <v>16805557.474971242</v>
      </c>
      <c r="AH889" s="350">
        <v>25305042.804425776</v>
      </c>
      <c r="AI889" s="350">
        <v>33868651.35680645</v>
      </c>
      <c r="AJ889" s="350">
        <v>42497618.124894358</v>
      </c>
      <c r="AK889" s="348">
        <v>126846783.31084523</v>
      </c>
      <c r="AL889" s="369"/>
      <c r="AM889" s="350">
        <v>9655716.6913634241</v>
      </c>
      <c r="AN889" s="350">
        <v>20597947.226780511</v>
      </c>
      <c r="AO889" s="350">
        <v>31223705.046687312</v>
      </c>
      <c r="AP889" s="350">
        <v>41526349.426692337</v>
      </c>
      <c r="AQ889" s="350">
        <v>51502120.344248384</v>
      </c>
      <c r="AR889" s="348">
        <v>154505838.73577195</v>
      </c>
      <c r="AS889" s="369"/>
      <c r="AT889" s="350">
        <f t="shared" si="363"/>
        <v>1285803.1416160092</v>
      </c>
      <c r="AU889" s="350">
        <f t="shared" si="346"/>
        <v>3792389.7518092692</v>
      </c>
      <c r="AV889" s="350">
        <f t="shared" si="347"/>
        <v>5918662.2422615364</v>
      </c>
      <c r="AW889" s="350">
        <f t="shared" si="348"/>
        <v>7657698.0698858872</v>
      </c>
      <c r="AX889" s="350">
        <f t="shared" si="349"/>
        <v>9004502.219354026</v>
      </c>
      <c r="AY889" s="350">
        <f t="shared" si="350"/>
        <v>27659055.424926728</v>
      </c>
      <c r="AZ889" s="365"/>
      <c r="BA889" s="377">
        <f t="shared" si="351"/>
        <v>0</v>
      </c>
      <c r="BB889" s="377">
        <f t="shared" si="352"/>
        <v>0</v>
      </c>
      <c r="BC889" s="377">
        <f t="shared" si="353"/>
        <v>0</v>
      </c>
      <c r="BD889" s="377">
        <f t="shared" si="354"/>
        <v>0</v>
      </c>
      <c r="BE889" s="377">
        <f t="shared" si="355"/>
        <v>0</v>
      </c>
      <c r="BF889" s="377">
        <f t="shared" si="356"/>
        <v>0</v>
      </c>
      <c r="BG889" s="328"/>
    </row>
    <row r="890" spans="2:59">
      <c r="B890" s="332">
        <v>875</v>
      </c>
      <c r="C890" s="350">
        <v>6781700.2076983824</v>
      </c>
      <c r="D890" s="350">
        <v>12706004.933660738</v>
      </c>
      <c r="E890" s="350">
        <v>18674885.469862841</v>
      </c>
      <c r="F890" s="350">
        <v>24688775.680748448</v>
      </c>
      <c r="G890" s="350">
        <v>30748645.553834695</v>
      </c>
      <c r="H890" s="348">
        <v>93600011.845805109</v>
      </c>
      <c r="I890" s="369"/>
      <c r="J890" s="350">
        <v>7494860.3821453722</v>
      </c>
      <c r="K890" s="350">
        <v>14806433.648270974</v>
      </c>
      <c r="L890" s="350">
        <v>21918464.526710704</v>
      </c>
      <c r="M890" s="350">
        <v>28825530.938237477</v>
      </c>
      <c r="N890" s="350">
        <v>35523811.817507021</v>
      </c>
      <c r="O890" s="348">
        <v>108569101.31287155</v>
      </c>
      <c r="P890" s="369"/>
      <c r="Q890" s="350">
        <f t="shared" si="357"/>
        <v>713160.17444698978</v>
      </c>
      <c r="R890" s="350">
        <f t="shared" si="358"/>
        <v>2100428.7146102358</v>
      </c>
      <c r="S890" s="350">
        <f t="shared" si="359"/>
        <v>3243579.0568478629</v>
      </c>
      <c r="T890" s="350">
        <f t="shared" si="360"/>
        <v>4136755.2574890293</v>
      </c>
      <c r="U890" s="350">
        <f t="shared" si="361"/>
        <v>4775166.2636723258</v>
      </c>
      <c r="V890" s="350">
        <f t="shared" si="362"/>
        <v>14969089.467066437</v>
      </c>
      <c r="W890" s="365"/>
      <c r="X890" s="377">
        <f t="shared" si="340"/>
        <v>0</v>
      </c>
      <c r="Y890" s="377">
        <f t="shared" si="341"/>
        <v>0</v>
      </c>
      <c r="Z890" s="377">
        <f t="shared" si="342"/>
        <v>0</v>
      </c>
      <c r="AA890" s="377">
        <f t="shared" si="343"/>
        <v>0</v>
      </c>
      <c r="AB890" s="377">
        <f t="shared" si="344"/>
        <v>0</v>
      </c>
      <c r="AC890" s="377">
        <f t="shared" si="345"/>
        <v>0</v>
      </c>
      <c r="AD890" s="376"/>
      <c r="AE890" s="332">
        <v>875</v>
      </c>
      <c r="AF890" s="350">
        <v>5661376.0959723201</v>
      </c>
      <c r="AG890" s="350">
        <v>11367211.955392577</v>
      </c>
      <c r="AH890" s="350">
        <v>17116229.885654643</v>
      </c>
      <c r="AI890" s="350">
        <v>22908620.507798538</v>
      </c>
      <c r="AJ890" s="350">
        <v>28745219.16600889</v>
      </c>
      <c r="AK890" s="348">
        <v>85798657.610826969</v>
      </c>
      <c r="AL890" s="369"/>
      <c r="AM890" s="350">
        <v>6644896.311825268</v>
      </c>
      <c r="AN890" s="350">
        <v>14269890.659875151</v>
      </c>
      <c r="AO890" s="350">
        <v>21684232.715810448</v>
      </c>
      <c r="AP890" s="350">
        <v>28883398.531021491</v>
      </c>
      <c r="AQ890" s="350">
        <v>35864960.102206044</v>
      </c>
      <c r="AR890" s="348">
        <v>107347378.3207384</v>
      </c>
      <c r="AS890" s="369"/>
      <c r="AT890" s="350">
        <f t="shared" si="363"/>
        <v>983520.21585294791</v>
      </c>
      <c r="AU890" s="350">
        <f t="shared" si="346"/>
        <v>2902678.704482574</v>
      </c>
      <c r="AV890" s="350">
        <f t="shared" si="347"/>
        <v>4568002.8301558048</v>
      </c>
      <c r="AW890" s="350">
        <f t="shared" si="348"/>
        <v>5974778.0232229531</v>
      </c>
      <c r="AX890" s="350">
        <f t="shared" si="349"/>
        <v>7119740.9361971542</v>
      </c>
      <c r="AY890" s="350">
        <f t="shared" si="350"/>
        <v>21548720.709911436</v>
      </c>
      <c r="AZ890" s="365"/>
      <c r="BA890" s="377">
        <f t="shared" si="351"/>
        <v>0</v>
      </c>
      <c r="BB890" s="377">
        <f t="shared" si="352"/>
        <v>0</v>
      </c>
      <c r="BC890" s="377">
        <f t="shared" si="353"/>
        <v>0</v>
      </c>
      <c r="BD890" s="377">
        <f t="shared" si="354"/>
        <v>0</v>
      </c>
      <c r="BE890" s="377">
        <f t="shared" si="355"/>
        <v>0</v>
      </c>
      <c r="BF890" s="377">
        <f t="shared" si="356"/>
        <v>0</v>
      </c>
      <c r="BG890" s="328"/>
    </row>
    <row r="891" spans="2:59">
      <c r="B891" s="332">
        <v>876</v>
      </c>
      <c r="C891" s="350">
        <v>7667336.0990619119</v>
      </c>
      <c r="D891" s="350">
        <v>14399093.732265338</v>
      </c>
      <c r="E891" s="350">
        <v>21181513.747999981</v>
      </c>
      <c r="F891" s="350">
        <v>28015079.044914108</v>
      </c>
      <c r="G891" s="350">
        <v>34900887.420738898</v>
      </c>
      <c r="H891" s="348">
        <v>106163910.04498023</v>
      </c>
      <c r="I891" s="369"/>
      <c r="J891" s="350">
        <v>8783942.6642589942</v>
      </c>
      <c r="K891" s="350">
        <v>17694042.647373341</v>
      </c>
      <c r="L891" s="350">
        <v>26388739.317732535</v>
      </c>
      <c r="M891" s="350">
        <v>34861694.251060426</v>
      </c>
      <c r="N891" s="350">
        <v>43108787.47732912</v>
      </c>
      <c r="O891" s="348">
        <v>130837206.35775442</v>
      </c>
      <c r="P891" s="369"/>
      <c r="Q891" s="350">
        <f t="shared" si="357"/>
        <v>1116606.5651970822</v>
      </c>
      <c r="R891" s="350">
        <f t="shared" si="358"/>
        <v>3294948.9151080027</v>
      </c>
      <c r="S891" s="350">
        <f t="shared" si="359"/>
        <v>5207225.5697325543</v>
      </c>
      <c r="T891" s="350">
        <f t="shared" si="360"/>
        <v>6846615.2061463185</v>
      </c>
      <c r="U891" s="350">
        <f t="shared" si="361"/>
        <v>8207900.0565902218</v>
      </c>
      <c r="V891" s="350">
        <f t="shared" si="362"/>
        <v>24673296.312774196</v>
      </c>
      <c r="W891" s="365"/>
      <c r="X891" s="377">
        <f t="shared" si="340"/>
        <v>0</v>
      </c>
      <c r="Y891" s="377">
        <f t="shared" si="341"/>
        <v>0</v>
      </c>
      <c r="Z891" s="377">
        <f t="shared" si="342"/>
        <v>0</v>
      </c>
      <c r="AA891" s="377">
        <f t="shared" si="343"/>
        <v>0</v>
      </c>
      <c r="AB891" s="377">
        <f t="shared" si="344"/>
        <v>0</v>
      </c>
      <c r="AC891" s="377">
        <f t="shared" si="345"/>
        <v>0</v>
      </c>
      <c r="AD891" s="376"/>
      <c r="AE891" s="332">
        <v>876</v>
      </c>
      <c r="AF891" s="350">
        <v>8703141.6176522933</v>
      </c>
      <c r="AG891" s="350">
        <v>17474630.508302398</v>
      </c>
      <c r="AH891" s="350">
        <v>26312502.495837227</v>
      </c>
      <c r="AI891" s="350">
        <v>35217050.61888881</v>
      </c>
      <c r="AJ891" s="350">
        <v>44189559.038518883</v>
      </c>
      <c r="AK891" s="348">
        <v>131896884.2791996</v>
      </c>
      <c r="AL891" s="369"/>
      <c r="AM891" s="350">
        <v>10049018.302259812</v>
      </c>
      <c r="AN891" s="350">
        <v>21444347.677566495</v>
      </c>
      <c r="AO891" s="350">
        <v>32510870.763693374</v>
      </c>
      <c r="AP891" s="350">
        <v>43241679.939443618</v>
      </c>
      <c r="AQ891" s="350">
        <v>53632874.48173295</v>
      </c>
      <c r="AR891" s="348">
        <v>160878791.16469625</v>
      </c>
      <c r="AS891" s="369"/>
      <c r="AT891" s="350">
        <f t="shared" si="363"/>
        <v>1345876.6846075188</v>
      </c>
      <c r="AU891" s="350">
        <f t="shared" si="346"/>
        <v>3969717.1692640968</v>
      </c>
      <c r="AV891" s="350">
        <f t="shared" si="347"/>
        <v>6198368.2678561471</v>
      </c>
      <c r="AW891" s="350">
        <f t="shared" si="348"/>
        <v>8024629.3205548078</v>
      </c>
      <c r="AX891" s="350">
        <f t="shared" si="349"/>
        <v>9443315.4432140663</v>
      </c>
      <c r="AY891" s="350">
        <f t="shared" si="350"/>
        <v>28981906.885496646</v>
      </c>
      <c r="AZ891" s="365"/>
      <c r="BA891" s="377">
        <f t="shared" si="351"/>
        <v>0</v>
      </c>
      <c r="BB891" s="377">
        <f t="shared" si="352"/>
        <v>0</v>
      </c>
      <c r="BC891" s="377">
        <f t="shared" si="353"/>
        <v>0</v>
      </c>
      <c r="BD891" s="377">
        <f t="shared" si="354"/>
        <v>0</v>
      </c>
      <c r="BE891" s="377">
        <f t="shared" si="355"/>
        <v>0</v>
      </c>
      <c r="BF891" s="377">
        <f t="shared" si="356"/>
        <v>0</v>
      </c>
      <c r="BG891" s="328"/>
    </row>
    <row r="892" spans="2:59">
      <c r="B892" s="332">
        <v>877</v>
      </c>
      <c r="C892" s="350">
        <v>6544554.0432014521</v>
      </c>
      <c r="D892" s="350">
        <v>12440593.518586693</v>
      </c>
      <c r="E892" s="350">
        <v>18381054.978214391</v>
      </c>
      <c r="F892" s="350">
        <v>24366316.739934511</v>
      </c>
      <c r="G892" s="350">
        <v>30397320.89582558</v>
      </c>
      <c r="H892" s="348">
        <v>92129840.175762624</v>
      </c>
      <c r="I892" s="369"/>
      <c r="J892" s="350">
        <v>7554390.762862999</v>
      </c>
      <c r="K892" s="350">
        <v>15420930.557018319</v>
      </c>
      <c r="L892" s="350">
        <v>23096393.358803969</v>
      </c>
      <c r="M892" s="350">
        <v>30575289.70676358</v>
      </c>
      <c r="N892" s="350">
        <v>37854144.613584161</v>
      </c>
      <c r="O892" s="348">
        <v>114501148.99903303</v>
      </c>
      <c r="P892" s="369"/>
      <c r="Q892" s="350">
        <f t="shared" si="357"/>
        <v>1009836.7196615469</v>
      </c>
      <c r="R892" s="350">
        <f t="shared" si="358"/>
        <v>2980337.0384316258</v>
      </c>
      <c r="S892" s="350">
        <f t="shared" si="359"/>
        <v>4715338.3805895783</v>
      </c>
      <c r="T892" s="350">
        <f t="shared" si="360"/>
        <v>6208972.966829069</v>
      </c>
      <c r="U892" s="350">
        <f t="shared" si="361"/>
        <v>7456823.717758581</v>
      </c>
      <c r="V892" s="350">
        <f t="shared" si="362"/>
        <v>22371308.82327041</v>
      </c>
      <c r="W892" s="365"/>
      <c r="X892" s="377">
        <f t="shared" si="340"/>
        <v>0</v>
      </c>
      <c r="Y892" s="377">
        <f t="shared" si="341"/>
        <v>0</v>
      </c>
      <c r="Z892" s="377">
        <f t="shared" si="342"/>
        <v>0</v>
      </c>
      <c r="AA892" s="377">
        <f t="shared" si="343"/>
        <v>0</v>
      </c>
      <c r="AB892" s="377">
        <f t="shared" si="344"/>
        <v>0</v>
      </c>
      <c r="AC892" s="377">
        <f t="shared" si="345"/>
        <v>0</v>
      </c>
      <c r="AD892" s="376"/>
      <c r="AE892" s="332">
        <v>877</v>
      </c>
      <c r="AF892" s="350">
        <v>6568000.7867125459</v>
      </c>
      <c r="AG892" s="350">
        <v>13187581.217022847</v>
      </c>
      <c r="AH892" s="350">
        <v>19857258.985940039</v>
      </c>
      <c r="AI892" s="350">
        <v>26577255.240958937</v>
      </c>
      <c r="AJ892" s="350">
        <v>33348539.100041106</v>
      </c>
      <c r="AK892" s="348">
        <v>99538635.330675483</v>
      </c>
      <c r="AL892" s="369"/>
      <c r="AM892" s="350">
        <v>7431245.2405619118</v>
      </c>
      <c r="AN892" s="350">
        <v>15731290.769238733</v>
      </c>
      <c r="AO892" s="350">
        <v>23778630.142622232</v>
      </c>
      <c r="AP892" s="350">
        <v>31568093.503582418</v>
      </c>
      <c r="AQ892" s="350">
        <v>39096582.698490918</v>
      </c>
      <c r="AR892" s="348">
        <v>117605842.35449621</v>
      </c>
      <c r="AS892" s="369"/>
      <c r="AT892" s="350">
        <f t="shared" si="363"/>
        <v>863244.45384936593</v>
      </c>
      <c r="AU892" s="350">
        <f t="shared" si="346"/>
        <v>2543709.5522158854</v>
      </c>
      <c r="AV892" s="350">
        <f t="shared" si="347"/>
        <v>3921371.1566821933</v>
      </c>
      <c r="AW892" s="350">
        <f t="shared" si="348"/>
        <v>4990838.2626234815</v>
      </c>
      <c r="AX892" s="350">
        <f t="shared" si="349"/>
        <v>5748043.5984498113</v>
      </c>
      <c r="AY892" s="350">
        <f t="shared" si="350"/>
        <v>18067207.023820728</v>
      </c>
      <c r="AZ892" s="365"/>
      <c r="BA892" s="377">
        <f t="shared" si="351"/>
        <v>0</v>
      </c>
      <c r="BB892" s="377">
        <f t="shared" si="352"/>
        <v>0</v>
      </c>
      <c r="BC892" s="377">
        <f t="shared" si="353"/>
        <v>0</v>
      </c>
      <c r="BD892" s="377">
        <f t="shared" si="354"/>
        <v>0</v>
      </c>
      <c r="BE892" s="377">
        <f t="shared" si="355"/>
        <v>0</v>
      </c>
      <c r="BF892" s="377">
        <f t="shared" si="356"/>
        <v>0</v>
      </c>
      <c r="BG892" s="328"/>
    </row>
    <row r="893" spans="2:59">
      <c r="B893" s="332">
        <v>878</v>
      </c>
      <c r="C893" s="350">
        <v>9398474.3373024594</v>
      </c>
      <c r="D893" s="350">
        <v>17729726.023659837</v>
      </c>
      <c r="E893" s="350">
        <v>26123703.738612883</v>
      </c>
      <c r="F893" s="350">
        <v>34580981.447416775</v>
      </c>
      <c r="G893" s="350">
        <v>43102907.489474073</v>
      </c>
      <c r="H893" s="348">
        <v>130935793.03646602</v>
      </c>
      <c r="I893" s="369"/>
      <c r="J893" s="350">
        <v>10460772.779988844</v>
      </c>
      <c r="K893" s="350">
        <v>20859662.70246549</v>
      </c>
      <c r="L893" s="350">
        <v>30972741.855635963</v>
      </c>
      <c r="M893" s="350">
        <v>40792607.770281158</v>
      </c>
      <c r="N893" s="350">
        <v>50314217.643364921</v>
      </c>
      <c r="O893" s="348">
        <v>153400002.7517364</v>
      </c>
      <c r="P893" s="369"/>
      <c r="Q893" s="350">
        <f t="shared" si="357"/>
        <v>1062298.4426863845</v>
      </c>
      <c r="R893" s="350">
        <f t="shared" si="358"/>
        <v>3129936.678805653</v>
      </c>
      <c r="S893" s="350">
        <f t="shared" si="359"/>
        <v>4849038.1170230806</v>
      </c>
      <c r="T893" s="350">
        <f t="shared" si="360"/>
        <v>6211626.3228643835</v>
      </c>
      <c r="U893" s="350">
        <f t="shared" si="361"/>
        <v>7211310.1538908482</v>
      </c>
      <c r="V893" s="350">
        <f t="shared" si="362"/>
        <v>22464209.715270385</v>
      </c>
      <c r="W893" s="365"/>
      <c r="X893" s="377">
        <f t="shared" si="340"/>
        <v>0</v>
      </c>
      <c r="Y893" s="377">
        <f t="shared" si="341"/>
        <v>0</v>
      </c>
      <c r="Z893" s="377">
        <f t="shared" si="342"/>
        <v>0</v>
      </c>
      <c r="AA893" s="377">
        <f t="shared" si="343"/>
        <v>0</v>
      </c>
      <c r="AB893" s="377">
        <f t="shared" si="344"/>
        <v>0</v>
      </c>
      <c r="AC893" s="377">
        <f t="shared" si="345"/>
        <v>0</v>
      </c>
      <c r="AD893" s="376"/>
      <c r="AE893" s="332">
        <v>878</v>
      </c>
      <c r="AF893" s="350">
        <v>8936612.3967692293</v>
      </c>
      <c r="AG893" s="350">
        <v>17943405.552854009</v>
      </c>
      <c r="AH893" s="350">
        <v>27018362.601084664</v>
      </c>
      <c r="AI893" s="350">
        <v>36161784.441157743</v>
      </c>
      <c r="AJ893" s="350">
        <v>45374989.683084197</v>
      </c>
      <c r="AK893" s="348">
        <v>135435154.67494985</v>
      </c>
      <c r="AL893" s="369"/>
      <c r="AM893" s="350">
        <v>10130654.038105762</v>
      </c>
      <c r="AN893" s="350">
        <v>21462240.89392788</v>
      </c>
      <c r="AO893" s="350">
        <v>32450572.042010348</v>
      </c>
      <c r="AP893" s="350">
        <v>43088607.713354371</v>
      </c>
      <c r="AQ893" s="350">
        <v>53372152.20520962</v>
      </c>
      <c r="AR893" s="348">
        <v>160504226.89260799</v>
      </c>
      <c r="AS893" s="369"/>
      <c r="AT893" s="350">
        <f t="shared" si="363"/>
        <v>1194041.6413365323</v>
      </c>
      <c r="AU893" s="350">
        <f t="shared" si="346"/>
        <v>3518835.3410738707</v>
      </c>
      <c r="AV893" s="350">
        <f t="shared" si="347"/>
        <v>5432209.4409256838</v>
      </c>
      <c r="AW893" s="350">
        <f t="shared" si="348"/>
        <v>6926823.2721966282</v>
      </c>
      <c r="AX893" s="350">
        <f t="shared" si="349"/>
        <v>7997162.522125423</v>
      </c>
      <c r="AY893" s="350">
        <f t="shared" si="350"/>
        <v>25069072.217658132</v>
      </c>
      <c r="AZ893" s="365"/>
      <c r="BA893" s="377">
        <f t="shared" si="351"/>
        <v>0</v>
      </c>
      <c r="BB893" s="377">
        <f t="shared" si="352"/>
        <v>0</v>
      </c>
      <c r="BC893" s="377">
        <f t="shared" si="353"/>
        <v>0</v>
      </c>
      <c r="BD893" s="377">
        <f t="shared" si="354"/>
        <v>0</v>
      </c>
      <c r="BE893" s="377">
        <f t="shared" si="355"/>
        <v>0</v>
      </c>
      <c r="BF893" s="377">
        <f t="shared" si="356"/>
        <v>0</v>
      </c>
      <c r="BG893" s="328"/>
    </row>
    <row r="894" spans="2:59">
      <c r="B894" s="332">
        <v>879</v>
      </c>
      <c r="C894" s="350">
        <v>6930843.0675504822</v>
      </c>
      <c r="D894" s="350">
        <v>12835265.617296729</v>
      </c>
      <c r="E894" s="350">
        <v>18784064.981699299</v>
      </c>
      <c r="F894" s="350">
        <v>24777718.457804248</v>
      </c>
      <c r="G894" s="350">
        <v>30817212.308788031</v>
      </c>
      <c r="H894" s="348">
        <v>94145104.433138788</v>
      </c>
      <c r="I894" s="369"/>
      <c r="J894" s="350">
        <v>8156164.4362059999</v>
      </c>
      <c r="K894" s="350">
        <v>16454689.546837177</v>
      </c>
      <c r="L894" s="350">
        <v>24570962.925107185</v>
      </c>
      <c r="M894" s="350">
        <v>32499454.448024973</v>
      </c>
      <c r="N894" s="350">
        <v>40236869.396936357</v>
      </c>
      <c r="O894" s="348">
        <v>121918140.75311169</v>
      </c>
      <c r="P894" s="369"/>
      <c r="Q894" s="350">
        <f t="shared" si="357"/>
        <v>1225321.3686555177</v>
      </c>
      <c r="R894" s="350">
        <f t="shared" si="358"/>
        <v>3619423.9295404479</v>
      </c>
      <c r="S894" s="350">
        <f t="shared" si="359"/>
        <v>5786897.9434078857</v>
      </c>
      <c r="T894" s="350">
        <f t="shared" si="360"/>
        <v>7721735.9902207255</v>
      </c>
      <c r="U894" s="350">
        <f t="shared" si="361"/>
        <v>9419657.0881483257</v>
      </c>
      <c r="V894" s="350">
        <f t="shared" si="362"/>
        <v>27773036.319972903</v>
      </c>
      <c r="W894" s="365"/>
      <c r="X894" s="377">
        <f t="shared" si="340"/>
        <v>0</v>
      </c>
      <c r="Y894" s="377">
        <f t="shared" si="341"/>
        <v>0</v>
      </c>
      <c r="Z894" s="377">
        <f t="shared" si="342"/>
        <v>0</v>
      </c>
      <c r="AA894" s="377">
        <f t="shared" si="343"/>
        <v>0</v>
      </c>
      <c r="AB894" s="377">
        <f t="shared" si="344"/>
        <v>0</v>
      </c>
      <c r="AC894" s="377">
        <f t="shared" si="345"/>
        <v>0</v>
      </c>
      <c r="AD894" s="376"/>
      <c r="AE894" s="332">
        <v>879</v>
      </c>
      <c r="AF894" s="350">
        <v>6499631.3945994051</v>
      </c>
      <c r="AG894" s="350">
        <v>13050305.516162004</v>
      </c>
      <c r="AH894" s="350">
        <v>19650555.489702873</v>
      </c>
      <c r="AI894" s="350">
        <v>26300600.160689123</v>
      </c>
      <c r="AJ894" s="350">
        <v>33001398.559080187</v>
      </c>
      <c r="AK894" s="348">
        <v>98502491.120233595</v>
      </c>
      <c r="AL894" s="369"/>
      <c r="AM894" s="350">
        <v>7568043.2617191775</v>
      </c>
      <c r="AN894" s="350">
        <v>16202652.291208919</v>
      </c>
      <c r="AO894" s="350">
        <v>24593599.661701214</v>
      </c>
      <c r="AP894" s="350">
        <v>32735708.761021882</v>
      </c>
      <c r="AQ894" s="350">
        <v>40626130.572789878</v>
      </c>
      <c r="AR894" s="348">
        <v>121726134.54844107</v>
      </c>
      <c r="AS894" s="369"/>
      <c r="AT894" s="350">
        <f t="shared" si="363"/>
        <v>1068411.8671197724</v>
      </c>
      <c r="AU894" s="350">
        <f t="shared" si="346"/>
        <v>3152346.7750469148</v>
      </c>
      <c r="AV894" s="350">
        <f t="shared" si="347"/>
        <v>4943044.1719983406</v>
      </c>
      <c r="AW894" s="350">
        <f t="shared" si="348"/>
        <v>6435108.6003327593</v>
      </c>
      <c r="AX894" s="350">
        <f t="shared" si="349"/>
        <v>7624732.0137096904</v>
      </c>
      <c r="AY894" s="350">
        <f t="shared" si="350"/>
        <v>23223643.428207472</v>
      </c>
      <c r="AZ894" s="365"/>
      <c r="BA894" s="377">
        <f t="shared" si="351"/>
        <v>0</v>
      </c>
      <c r="BB894" s="377">
        <f t="shared" si="352"/>
        <v>0</v>
      </c>
      <c r="BC894" s="377">
        <f t="shared" si="353"/>
        <v>0</v>
      </c>
      <c r="BD894" s="377">
        <f t="shared" si="354"/>
        <v>0</v>
      </c>
      <c r="BE894" s="377">
        <f t="shared" si="355"/>
        <v>0</v>
      </c>
      <c r="BF894" s="377">
        <f t="shared" si="356"/>
        <v>0</v>
      </c>
      <c r="BG894" s="328"/>
    </row>
    <row r="895" spans="2:59">
      <c r="B895" s="332">
        <v>880</v>
      </c>
      <c r="C895" s="350">
        <v>6043757.7800665861</v>
      </c>
      <c r="D895" s="350">
        <v>11435868.769778054</v>
      </c>
      <c r="E895" s="350">
        <v>16868588.21428147</v>
      </c>
      <c r="F895" s="350">
        <v>22342277.388706934</v>
      </c>
      <c r="G895" s="350">
        <v>27857804.518881273</v>
      </c>
      <c r="H895" s="348">
        <v>84548296.671714321</v>
      </c>
      <c r="I895" s="369"/>
      <c r="J895" s="350">
        <v>6791187.9298319742</v>
      </c>
      <c r="K895" s="350">
        <v>13639226.79249379</v>
      </c>
      <c r="L895" s="350">
        <v>20304360.848594502</v>
      </c>
      <c r="M895" s="350">
        <v>26781748.464989953</v>
      </c>
      <c r="N895" s="350">
        <v>33068157.949362904</v>
      </c>
      <c r="O895" s="348">
        <v>100584681.98527312</v>
      </c>
      <c r="P895" s="369"/>
      <c r="Q895" s="350">
        <f t="shared" si="357"/>
        <v>747430.14976538811</v>
      </c>
      <c r="R895" s="350">
        <f t="shared" si="358"/>
        <v>2203358.0227157362</v>
      </c>
      <c r="S895" s="350">
        <f t="shared" si="359"/>
        <v>3435772.634313032</v>
      </c>
      <c r="T895" s="350">
        <f t="shared" si="360"/>
        <v>4439471.076283019</v>
      </c>
      <c r="U895" s="350">
        <f t="shared" si="361"/>
        <v>5210353.4304816313</v>
      </c>
      <c r="V895" s="350">
        <f t="shared" si="362"/>
        <v>16036385.313558802</v>
      </c>
      <c r="W895" s="365"/>
      <c r="X895" s="377">
        <f t="shared" si="340"/>
        <v>0</v>
      </c>
      <c r="Y895" s="377">
        <f t="shared" si="341"/>
        <v>0</v>
      </c>
      <c r="Z895" s="377">
        <f t="shared" si="342"/>
        <v>0</v>
      </c>
      <c r="AA895" s="377">
        <f t="shared" si="343"/>
        <v>0</v>
      </c>
      <c r="AB895" s="377">
        <f t="shared" si="344"/>
        <v>0</v>
      </c>
      <c r="AC895" s="377">
        <f t="shared" si="345"/>
        <v>0</v>
      </c>
      <c r="AD895" s="376"/>
      <c r="AE895" s="332">
        <v>880</v>
      </c>
      <c r="AF895" s="350">
        <v>6709436.5975888101</v>
      </c>
      <c r="AG895" s="350">
        <v>13471563.558605328</v>
      </c>
      <c r="AH895" s="350">
        <v>20284866.657994252</v>
      </c>
      <c r="AI895" s="350">
        <v>27149571.805456776</v>
      </c>
      <c r="AJ895" s="350">
        <v>34066668.988011762</v>
      </c>
      <c r="AK895" s="348">
        <v>101682107.60765693</v>
      </c>
      <c r="AL895" s="369"/>
      <c r="AM895" s="350">
        <v>8148909.9065133249</v>
      </c>
      <c r="AN895" s="350">
        <v>17723845.093039609</v>
      </c>
      <c r="AO895" s="350">
        <v>27057333.815842751</v>
      </c>
      <c r="AP895" s="350">
        <v>36143937.168521956</v>
      </c>
      <c r="AQ895" s="350">
        <v>44981055.039853625</v>
      </c>
      <c r="AR895" s="348">
        <v>134055081.02377126</v>
      </c>
      <c r="AS895" s="369"/>
      <c r="AT895" s="350">
        <f t="shared" si="363"/>
        <v>1439473.3089245148</v>
      </c>
      <c r="AU895" s="350">
        <f t="shared" si="346"/>
        <v>4252281.5344342813</v>
      </c>
      <c r="AV895" s="350">
        <f t="shared" si="347"/>
        <v>6772467.1578484997</v>
      </c>
      <c r="AW895" s="350">
        <f t="shared" si="348"/>
        <v>8994365.3630651794</v>
      </c>
      <c r="AX895" s="350">
        <f t="shared" si="349"/>
        <v>10914386.051841862</v>
      </c>
      <c r="AY895" s="350">
        <f t="shared" si="350"/>
        <v>32372973.41611433</v>
      </c>
      <c r="AZ895" s="365"/>
      <c r="BA895" s="377">
        <f t="shared" si="351"/>
        <v>0</v>
      </c>
      <c r="BB895" s="377">
        <f t="shared" si="352"/>
        <v>0</v>
      </c>
      <c r="BC895" s="377">
        <f t="shared" si="353"/>
        <v>0</v>
      </c>
      <c r="BD895" s="377">
        <f t="shared" si="354"/>
        <v>0</v>
      </c>
      <c r="BE895" s="377">
        <f t="shared" si="355"/>
        <v>0</v>
      </c>
      <c r="BF895" s="377">
        <f t="shared" si="356"/>
        <v>0</v>
      </c>
      <c r="BG895" s="328"/>
    </row>
    <row r="896" spans="2:59">
      <c r="B896" s="332">
        <v>881</v>
      </c>
      <c r="C896" s="350">
        <v>7439591.671459984</v>
      </c>
      <c r="D896" s="350">
        <v>14046948.677456565</v>
      </c>
      <c r="E896" s="350">
        <v>20704056.570618495</v>
      </c>
      <c r="F896" s="350">
        <v>27411366.854459651</v>
      </c>
      <c r="G896" s="350">
        <v>34169947.262545049</v>
      </c>
      <c r="H896" s="348">
        <v>103771911.03653973</v>
      </c>
      <c r="I896" s="369"/>
      <c r="J896" s="350">
        <v>8941184.284177145</v>
      </c>
      <c r="K896" s="350">
        <v>18483976.02651456</v>
      </c>
      <c r="L896" s="350">
        <v>27832147.485681918</v>
      </c>
      <c r="M896" s="350">
        <v>36979170.202167675</v>
      </c>
      <c r="N896" s="350">
        <v>45921224.463247761</v>
      </c>
      <c r="O896" s="348">
        <v>138157702.46178907</v>
      </c>
      <c r="P896" s="369"/>
      <c r="Q896" s="350">
        <f t="shared" si="357"/>
        <v>1501592.612717161</v>
      </c>
      <c r="R896" s="350">
        <f t="shared" si="358"/>
        <v>4437027.3490579948</v>
      </c>
      <c r="S896" s="350">
        <f t="shared" si="359"/>
        <v>7128090.9150634222</v>
      </c>
      <c r="T896" s="350">
        <f t="shared" si="360"/>
        <v>9567803.3477080241</v>
      </c>
      <c r="U896" s="350">
        <f t="shared" si="361"/>
        <v>11751277.200702712</v>
      </c>
      <c r="V896" s="350">
        <f t="shared" si="362"/>
        <v>34385791.425249338</v>
      </c>
      <c r="W896" s="365"/>
      <c r="X896" s="377">
        <f t="shared" si="340"/>
        <v>0</v>
      </c>
      <c r="Y896" s="377">
        <f t="shared" si="341"/>
        <v>0</v>
      </c>
      <c r="Z896" s="377">
        <f t="shared" si="342"/>
        <v>0</v>
      </c>
      <c r="AA896" s="377">
        <f t="shared" si="343"/>
        <v>0</v>
      </c>
      <c r="AB896" s="377">
        <f t="shared" si="344"/>
        <v>0</v>
      </c>
      <c r="AC896" s="377">
        <f t="shared" si="345"/>
        <v>0</v>
      </c>
      <c r="AD896" s="376"/>
      <c r="AE896" s="332">
        <v>881</v>
      </c>
      <c r="AF896" s="350">
        <v>4916703.3639387498</v>
      </c>
      <c r="AG896" s="350">
        <v>9872018.4478548933</v>
      </c>
      <c r="AH896" s="350">
        <v>14864835.621257868</v>
      </c>
      <c r="AI896" s="350">
        <v>19895320.431727067</v>
      </c>
      <c r="AJ896" s="350">
        <v>24964198.34591458</v>
      </c>
      <c r="AK896" s="348">
        <v>74513076.210693151</v>
      </c>
      <c r="AL896" s="369"/>
      <c r="AM896" s="350">
        <v>5800186.5075235963</v>
      </c>
      <c r="AN896" s="350">
        <v>12479878.254193429</v>
      </c>
      <c r="AO896" s="350">
        <v>18977504.462347381</v>
      </c>
      <c r="AP896" s="350">
        <v>25289127.947991129</v>
      </c>
      <c r="AQ896" s="350">
        <v>31412669.782107309</v>
      </c>
      <c r="AR896" s="348">
        <v>93959366.954162851</v>
      </c>
      <c r="AS896" s="369"/>
      <c r="AT896" s="350">
        <f t="shared" si="363"/>
        <v>883483.14358484652</v>
      </c>
      <c r="AU896" s="350">
        <f t="shared" si="346"/>
        <v>2607859.8063385356</v>
      </c>
      <c r="AV896" s="350">
        <f t="shared" si="347"/>
        <v>4112668.8410895132</v>
      </c>
      <c r="AW896" s="350">
        <f t="shared" si="348"/>
        <v>5393807.5162640624</v>
      </c>
      <c r="AX896" s="350">
        <f t="shared" si="349"/>
        <v>6448471.4361927286</v>
      </c>
      <c r="AY896" s="350">
        <f t="shared" si="350"/>
        <v>19446290.7434697</v>
      </c>
      <c r="AZ896" s="365"/>
      <c r="BA896" s="377">
        <f t="shared" si="351"/>
        <v>0</v>
      </c>
      <c r="BB896" s="377">
        <f t="shared" si="352"/>
        <v>0</v>
      </c>
      <c r="BC896" s="377">
        <f t="shared" si="353"/>
        <v>0</v>
      </c>
      <c r="BD896" s="377">
        <f t="shared" si="354"/>
        <v>0</v>
      </c>
      <c r="BE896" s="377">
        <f t="shared" si="355"/>
        <v>0</v>
      </c>
      <c r="BF896" s="377">
        <f t="shared" si="356"/>
        <v>0</v>
      </c>
      <c r="BG896" s="328"/>
    </row>
    <row r="897" spans="2:59">
      <c r="B897" s="332">
        <v>882</v>
      </c>
      <c r="C897" s="350">
        <v>7015754.5854366673</v>
      </c>
      <c r="D897" s="350">
        <v>13127504.159519073</v>
      </c>
      <c r="E897" s="350">
        <v>19285234.32313741</v>
      </c>
      <c r="F897" s="350">
        <v>25489397.755388655</v>
      </c>
      <c r="G897" s="350">
        <v>31740997.347597864</v>
      </c>
      <c r="H897" s="348">
        <v>96658888.171079665</v>
      </c>
      <c r="I897" s="369"/>
      <c r="J897" s="350">
        <v>8098074.1750908466</v>
      </c>
      <c r="K897" s="350">
        <v>16322297.701628871</v>
      </c>
      <c r="L897" s="350">
        <v>24354627.66633711</v>
      </c>
      <c r="M897" s="350">
        <v>32189241.993567344</v>
      </c>
      <c r="N897" s="350">
        <v>39822411.020030022</v>
      </c>
      <c r="O897" s="348">
        <v>120786652.5566542</v>
      </c>
      <c r="P897" s="369"/>
      <c r="Q897" s="350">
        <f t="shared" si="357"/>
        <v>1082319.5896541793</v>
      </c>
      <c r="R897" s="350">
        <f t="shared" si="358"/>
        <v>3194793.5421097986</v>
      </c>
      <c r="S897" s="350">
        <f t="shared" si="359"/>
        <v>5069393.3431997001</v>
      </c>
      <c r="T897" s="350">
        <f t="shared" si="360"/>
        <v>6699844.238178689</v>
      </c>
      <c r="U897" s="350">
        <f t="shared" si="361"/>
        <v>8081413.6724321581</v>
      </c>
      <c r="V897" s="350">
        <f t="shared" si="362"/>
        <v>24127764.385574535</v>
      </c>
      <c r="W897" s="365"/>
      <c r="X897" s="377">
        <f t="shared" si="340"/>
        <v>0</v>
      </c>
      <c r="Y897" s="377">
        <f t="shared" si="341"/>
        <v>0</v>
      </c>
      <c r="Z897" s="377">
        <f t="shared" si="342"/>
        <v>0</v>
      </c>
      <c r="AA897" s="377">
        <f t="shared" si="343"/>
        <v>0</v>
      </c>
      <c r="AB897" s="377">
        <f t="shared" si="344"/>
        <v>0</v>
      </c>
      <c r="AC897" s="377">
        <f t="shared" si="345"/>
        <v>0</v>
      </c>
      <c r="AD897" s="376"/>
      <c r="AE897" s="332">
        <v>882</v>
      </c>
      <c r="AF897" s="350">
        <v>5874776.908020108</v>
      </c>
      <c r="AG897" s="350">
        <v>11795689.452891085</v>
      </c>
      <c r="AH897" s="350">
        <v>17761411.780458257</v>
      </c>
      <c r="AI897" s="350">
        <v>23772141.697061479</v>
      </c>
      <c r="AJ897" s="350">
        <v>29828746.034482092</v>
      </c>
      <c r="AK897" s="348">
        <v>89032765.872913018</v>
      </c>
      <c r="AL897" s="369"/>
      <c r="AM897" s="350">
        <v>7055876.153967306</v>
      </c>
      <c r="AN897" s="350">
        <v>15283796.038559452</v>
      </c>
      <c r="AO897" s="350">
        <v>23297930.477188207</v>
      </c>
      <c r="AP897" s="350">
        <v>31093539.597736429</v>
      </c>
      <c r="AQ897" s="350">
        <v>38668266.430372111</v>
      </c>
      <c r="AR897" s="348">
        <v>115399408.69782349</v>
      </c>
      <c r="AS897" s="369"/>
      <c r="AT897" s="350">
        <f t="shared" si="363"/>
        <v>1181099.245947198</v>
      </c>
      <c r="AU897" s="350">
        <f t="shared" si="346"/>
        <v>3488106.5856683664</v>
      </c>
      <c r="AV897" s="350">
        <f t="shared" si="347"/>
        <v>5536518.6967299506</v>
      </c>
      <c r="AW897" s="350">
        <f t="shared" si="348"/>
        <v>7321397.9006749503</v>
      </c>
      <c r="AX897" s="350">
        <f t="shared" si="349"/>
        <v>8839520.3958900198</v>
      </c>
      <c r="AY897" s="350">
        <f t="shared" si="350"/>
        <v>26366642.824910477</v>
      </c>
      <c r="AZ897" s="365"/>
      <c r="BA897" s="377">
        <f t="shared" si="351"/>
        <v>0</v>
      </c>
      <c r="BB897" s="377">
        <f t="shared" si="352"/>
        <v>0</v>
      </c>
      <c r="BC897" s="377">
        <f t="shared" si="353"/>
        <v>0</v>
      </c>
      <c r="BD897" s="377">
        <f t="shared" si="354"/>
        <v>0</v>
      </c>
      <c r="BE897" s="377">
        <f t="shared" si="355"/>
        <v>0</v>
      </c>
      <c r="BF897" s="377">
        <f t="shared" si="356"/>
        <v>0</v>
      </c>
      <c r="BG897" s="328"/>
    </row>
    <row r="898" spans="2:59">
      <c r="B898" s="332">
        <v>883</v>
      </c>
      <c r="C898" s="350">
        <v>6298520.0887603071</v>
      </c>
      <c r="D898" s="350">
        <v>11759713.392276574</v>
      </c>
      <c r="E898" s="350">
        <v>17261984.457879934</v>
      </c>
      <c r="F898" s="350">
        <v>22805745.495539963</v>
      </c>
      <c r="G898" s="350">
        <v>28391896.002336666</v>
      </c>
      <c r="H898" s="348">
        <v>86517859.436793447</v>
      </c>
      <c r="I898" s="369"/>
      <c r="J898" s="350">
        <v>7353791.2496504337</v>
      </c>
      <c r="K898" s="350">
        <v>14875891.592920225</v>
      </c>
      <c r="L898" s="350">
        <v>22224283.789119657</v>
      </c>
      <c r="M898" s="350">
        <v>29393943.027561426</v>
      </c>
      <c r="N898" s="350">
        <v>36381831.60494934</v>
      </c>
      <c r="O898" s="348">
        <v>110229741.26420109</v>
      </c>
      <c r="P898" s="369"/>
      <c r="Q898" s="350">
        <f t="shared" si="357"/>
        <v>1055271.1608901266</v>
      </c>
      <c r="R898" s="350">
        <f t="shared" si="358"/>
        <v>3116178.2006436512</v>
      </c>
      <c r="S898" s="350">
        <f t="shared" si="359"/>
        <v>4962299.3312397227</v>
      </c>
      <c r="T898" s="350">
        <f t="shared" si="360"/>
        <v>6588197.5320214629</v>
      </c>
      <c r="U898" s="350">
        <f t="shared" si="361"/>
        <v>7989935.6026126742</v>
      </c>
      <c r="V898" s="350">
        <f t="shared" si="362"/>
        <v>23711881.827407643</v>
      </c>
      <c r="W898" s="365"/>
      <c r="X898" s="377">
        <f t="shared" si="340"/>
        <v>0</v>
      </c>
      <c r="Y898" s="377">
        <f t="shared" si="341"/>
        <v>0</v>
      </c>
      <c r="Z898" s="377">
        <f t="shared" si="342"/>
        <v>0</v>
      </c>
      <c r="AA898" s="377">
        <f t="shared" si="343"/>
        <v>0</v>
      </c>
      <c r="AB898" s="377">
        <f t="shared" si="344"/>
        <v>0</v>
      </c>
      <c r="AC898" s="377">
        <f t="shared" si="345"/>
        <v>0</v>
      </c>
      <c r="AD898" s="376"/>
      <c r="AE898" s="332">
        <v>883</v>
      </c>
      <c r="AF898" s="350">
        <v>6891273.4191737045</v>
      </c>
      <c r="AG898" s="350">
        <v>13836665.197714044</v>
      </c>
      <c r="AH898" s="350">
        <v>20834620.072563909</v>
      </c>
      <c r="AI898" s="350">
        <v>27885370.075950794</v>
      </c>
      <c r="AJ898" s="350">
        <v>34989932.02517809</v>
      </c>
      <c r="AK898" s="348">
        <v>104437860.79058054</v>
      </c>
      <c r="AL898" s="369"/>
      <c r="AM898" s="350">
        <v>8143033.6482096156</v>
      </c>
      <c r="AN898" s="350">
        <v>17531790.268004116</v>
      </c>
      <c r="AO898" s="350">
        <v>26665766.335007735</v>
      </c>
      <c r="AP898" s="350">
        <v>35539439.665759064</v>
      </c>
      <c r="AQ898" s="350">
        <v>44149910.062261388</v>
      </c>
      <c r="AR898" s="348">
        <v>132029939.97924192</v>
      </c>
      <c r="AS898" s="369"/>
      <c r="AT898" s="350">
        <f t="shared" si="363"/>
        <v>1251760.2290359112</v>
      </c>
      <c r="AU898" s="350">
        <f t="shared" si="346"/>
        <v>3695125.0702900719</v>
      </c>
      <c r="AV898" s="350">
        <f t="shared" si="347"/>
        <v>5831146.2624438256</v>
      </c>
      <c r="AW898" s="350">
        <f t="shared" si="348"/>
        <v>7654069.5898082703</v>
      </c>
      <c r="AX898" s="350">
        <f t="shared" si="349"/>
        <v>9159978.037083298</v>
      </c>
      <c r="AY898" s="350">
        <f t="shared" si="350"/>
        <v>27592079.188661382</v>
      </c>
      <c r="AZ898" s="365"/>
      <c r="BA898" s="377">
        <f t="shared" si="351"/>
        <v>0</v>
      </c>
      <c r="BB898" s="377">
        <f t="shared" si="352"/>
        <v>0</v>
      </c>
      <c r="BC898" s="377">
        <f t="shared" si="353"/>
        <v>0</v>
      </c>
      <c r="BD898" s="377">
        <f t="shared" si="354"/>
        <v>0</v>
      </c>
      <c r="BE898" s="377">
        <f t="shared" si="355"/>
        <v>0</v>
      </c>
      <c r="BF898" s="377">
        <f t="shared" si="356"/>
        <v>0</v>
      </c>
      <c r="BG898" s="328"/>
    </row>
    <row r="899" spans="2:59">
      <c r="B899" s="332">
        <v>884</v>
      </c>
      <c r="C899" s="350">
        <v>7224823.8927278295</v>
      </c>
      <c r="D899" s="350">
        <v>13410998.470387463</v>
      </c>
      <c r="E899" s="350">
        <v>19643678.032201216</v>
      </c>
      <c r="F899" s="350">
        <v>25923353.05458343</v>
      </c>
      <c r="G899" s="350">
        <v>32251052.68852073</v>
      </c>
      <c r="H899" s="348">
        <v>98453906.138420671</v>
      </c>
      <c r="I899" s="369"/>
      <c r="J899" s="350">
        <v>8209340.6318421457</v>
      </c>
      <c r="K899" s="350">
        <v>16315559.682123082</v>
      </c>
      <c r="L899" s="350">
        <v>24224090.717976131</v>
      </c>
      <c r="M899" s="350">
        <v>31929113.776475474</v>
      </c>
      <c r="N899" s="350">
        <v>39426765.003048569</v>
      </c>
      <c r="O899" s="348">
        <v>120104869.8114654</v>
      </c>
      <c r="P899" s="369"/>
      <c r="Q899" s="350">
        <f t="shared" si="357"/>
        <v>984516.73911431618</v>
      </c>
      <c r="R899" s="350">
        <f t="shared" si="358"/>
        <v>2904561.2117356192</v>
      </c>
      <c r="S899" s="350">
        <f t="shared" si="359"/>
        <v>4580412.6857749149</v>
      </c>
      <c r="T899" s="350">
        <f t="shared" si="360"/>
        <v>6005760.7218920439</v>
      </c>
      <c r="U899" s="350">
        <f t="shared" si="361"/>
        <v>7175712.3145278394</v>
      </c>
      <c r="V899" s="350">
        <f t="shared" si="362"/>
        <v>21650963.673044726</v>
      </c>
      <c r="W899" s="365"/>
      <c r="X899" s="377">
        <f t="shared" si="340"/>
        <v>0</v>
      </c>
      <c r="Y899" s="377">
        <f t="shared" si="341"/>
        <v>0</v>
      </c>
      <c r="Z899" s="377">
        <f t="shared" si="342"/>
        <v>0</v>
      </c>
      <c r="AA899" s="377">
        <f t="shared" si="343"/>
        <v>0</v>
      </c>
      <c r="AB899" s="377">
        <f t="shared" si="344"/>
        <v>0</v>
      </c>
      <c r="AC899" s="377">
        <f t="shared" si="345"/>
        <v>0</v>
      </c>
      <c r="AD899" s="376"/>
      <c r="AE899" s="332">
        <v>884</v>
      </c>
      <c r="AF899" s="350">
        <v>4717274.4122977061</v>
      </c>
      <c r="AG899" s="350">
        <v>9471594.3946007285</v>
      </c>
      <c r="AH899" s="350">
        <v>14261895.32471554</v>
      </c>
      <c r="AI899" s="350">
        <v>19088336.035360426</v>
      </c>
      <c r="AJ899" s="350">
        <v>23951612.567158863</v>
      </c>
      <c r="AK899" s="348">
        <v>71490712.734133258</v>
      </c>
      <c r="AL899" s="369"/>
      <c r="AM899" s="350">
        <v>5675637.8394171232</v>
      </c>
      <c r="AN899" s="350">
        <v>12302025.705322262</v>
      </c>
      <c r="AO899" s="350">
        <v>18757048.857476912</v>
      </c>
      <c r="AP899" s="350">
        <v>25036898.495538853</v>
      </c>
      <c r="AQ899" s="350">
        <v>31139692.144056913</v>
      </c>
      <c r="AR899" s="348">
        <v>92911303.041812062</v>
      </c>
      <c r="AS899" s="369"/>
      <c r="AT899" s="350">
        <f t="shared" si="363"/>
        <v>958363.42711941712</v>
      </c>
      <c r="AU899" s="350">
        <f t="shared" si="346"/>
        <v>2830431.3107215334</v>
      </c>
      <c r="AV899" s="350">
        <f t="shared" si="347"/>
        <v>4495153.5327613726</v>
      </c>
      <c r="AW899" s="350">
        <f t="shared" si="348"/>
        <v>5948562.4601784274</v>
      </c>
      <c r="AX899" s="350">
        <f t="shared" si="349"/>
        <v>7188079.5768980496</v>
      </c>
      <c r="AY899" s="350">
        <f t="shared" si="350"/>
        <v>21420590.307678804</v>
      </c>
      <c r="AZ899" s="365"/>
      <c r="BA899" s="377">
        <f t="shared" si="351"/>
        <v>0</v>
      </c>
      <c r="BB899" s="377">
        <f t="shared" si="352"/>
        <v>0</v>
      </c>
      <c r="BC899" s="377">
        <f t="shared" si="353"/>
        <v>0</v>
      </c>
      <c r="BD899" s="377">
        <f t="shared" si="354"/>
        <v>0</v>
      </c>
      <c r="BE899" s="377">
        <f t="shared" si="355"/>
        <v>0</v>
      </c>
      <c r="BF899" s="377">
        <f t="shared" si="356"/>
        <v>0</v>
      </c>
      <c r="BG899" s="328"/>
    </row>
    <row r="900" spans="2:59">
      <c r="B900" s="332">
        <v>885</v>
      </c>
      <c r="C900" s="350">
        <v>9841873.1267954335</v>
      </c>
      <c r="D900" s="350">
        <v>18628348.346019015</v>
      </c>
      <c r="E900" s="350">
        <v>27480997.128523782</v>
      </c>
      <c r="F900" s="350">
        <v>36400406.486178845</v>
      </c>
      <c r="G900" s="350">
        <v>45387990.46341674</v>
      </c>
      <c r="H900" s="348">
        <v>137739615.55093384</v>
      </c>
      <c r="I900" s="369"/>
      <c r="J900" s="350">
        <v>11417488.67807092</v>
      </c>
      <c r="K900" s="350">
        <v>23279485.03576662</v>
      </c>
      <c r="L900" s="350">
        <v>34857888.820028454</v>
      </c>
      <c r="M900" s="350">
        <v>46144555.677523717</v>
      </c>
      <c r="N900" s="350">
        <v>57134423.175336204</v>
      </c>
      <c r="O900" s="348">
        <v>172833841.3867259</v>
      </c>
      <c r="P900" s="369"/>
      <c r="Q900" s="350">
        <f t="shared" si="357"/>
        <v>1575615.5512754861</v>
      </c>
      <c r="R900" s="350">
        <f t="shared" si="358"/>
        <v>4651136.6897476055</v>
      </c>
      <c r="S900" s="350">
        <f t="shared" si="359"/>
        <v>7376891.6915046722</v>
      </c>
      <c r="T900" s="350">
        <f t="shared" si="360"/>
        <v>9744149.1913448721</v>
      </c>
      <c r="U900" s="350">
        <f t="shared" si="361"/>
        <v>11746432.711919464</v>
      </c>
      <c r="V900" s="350">
        <f t="shared" si="362"/>
        <v>35094225.835792065</v>
      </c>
      <c r="W900" s="365"/>
      <c r="X900" s="377">
        <f t="shared" si="340"/>
        <v>0</v>
      </c>
      <c r="Y900" s="377">
        <f t="shared" si="341"/>
        <v>0</v>
      </c>
      <c r="Z900" s="377">
        <f t="shared" si="342"/>
        <v>0</v>
      </c>
      <c r="AA900" s="377">
        <f t="shared" si="343"/>
        <v>0</v>
      </c>
      <c r="AB900" s="377">
        <f t="shared" si="344"/>
        <v>0</v>
      </c>
      <c r="AC900" s="377">
        <f t="shared" si="345"/>
        <v>0</v>
      </c>
      <c r="AD900" s="376"/>
      <c r="AE900" s="332">
        <v>885</v>
      </c>
      <c r="AF900" s="350">
        <v>5835429.1908701938</v>
      </c>
      <c r="AG900" s="350">
        <v>11716685.014178365</v>
      </c>
      <c r="AH900" s="350">
        <v>17642450.49599373</v>
      </c>
      <c r="AI900" s="350">
        <v>23612922.117801085</v>
      </c>
      <c r="AJ900" s="350">
        <v>29628960.90556952</v>
      </c>
      <c r="AK900" s="348">
        <v>88436447.724412903</v>
      </c>
      <c r="AL900" s="369"/>
      <c r="AM900" s="350">
        <v>6973682.0515965242</v>
      </c>
      <c r="AN900" s="350">
        <v>15077820.172624024</v>
      </c>
      <c r="AO900" s="350">
        <v>22968558.391627911</v>
      </c>
      <c r="AP900" s="350">
        <v>30641198.464022666</v>
      </c>
      <c r="AQ900" s="350">
        <v>38093363.824677221</v>
      </c>
      <c r="AR900" s="348">
        <v>113754622.90454835</v>
      </c>
      <c r="AS900" s="369"/>
      <c r="AT900" s="350">
        <f t="shared" si="363"/>
        <v>1138252.8607263304</v>
      </c>
      <c r="AU900" s="350">
        <f t="shared" si="346"/>
        <v>3361135.1584456582</v>
      </c>
      <c r="AV900" s="350">
        <f t="shared" si="347"/>
        <v>5326107.8956341818</v>
      </c>
      <c r="AW900" s="350">
        <f t="shared" si="348"/>
        <v>7028276.3462215811</v>
      </c>
      <c r="AX900" s="350">
        <f t="shared" si="349"/>
        <v>8464402.9191077016</v>
      </c>
      <c r="AY900" s="350">
        <f t="shared" si="350"/>
        <v>25318175.180135444</v>
      </c>
      <c r="AZ900" s="365"/>
      <c r="BA900" s="377">
        <f t="shared" si="351"/>
        <v>0</v>
      </c>
      <c r="BB900" s="377">
        <f t="shared" si="352"/>
        <v>0</v>
      </c>
      <c r="BC900" s="377">
        <f t="shared" si="353"/>
        <v>0</v>
      </c>
      <c r="BD900" s="377">
        <f t="shared" si="354"/>
        <v>0</v>
      </c>
      <c r="BE900" s="377">
        <f t="shared" si="355"/>
        <v>0</v>
      </c>
      <c r="BF900" s="377">
        <f t="shared" si="356"/>
        <v>0</v>
      </c>
      <c r="BG900" s="328"/>
    </row>
    <row r="901" spans="2:59">
      <c r="B901" s="332">
        <v>886</v>
      </c>
      <c r="C901" s="350">
        <v>8716294.1616680585</v>
      </c>
      <c r="D901" s="350">
        <v>16513083.667086903</v>
      </c>
      <c r="E901" s="350">
        <v>24368598.007426098</v>
      </c>
      <c r="F901" s="350">
        <v>32283353.631705534</v>
      </c>
      <c r="G901" s="350">
        <v>40258603.376774058</v>
      </c>
      <c r="H901" s="348">
        <v>122139932.84466065</v>
      </c>
      <c r="I901" s="369"/>
      <c r="J901" s="350">
        <v>10215117.752967374</v>
      </c>
      <c r="K901" s="350">
        <v>20938921.254600883</v>
      </c>
      <c r="L901" s="350">
        <v>31420277.551170658</v>
      </c>
      <c r="M901" s="350">
        <v>41651681.873321868</v>
      </c>
      <c r="N901" s="350">
        <v>51628487.631151147</v>
      </c>
      <c r="O901" s="348">
        <v>155854486.06321192</v>
      </c>
      <c r="P901" s="369"/>
      <c r="Q901" s="350">
        <f t="shared" si="357"/>
        <v>1498823.5912993159</v>
      </c>
      <c r="R901" s="350">
        <f t="shared" si="358"/>
        <v>4425837.5875139795</v>
      </c>
      <c r="S901" s="350">
        <f t="shared" si="359"/>
        <v>7051679.5437445603</v>
      </c>
      <c r="T901" s="350">
        <f t="shared" si="360"/>
        <v>9368328.2416163348</v>
      </c>
      <c r="U901" s="350">
        <f t="shared" si="361"/>
        <v>11369884.254377089</v>
      </c>
      <c r="V901" s="350">
        <f t="shared" si="362"/>
        <v>33714553.218551263</v>
      </c>
      <c r="W901" s="365"/>
      <c r="X901" s="377">
        <f t="shared" si="340"/>
        <v>0</v>
      </c>
      <c r="Y901" s="377">
        <f t="shared" si="341"/>
        <v>0</v>
      </c>
      <c r="Z901" s="377">
        <f t="shared" si="342"/>
        <v>0</v>
      </c>
      <c r="AA901" s="377">
        <f t="shared" si="343"/>
        <v>0</v>
      </c>
      <c r="AB901" s="377">
        <f t="shared" si="344"/>
        <v>0</v>
      </c>
      <c r="AC901" s="377">
        <f t="shared" si="345"/>
        <v>0</v>
      </c>
      <c r="AD901" s="376"/>
      <c r="AE901" s="332">
        <v>886</v>
      </c>
      <c r="AF901" s="350">
        <v>5797242.7812020211</v>
      </c>
      <c r="AG901" s="350">
        <v>11640012.310377184</v>
      </c>
      <c r="AH901" s="350">
        <v>17527000.231727906</v>
      </c>
      <c r="AI901" s="350">
        <v>23458401.740985662</v>
      </c>
      <c r="AJ901" s="350">
        <v>29435072.22965987</v>
      </c>
      <c r="AK901" s="348">
        <v>87857729.293952644</v>
      </c>
      <c r="AL901" s="369"/>
      <c r="AM901" s="350">
        <v>6874768.8126330553</v>
      </c>
      <c r="AN901" s="350">
        <v>14821144.991886096</v>
      </c>
      <c r="AO901" s="350">
        <v>22553922.034999453</v>
      </c>
      <c r="AP901" s="350">
        <v>30068447.511244677</v>
      </c>
      <c r="AQ901" s="350">
        <v>37362306.449118719</v>
      </c>
      <c r="AR901" s="348">
        <v>111680589.79988201</v>
      </c>
      <c r="AS901" s="369"/>
      <c r="AT901" s="350">
        <f t="shared" si="363"/>
        <v>1077526.0314310342</v>
      </c>
      <c r="AU901" s="350">
        <f t="shared" si="346"/>
        <v>3181132.6815089118</v>
      </c>
      <c r="AV901" s="350">
        <f t="shared" si="347"/>
        <v>5026921.803271547</v>
      </c>
      <c r="AW901" s="350">
        <f t="shared" si="348"/>
        <v>6610045.7702590153</v>
      </c>
      <c r="AX901" s="350">
        <f t="shared" si="349"/>
        <v>7927234.2194588482</v>
      </c>
      <c r="AY901" s="350">
        <f t="shared" si="350"/>
        <v>23822860.505929366</v>
      </c>
      <c r="AZ901" s="365"/>
      <c r="BA901" s="377">
        <f t="shared" si="351"/>
        <v>0</v>
      </c>
      <c r="BB901" s="377">
        <f t="shared" si="352"/>
        <v>0</v>
      </c>
      <c r="BC901" s="377">
        <f t="shared" si="353"/>
        <v>0</v>
      </c>
      <c r="BD901" s="377">
        <f t="shared" si="354"/>
        <v>0</v>
      </c>
      <c r="BE901" s="377">
        <f t="shared" si="355"/>
        <v>0</v>
      </c>
      <c r="BF901" s="377">
        <f t="shared" si="356"/>
        <v>0</v>
      </c>
      <c r="BG901" s="328"/>
    </row>
    <row r="902" spans="2:59">
      <c r="B902" s="332">
        <v>887</v>
      </c>
      <c r="C902" s="350">
        <v>8290241.2962213196</v>
      </c>
      <c r="D902" s="350">
        <v>15745839.757218648</v>
      </c>
      <c r="E902" s="350">
        <v>23257606.050767425</v>
      </c>
      <c r="F902" s="350">
        <v>30826022.373269916</v>
      </c>
      <c r="G902" s="350">
        <v>38452281.666853853</v>
      </c>
      <c r="H902" s="348">
        <v>116571991.14433116</v>
      </c>
      <c r="I902" s="369"/>
      <c r="J902" s="350">
        <v>9404501.6389053315</v>
      </c>
      <c r="K902" s="350">
        <v>19032026.439434592</v>
      </c>
      <c r="L902" s="350">
        <v>28411514.016990364</v>
      </c>
      <c r="M902" s="350">
        <v>37536139.955510616</v>
      </c>
      <c r="N902" s="350">
        <v>46401416.716807872</v>
      </c>
      <c r="O902" s="348">
        <v>140785598.76764876</v>
      </c>
      <c r="P902" s="369"/>
      <c r="Q902" s="350">
        <f t="shared" si="357"/>
        <v>1114260.3426840119</v>
      </c>
      <c r="R902" s="350">
        <f t="shared" si="358"/>
        <v>3286186.6822159439</v>
      </c>
      <c r="S902" s="350">
        <f t="shared" si="359"/>
        <v>5153907.9662229382</v>
      </c>
      <c r="T902" s="350">
        <f t="shared" si="360"/>
        <v>6710117.5822407007</v>
      </c>
      <c r="U902" s="350">
        <f t="shared" si="361"/>
        <v>7949135.0499540195</v>
      </c>
      <c r="V902" s="350">
        <f t="shared" si="362"/>
        <v>24213607.623317599</v>
      </c>
      <c r="W902" s="365"/>
      <c r="X902" s="377">
        <f t="shared" si="340"/>
        <v>0</v>
      </c>
      <c r="Y902" s="377">
        <f t="shared" si="341"/>
        <v>0</v>
      </c>
      <c r="Z902" s="377">
        <f t="shared" si="342"/>
        <v>0</v>
      </c>
      <c r="AA902" s="377">
        <f t="shared" si="343"/>
        <v>0</v>
      </c>
      <c r="AB902" s="377">
        <f t="shared" si="344"/>
        <v>0</v>
      </c>
      <c r="AC902" s="377">
        <f t="shared" si="345"/>
        <v>0</v>
      </c>
      <c r="AD902" s="376"/>
      <c r="AE902" s="332">
        <v>887</v>
      </c>
      <c r="AF902" s="350">
        <v>6374567.4323416064</v>
      </c>
      <c r="AG902" s="350">
        <v>12799195.442768894</v>
      </c>
      <c r="AH902" s="350">
        <v>19272445.38146643</v>
      </c>
      <c r="AI902" s="350">
        <v>25794531.882942334</v>
      </c>
      <c r="AJ902" s="350">
        <v>32366395.523788556</v>
      </c>
      <c r="AK902" s="348">
        <v>96607135.663307816</v>
      </c>
      <c r="AL902" s="369"/>
      <c r="AM902" s="350">
        <v>7610924.9075999875</v>
      </c>
      <c r="AN902" s="350">
        <v>16449932.233415486</v>
      </c>
      <c r="AO902" s="350">
        <v>25055612.109315291</v>
      </c>
      <c r="AP902" s="350">
        <v>33422834.214117512</v>
      </c>
      <c r="AQ902" s="350">
        <v>41548995.261387482</v>
      </c>
      <c r="AR902" s="348">
        <v>124088298.72583576</v>
      </c>
      <c r="AS902" s="369"/>
      <c r="AT902" s="350">
        <f t="shared" si="363"/>
        <v>1236357.4752583811</v>
      </c>
      <c r="AU902" s="350">
        <f t="shared" si="346"/>
        <v>3650736.7906465922</v>
      </c>
      <c r="AV902" s="350">
        <f t="shared" si="347"/>
        <v>5783166.7278488614</v>
      </c>
      <c r="AW902" s="350">
        <f t="shared" si="348"/>
        <v>7628302.3311751783</v>
      </c>
      <c r="AX902" s="350">
        <f t="shared" si="349"/>
        <v>9182599.7375989258</v>
      </c>
      <c r="AY902" s="350">
        <f t="shared" si="350"/>
        <v>27481163.06252794</v>
      </c>
      <c r="AZ902" s="365"/>
      <c r="BA902" s="377">
        <f t="shared" si="351"/>
        <v>0</v>
      </c>
      <c r="BB902" s="377">
        <f t="shared" si="352"/>
        <v>0</v>
      </c>
      <c r="BC902" s="377">
        <f t="shared" si="353"/>
        <v>0</v>
      </c>
      <c r="BD902" s="377">
        <f t="shared" si="354"/>
        <v>0</v>
      </c>
      <c r="BE902" s="377">
        <f t="shared" si="355"/>
        <v>0</v>
      </c>
      <c r="BF902" s="377">
        <f t="shared" si="356"/>
        <v>0</v>
      </c>
      <c r="BG902" s="328"/>
    </row>
    <row r="903" spans="2:59">
      <c r="B903" s="332">
        <v>888</v>
      </c>
      <c r="C903" s="350">
        <v>8543277.7250576373</v>
      </c>
      <c r="D903" s="350">
        <v>16144022.245990079</v>
      </c>
      <c r="E903" s="350">
        <v>23802001.744439282</v>
      </c>
      <c r="F903" s="350">
        <v>31517731.734457329</v>
      </c>
      <c r="G903" s="350">
        <v>39292438.794436604</v>
      </c>
      <c r="H903" s="348">
        <v>119299472.24438092</v>
      </c>
      <c r="I903" s="369"/>
      <c r="J903" s="350">
        <v>9932567.1288179718</v>
      </c>
      <c r="K903" s="350">
        <v>20245538.064100254</v>
      </c>
      <c r="L903" s="350">
        <v>30320352.581687555</v>
      </c>
      <c r="M903" s="350">
        <v>40149749.618070327</v>
      </c>
      <c r="N903" s="350">
        <v>49729154.595741242</v>
      </c>
      <c r="O903" s="348">
        <v>150377361.98841736</v>
      </c>
      <c r="P903" s="369"/>
      <c r="Q903" s="350">
        <f t="shared" si="357"/>
        <v>1389289.4037603345</v>
      </c>
      <c r="R903" s="350">
        <f t="shared" si="358"/>
        <v>4101515.8181101754</v>
      </c>
      <c r="S903" s="350">
        <f t="shared" si="359"/>
        <v>6518350.8372482732</v>
      </c>
      <c r="T903" s="350">
        <f t="shared" si="360"/>
        <v>8632017.8836129978</v>
      </c>
      <c r="U903" s="350">
        <f t="shared" si="361"/>
        <v>10436715.801304638</v>
      </c>
      <c r="V903" s="350">
        <f t="shared" si="362"/>
        <v>31077889.744036436</v>
      </c>
      <c r="W903" s="365"/>
      <c r="X903" s="377">
        <f t="shared" si="340"/>
        <v>0</v>
      </c>
      <c r="Y903" s="377">
        <f t="shared" si="341"/>
        <v>0</v>
      </c>
      <c r="Z903" s="377">
        <f t="shared" si="342"/>
        <v>0</v>
      </c>
      <c r="AA903" s="377">
        <f t="shared" si="343"/>
        <v>0</v>
      </c>
      <c r="AB903" s="377">
        <f t="shared" si="344"/>
        <v>0</v>
      </c>
      <c r="AC903" s="377">
        <f t="shared" si="345"/>
        <v>0</v>
      </c>
      <c r="AD903" s="376"/>
      <c r="AE903" s="332">
        <v>888</v>
      </c>
      <c r="AF903" s="350">
        <v>10089624.072288975</v>
      </c>
      <c r="AG903" s="350">
        <v>20258483.70355304</v>
      </c>
      <c r="AH903" s="350">
        <v>30504301.808176041</v>
      </c>
      <c r="AI903" s="350">
        <v>40827418.108268201</v>
      </c>
      <c r="AJ903" s="350">
        <v>51229321.342371345</v>
      </c>
      <c r="AK903" s="348">
        <v>152909149.0346576</v>
      </c>
      <c r="AL903" s="369"/>
      <c r="AM903" s="350">
        <v>11816017.767700106</v>
      </c>
      <c r="AN903" s="350">
        <v>25353236.380052187</v>
      </c>
      <c r="AO903" s="350">
        <v>38514242.120022655</v>
      </c>
      <c r="AP903" s="350">
        <v>51290979.943790972</v>
      </c>
      <c r="AQ903" s="350">
        <v>63679095.938998275</v>
      </c>
      <c r="AR903" s="348">
        <v>190653572.15056419</v>
      </c>
      <c r="AS903" s="369"/>
      <c r="AT903" s="350">
        <f t="shared" si="363"/>
        <v>1726393.6954111308</v>
      </c>
      <c r="AU903" s="350">
        <f t="shared" si="346"/>
        <v>5094752.676499147</v>
      </c>
      <c r="AV903" s="350">
        <f t="shared" si="347"/>
        <v>8009940.3118466139</v>
      </c>
      <c r="AW903" s="350">
        <f t="shared" si="348"/>
        <v>10463561.835522771</v>
      </c>
      <c r="AX903" s="350">
        <f t="shared" si="349"/>
        <v>12449774.59662693</v>
      </c>
      <c r="AY903" s="350">
        <f t="shared" si="350"/>
        <v>37744423.115906596</v>
      </c>
      <c r="AZ903" s="365"/>
      <c r="BA903" s="377">
        <f t="shared" si="351"/>
        <v>0</v>
      </c>
      <c r="BB903" s="377">
        <f t="shared" si="352"/>
        <v>0</v>
      </c>
      <c r="BC903" s="377">
        <f t="shared" si="353"/>
        <v>0</v>
      </c>
      <c r="BD903" s="377">
        <f t="shared" si="354"/>
        <v>0</v>
      </c>
      <c r="BE903" s="377">
        <f t="shared" si="355"/>
        <v>0</v>
      </c>
      <c r="BF903" s="377">
        <f t="shared" si="356"/>
        <v>0</v>
      </c>
      <c r="BG903" s="328"/>
    </row>
    <row r="904" spans="2:59">
      <c r="B904" s="332">
        <v>889</v>
      </c>
      <c r="C904" s="350">
        <v>6075734.0941250641</v>
      </c>
      <c r="D904" s="350">
        <v>11386278.092129789</v>
      </c>
      <c r="E904" s="350">
        <v>16736780.796609016</v>
      </c>
      <c r="F904" s="350">
        <v>22127630.241142802</v>
      </c>
      <c r="G904" s="350">
        <v>27559695.538200546</v>
      </c>
      <c r="H904" s="348">
        <v>83886118.76220721</v>
      </c>
      <c r="I904" s="369"/>
      <c r="J904" s="350">
        <v>7101450.6145721208</v>
      </c>
      <c r="K904" s="350">
        <v>14415168.228833579</v>
      </c>
      <c r="L904" s="350">
        <v>21559146.057664633</v>
      </c>
      <c r="M904" s="350">
        <v>28528510.126321331</v>
      </c>
      <c r="N904" s="350">
        <v>35320326.55350215</v>
      </c>
      <c r="O904" s="348">
        <v>106924601.58089381</v>
      </c>
      <c r="P904" s="369"/>
      <c r="Q904" s="350">
        <f t="shared" si="357"/>
        <v>1025716.5204470567</v>
      </c>
      <c r="R904" s="350">
        <f t="shared" si="358"/>
        <v>3028890.1367037892</v>
      </c>
      <c r="S904" s="350">
        <f t="shared" si="359"/>
        <v>4822365.2610556167</v>
      </c>
      <c r="T904" s="350">
        <f t="shared" si="360"/>
        <v>6400879.8851785287</v>
      </c>
      <c r="U904" s="350">
        <f t="shared" si="361"/>
        <v>7760631.0153016038</v>
      </c>
      <c r="V904" s="350">
        <f t="shared" si="362"/>
        <v>23038482.818686604</v>
      </c>
      <c r="W904" s="365"/>
      <c r="X904" s="377">
        <f t="shared" si="340"/>
        <v>0</v>
      </c>
      <c r="Y904" s="377">
        <f t="shared" si="341"/>
        <v>0</v>
      </c>
      <c r="Z904" s="377">
        <f t="shared" si="342"/>
        <v>0</v>
      </c>
      <c r="AA904" s="377">
        <f t="shared" si="343"/>
        <v>0</v>
      </c>
      <c r="AB904" s="377">
        <f t="shared" si="344"/>
        <v>0</v>
      </c>
      <c r="AC904" s="377">
        <f t="shared" si="345"/>
        <v>0</v>
      </c>
      <c r="AD904" s="376"/>
      <c r="AE904" s="332">
        <v>889</v>
      </c>
      <c r="AF904" s="350">
        <v>7480758.5924100317</v>
      </c>
      <c r="AG904" s="350">
        <v>15020264.872977769</v>
      </c>
      <c r="AH904" s="350">
        <v>22616830.540170208</v>
      </c>
      <c r="AI904" s="350">
        <v>30270707.474441648</v>
      </c>
      <c r="AJ904" s="350">
        <v>37982999.472480536</v>
      </c>
      <c r="AK904" s="348">
        <v>113371560.9524802</v>
      </c>
      <c r="AL904" s="369"/>
      <c r="AM904" s="350">
        <v>8690861.4660043176</v>
      </c>
      <c r="AN904" s="350">
        <v>18590372.746980026</v>
      </c>
      <c r="AO904" s="350">
        <v>28208854.709240369</v>
      </c>
      <c r="AP904" s="350">
        <v>37540354.864705555</v>
      </c>
      <c r="AQ904" s="350">
        <v>46581574.297442555</v>
      </c>
      <c r="AR904" s="348">
        <v>139612018.08437282</v>
      </c>
      <c r="AS904" s="369"/>
      <c r="AT904" s="350">
        <f t="shared" si="363"/>
        <v>1210102.8735942859</v>
      </c>
      <c r="AU904" s="350">
        <f t="shared" si="346"/>
        <v>3570107.8740022574</v>
      </c>
      <c r="AV904" s="350">
        <f t="shared" si="347"/>
        <v>5592024.1690701619</v>
      </c>
      <c r="AW904" s="350">
        <f t="shared" si="348"/>
        <v>7269647.3902639076</v>
      </c>
      <c r="AX904" s="350">
        <f t="shared" si="349"/>
        <v>8598574.8249620199</v>
      </c>
      <c r="AY904" s="350">
        <f t="shared" si="350"/>
        <v>26240457.131892622</v>
      </c>
      <c r="AZ904" s="365"/>
      <c r="BA904" s="377">
        <f t="shared" si="351"/>
        <v>0</v>
      </c>
      <c r="BB904" s="377">
        <f t="shared" si="352"/>
        <v>0</v>
      </c>
      <c r="BC904" s="377">
        <f t="shared" si="353"/>
        <v>0</v>
      </c>
      <c r="BD904" s="377">
        <f t="shared" si="354"/>
        <v>0</v>
      </c>
      <c r="BE904" s="377">
        <f t="shared" si="355"/>
        <v>0</v>
      </c>
      <c r="BF904" s="377">
        <f t="shared" si="356"/>
        <v>0</v>
      </c>
      <c r="BG904" s="328"/>
    </row>
    <row r="905" spans="2:59">
      <c r="B905" s="332">
        <v>890</v>
      </c>
      <c r="C905" s="350">
        <v>6848310.7848119661</v>
      </c>
      <c r="D905" s="350">
        <v>13013431.09751467</v>
      </c>
      <c r="E905" s="350">
        <v>19224999.245721575</v>
      </c>
      <c r="F905" s="350">
        <v>25483412.139131665</v>
      </c>
      <c r="G905" s="350">
        <v>31789655.441695169</v>
      </c>
      <c r="H905" s="348">
        <v>96359808.708875045</v>
      </c>
      <c r="I905" s="369"/>
      <c r="J905" s="350">
        <v>7863222.5527764475</v>
      </c>
      <c r="K905" s="350">
        <v>16008179.906639047</v>
      </c>
      <c r="L905" s="350">
        <v>23953796.642155748</v>
      </c>
      <c r="M905" s="350">
        <v>31694300.416687172</v>
      </c>
      <c r="N905" s="350">
        <v>39225969.170459181</v>
      </c>
      <c r="O905" s="348">
        <v>118745468.6887176</v>
      </c>
      <c r="P905" s="369"/>
      <c r="Q905" s="350">
        <f t="shared" si="357"/>
        <v>1014911.7679644814</v>
      </c>
      <c r="R905" s="350">
        <f t="shared" si="358"/>
        <v>2994748.8091243766</v>
      </c>
      <c r="S905" s="350">
        <f t="shared" si="359"/>
        <v>4728797.396434173</v>
      </c>
      <c r="T905" s="350">
        <f t="shared" si="360"/>
        <v>6210888.2775555067</v>
      </c>
      <c r="U905" s="350">
        <f t="shared" si="361"/>
        <v>7436313.7287640125</v>
      </c>
      <c r="V905" s="350">
        <f t="shared" si="362"/>
        <v>22385659.979842559</v>
      </c>
      <c r="W905" s="365"/>
      <c r="X905" s="377">
        <f t="shared" si="340"/>
        <v>0</v>
      </c>
      <c r="Y905" s="377">
        <f t="shared" si="341"/>
        <v>0</v>
      </c>
      <c r="Z905" s="377">
        <f t="shared" si="342"/>
        <v>0</v>
      </c>
      <c r="AA905" s="377">
        <f t="shared" si="343"/>
        <v>0</v>
      </c>
      <c r="AB905" s="377">
        <f t="shared" si="344"/>
        <v>0</v>
      </c>
      <c r="AC905" s="377">
        <f t="shared" si="345"/>
        <v>0</v>
      </c>
      <c r="AD905" s="376"/>
      <c r="AE905" s="332">
        <v>890</v>
      </c>
      <c r="AF905" s="350">
        <v>7486356.8573490595</v>
      </c>
      <c r="AG905" s="350">
        <v>15031505.366996463</v>
      </c>
      <c r="AH905" s="350">
        <v>22633755.963959903</v>
      </c>
      <c r="AI905" s="350">
        <v>30293360.717189737</v>
      </c>
      <c r="AJ905" s="350">
        <v>38011424.249406449</v>
      </c>
      <c r="AK905" s="348">
        <v>113456403.15490162</v>
      </c>
      <c r="AL905" s="369"/>
      <c r="AM905" s="350">
        <v>8856892.0921945572</v>
      </c>
      <c r="AN905" s="350">
        <v>19077394.517063901</v>
      </c>
      <c r="AO905" s="350">
        <v>29021435.19066016</v>
      </c>
      <c r="AP905" s="350">
        <v>38683012.050238617</v>
      </c>
      <c r="AQ905" s="350">
        <v>48058985.274329305</v>
      </c>
      <c r="AR905" s="348">
        <v>143697719.12448654</v>
      </c>
      <c r="AS905" s="369"/>
      <c r="AT905" s="350">
        <f t="shared" si="363"/>
        <v>1370535.2348454976</v>
      </c>
      <c r="AU905" s="350">
        <f t="shared" si="346"/>
        <v>4045889.1500674374</v>
      </c>
      <c r="AV905" s="350">
        <f t="shared" si="347"/>
        <v>6387679.2267002575</v>
      </c>
      <c r="AW905" s="350">
        <f t="shared" si="348"/>
        <v>8389651.3330488801</v>
      </c>
      <c r="AX905" s="350">
        <f t="shared" si="349"/>
        <v>10047561.024922855</v>
      </c>
      <c r="AY905" s="350">
        <f t="shared" si="350"/>
        <v>30241315.969584912</v>
      </c>
      <c r="AZ905" s="365"/>
      <c r="BA905" s="377">
        <f t="shared" si="351"/>
        <v>0</v>
      </c>
      <c r="BB905" s="377">
        <f t="shared" si="352"/>
        <v>0</v>
      </c>
      <c r="BC905" s="377">
        <f t="shared" si="353"/>
        <v>0</v>
      </c>
      <c r="BD905" s="377">
        <f t="shared" si="354"/>
        <v>0</v>
      </c>
      <c r="BE905" s="377">
        <f t="shared" si="355"/>
        <v>0</v>
      </c>
      <c r="BF905" s="377">
        <f t="shared" si="356"/>
        <v>0</v>
      </c>
      <c r="BG905" s="328"/>
    </row>
    <row r="906" spans="2:59">
      <c r="B906" s="332">
        <v>891</v>
      </c>
      <c r="C906" s="350">
        <v>9349653.592077408</v>
      </c>
      <c r="D906" s="350">
        <v>17962409.871944312</v>
      </c>
      <c r="E906" s="350">
        <v>26640116.913599193</v>
      </c>
      <c r="F906" s="350">
        <v>35383272.402191237</v>
      </c>
      <c r="G906" s="350">
        <v>44193228.608661443</v>
      </c>
      <c r="H906" s="348">
        <v>133528681.3884736</v>
      </c>
      <c r="I906" s="369"/>
      <c r="J906" s="350">
        <v>10323085.176544853</v>
      </c>
      <c r="K906" s="350">
        <v>20828064.165250536</v>
      </c>
      <c r="L906" s="350">
        <v>31030223.044423744</v>
      </c>
      <c r="M906" s="350">
        <v>40921963.420864731</v>
      </c>
      <c r="N906" s="350">
        <v>50498023.9028823</v>
      </c>
      <c r="O906" s="348">
        <v>153601359.70996615</v>
      </c>
      <c r="P906" s="369"/>
      <c r="Q906" s="350">
        <f t="shared" si="357"/>
        <v>973431.58446744457</v>
      </c>
      <c r="R906" s="350">
        <f t="shared" si="358"/>
        <v>2865654.293306224</v>
      </c>
      <c r="S906" s="350">
        <f t="shared" si="359"/>
        <v>4390106.130824551</v>
      </c>
      <c r="T906" s="350">
        <f t="shared" si="360"/>
        <v>5538691.0186734945</v>
      </c>
      <c r="U906" s="350">
        <f t="shared" si="361"/>
        <v>6304795.2942208573</v>
      </c>
      <c r="V906" s="350">
        <f t="shared" si="362"/>
        <v>20072678.321492553</v>
      </c>
      <c r="W906" s="365"/>
      <c r="X906" s="377">
        <f t="shared" si="340"/>
        <v>0</v>
      </c>
      <c r="Y906" s="377">
        <f t="shared" si="341"/>
        <v>0</v>
      </c>
      <c r="Z906" s="377">
        <f t="shared" si="342"/>
        <v>0</v>
      </c>
      <c r="AA906" s="377">
        <f t="shared" si="343"/>
        <v>0</v>
      </c>
      <c r="AB906" s="377">
        <f t="shared" si="344"/>
        <v>0</v>
      </c>
      <c r="AC906" s="377">
        <f t="shared" si="345"/>
        <v>0</v>
      </c>
      <c r="AD906" s="376"/>
      <c r="AE906" s="332">
        <v>891</v>
      </c>
      <c r="AF906" s="350">
        <v>6611640.9798966832</v>
      </c>
      <c r="AG906" s="350">
        <v>13275204.317359053</v>
      </c>
      <c r="AH906" s="350">
        <v>19989197.858421147</v>
      </c>
      <c r="AI906" s="350">
        <v>26753844.219962411</v>
      </c>
      <c r="AJ906" s="350">
        <v>33570118.959117673</v>
      </c>
      <c r="AK906" s="348">
        <v>100200006.33475697</v>
      </c>
      <c r="AL906" s="369"/>
      <c r="AM906" s="350">
        <v>7751860.5836426616</v>
      </c>
      <c r="AN906" s="350">
        <v>16640231.728584761</v>
      </c>
      <c r="AO906" s="350">
        <v>25282341.353092551</v>
      </c>
      <c r="AP906" s="350">
        <v>33672908.53304477</v>
      </c>
      <c r="AQ906" s="350">
        <v>41809089.231514171</v>
      </c>
      <c r="AR906" s="348">
        <v>125156431.42987891</v>
      </c>
      <c r="AS906" s="369"/>
      <c r="AT906" s="350">
        <f t="shared" si="363"/>
        <v>1140219.6037459783</v>
      </c>
      <c r="AU906" s="350">
        <f t="shared" si="346"/>
        <v>3365027.4112257082</v>
      </c>
      <c r="AV906" s="350">
        <f t="shared" si="347"/>
        <v>5293143.4946714044</v>
      </c>
      <c r="AW906" s="350">
        <f t="shared" si="348"/>
        <v>6919064.3130823597</v>
      </c>
      <c r="AX906" s="350">
        <f t="shared" si="349"/>
        <v>8238970.2723964974</v>
      </c>
      <c r="AY906" s="350">
        <f t="shared" si="350"/>
        <v>24956425.095121935</v>
      </c>
      <c r="AZ906" s="365"/>
      <c r="BA906" s="377">
        <f t="shared" si="351"/>
        <v>0</v>
      </c>
      <c r="BB906" s="377">
        <f t="shared" si="352"/>
        <v>0</v>
      </c>
      <c r="BC906" s="377">
        <f t="shared" si="353"/>
        <v>0</v>
      </c>
      <c r="BD906" s="377">
        <f t="shared" si="354"/>
        <v>0</v>
      </c>
      <c r="BE906" s="377">
        <f t="shared" si="355"/>
        <v>0</v>
      </c>
      <c r="BF906" s="377">
        <f t="shared" si="356"/>
        <v>0</v>
      </c>
      <c r="BG906" s="328"/>
    </row>
    <row r="907" spans="2:59">
      <c r="B907" s="332">
        <v>892</v>
      </c>
      <c r="C907" s="350">
        <v>6605092.2167074233</v>
      </c>
      <c r="D907" s="350">
        <v>12497027.106562871</v>
      </c>
      <c r="E907" s="350">
        <v>18433334.350502189</v>
      </c>
      <c r="F907" s="350">
        <v>24414409.000974797</v>
      </c>
      <c r="G907" s="350">
        <v>30441199.889995962</v>
      </c>
      <c r="H907" s="348">
        <v>92391062.564743251</v>
      </c>
      <c r="I907" s="369"/>
      <c r="J907" s="350">
        <v>7610017.5489155278</v>
      </c>
      <c r="K907" s="350">
        <v>15462820.560824424</v>
      </c>
      <c r="L907" s="350">
        <v>23120656.395527687</v>
      </c>
      <c r="M907" s="350">
        <v>30578223.246616706</v>
      </c>
      <c r="N907" s="350">
        <v>37832223.522028483</v>
      </c>
      <c r="O907" s="348">
        <v>114603941.27391282</v>
      </c>
      <c r="P907" s="369"/>
      <c r="Q907" s="350">
        <f t="shared" si="357"/>
        <v>1004925.3322081044</v>
      </c>
      <c r="R907" s="350">
        <f t="shared" si="358"/>
        <v>2965793.4542615525</v>
      </c>
      <c r="S907" s="350">
        <f t="shared" si="359"/>
        <v>4687322.0450254977</v>
      </c>
      <c r="T907" s="350">
        <f t="shared" si="360"/>
        <v>6163814.2456419095</v>
      </c>
      <c r="U907" s="350">
        <f t="shared" si="361"/>
        <v>7391023.6320325211</v>
      </c>
      <c r="V907" s="350">
        <f t="shared" si="362"/>
        <v>22212878.709169567</v>
      </c>
      <c r="W907" s="365"/>
      <c r="X907" s="377">
        <f t="shared" si="340"/>
        <v>0</v>
      </c>
      <c r="Y907" s="377">
        <f t="shared" si="341"/>
        <v>0</v>
      </c>
      <c r="Z907" s="377">
        <f t="shared" si="342"/>
        <v>0</v>
      </c>
      <c r="AA907" s="377">
        <f t="shared" si="343"/>
        <v>0</v>
      </c>
      <c r="AB907" s="377">
        <f t="shared" si="344"/>
        <v>0</v>
      </c>
      <c r="AC907" s="377">
        <f t="shared" si="345"/>
        <v>0</v>
      </c>
      <c r="AD907" s="376"/>
      <c r="AE907" s="332">
        <v>892</v>
      </c>
      <c r="AF907" s="350">
        <v>6686387.2031669794</v>
      </c>
      <c r="AG907" s="350">
        <v>13425283.758889712</v>
      </c>
      <c r="AH907" s="350">
        <v>20215180.644035593</v>
      </c>
      <c r="AI907" s="350">
        <v>27056302.992222495</v>
      </c>
      <c r="AJ907" s="350">
        <v>33949637.389497995</v>
      </c>
      <c r="AK907" s="348">
        <v>101332791.98781279</v>
      </c>
      <c r="AL907" s="369"/>
      <c r="AM907" s="350">
        <v>7836463.8857145822</v>
      </c>
      <c r="AN907" s="350">
        <v>16819357.50570371</v>
      </c>
      <c r="AO907" s="350">
        <v>25553114.707562439</v>
      </c>
      <c r="AP907" s="350">
        <v>34032395.722980164</v>
      </c>
      <c r="AQ907" s="350">
        <v>42254321.290388077</v>
      </c>
      <c r="AR907" s="348">
        <v>126495653.11234897</v>
      </c>
      <c r="AS907" s="369"/>
      <c r="AT907" s="350">
        <f t="shared" si="363"/>
        <v>1150076.6825476028</v>
      </c>
      <c r="AU907" s="350">
        <f t="shared" si="346"/>
        <v>3394073.7468139976</v>
      </c>
      <c r="AV907" s="350">
        <f t="shared" si="347"/>
        <v>5337934.0635268465</v>
      </c>
      <c r="AW907" s="350">
        <f t="shared" si="348"/>
        <v>6976092.7307576686</v>
      </c>
      <c r="AX907" s="350">
        <f t="shared" si="349"/>
        <v>8304683.9008900821</v>
      </c>
      <c r="AY907" s="350">
        <f t="shared" si="350"/>
        <v>25162861.124536186</v>
      </c>
      <c r="AZ907" s="365"/>
      <c r="BA907" s="377">
        <f t="shared" si="351"/>
        <v>0</v>
      </c>
      <c r="BB907" s="377">
        <f t="shared" si="352"/>
        <v>0</v>
      </c>
      <c r="BC907" s="377">
        <f t="shared" si="353"/>
        <v>0</v>
      </c>
      <c r="BD907" s="377">
        <f t="shared" si="354"/>
        <v>0</v>
      </c>
      <c r="BE907" s="377">
        <f t="shared" si="355"/>
        <v>0</v>
      </c>
      <c r="BF907" s="377">
        <f t="shared" si="356"/>
        <v>0</v>
      </c>
      <c r="BG907" s="328"/>
    </row>
    <row r="908" spans="2:59">
      <c r="B908" s="332">
        <v>893</v>
      </c>
      <c r="C908" s="350">
        <v>9819446.4569615722</v>
      </c>
      <c r="D908" s="350">
        <v>18218820.565503225</v>
      </c>
      <c r="E908" s="350">
        <v>26681334.70999033</v>
      </c>
      <c r="F908" s="350">
        <v>35207657.409297705</v>
      </c>
      <c r="G908" s="350">
        <v>43799187.125950649</v>
      </c>
      <c r="H908" s="348">
        <v>133726446.26770349</v>
      </c>
      <c r="I908" s="369"/>
      <c r="J908" s="350">
        <v>11205034.020821089</v>
      </c>
      <c r="K908" s="350">
        <v>22307370.423939444</v>
      </c>
      <c r="L908" s="350">
        <v>33141724.428018283</v>
      </c>
      <c r="M908" s="350">
        <v>43700203.698470786</v>
      </c>
      <c r="N908" s="350">
        <v>53977634.927639537</v>
      </c>
      <c r="O908" s="348">
        <v>164331967.49888915</v>
      </c>
      <c r="P908" s="369"/>
      <c r="Q908" s="350">
        <f t="shared" si="357"/>
        <v>1385587.5638595168</v>
      </c>
      <c r="R908" s="350">
        <f t="shared" si="358"/>
        <v>4088549.8584362194</v>
      </c>
      <c r="S908" s="350">
        <f t="shared" si="359"/>
        <v>6460389.7180279531</v>
      </c>
      <c r="T908" s="350">
        <f t="shared" si="360"/>
        <v>8492546.2891730815</v>
      </c>
      <c r="U908" s="350">
        <f t="shared" si="361"/>
        <v>10178447.801688887</v>
      </c>
      <c r="V908" s="350">
        <f t="shared" si="362"/>
        <v>30605521.23118566</v>
      </c>
      <c r="W908" s="365"/>
      <c r="X908" s="377">
        <f t="shared" si="340"/>
        <v>0</v>
      </c>
      <c r="Y908" s="377">
        <f t="shared" si="341"/>
        <v>0</v>
      </c>
      <c r="Z908" s="377">
        <f t="shared" si="342"/>
        <v>0</v>
      </c>
      <c r="AA908" s="377">
        <f t="shared" si="343"/>
        <v>0</v>
      </c>
      <c r="AB908" s="377">
        <f t="shared" si="344"/>
        <v>0</v>
      </c>
      <c r="AC908" s="377">
        <f t="shared" si="345"/>
        <v>0</v>
      </c>
      <c r="AD908" s="376"/>
      <c r="AE908" s="332">
        <v>893</v>
      </c>
      <c r="AF908" s="350">
        <v>7064139.0109349396</v>
      </c>
      <c r="AG908" s="350">
        <v>14183753.924559502</v>
      </c>
      <c r="AH908" s="350">
        <v>21357250.464494601</v>
      </c>
      <c r="AI908" s="350">
        <v>28584866.483428746</v>
      </c>
      <c r="AJ908" s="350">
        <v>35867644.305231996</v>
      </c>
      <c r="AK908" s="348">
        <v>107057654.18864977</v>
      </c>
      <c r="AL908" s="369"/>
      <c r="AM908" s="350">
        <v>8565593.6310993731</v>
      </c>
      <c r="AN908" s="350">
        <v>18618967.07098436</v>
      </c>
      <c r="AO908" s="350">
        <v>28417706.846540771</v>
      </c>
      <c r="AP908" s="350">
        <v>37956090.510199949</v>
      </c>
      <c r="AQ908" s="350">
        <v>47231366.194341496</v>
      </c>
      <c r="AR908" s="348">
        <v>140789724.25316596</v>
      </c>
      <c r="AS908" s="369"/>
      <c r="AT908" s="350">
        <f t="shared" si="363"/>
        <v>1501454.6201644335</v>
      </c>
      <c r="AU908" s="350">
        <f t="shared" si="346"/>
        <v>4435213.1464248579</v>
      </c>
      <c r="AV908" s="350">
        <f t="shared" si="347"/>
        <v>7060456.3820461705</v>
      </c>
      <c r="AW908" s="350">
        <f t="shared" si="348"/>
        <v>9371224.0267712027</v>
      </c>
      <c r="AX908" s="350">
        <f t="shared" si="349"/>
        <v>11363721.8891095</v>
      </c>
      <c r="AY908" s="350">
        <f t="shared" si="350"/>
        <v>33732070.064516187</v>
      </c>
      <c r="AZ908" s="365"/>
      <c r="BA908" s="377">
        <f t="shared" si="351"/>
        <v>0</v>
      </c>
      <c r="BB908" s="377">
        <f t="shared" si="352"/>
        <v>0</v>
      </c>
      <c r="BC908" s="377">
        <f t="shared" si="353"/>
        <v>0</v>
      </c>
      <c r="BD908" s="377">
        <f t="shared" si="354"/>
        <v>0</v>
      </c>
      <c r="BE908" s="377">
        <f t="shared" si="355"/>
        <v>0</v>
      </c>
      <c r="BF908" s="377">
        <f t="shared" si="356"/>
        <v>0</v>
      </c>
      <c r="BG908" s="328"/>
    </row>
    <row r="909" spans="2:59">
      <c r="B909" s="332">
        <v>894</v>
      </c>
      <c r="C909" s="350">
        <v>9146670.6015548948</v>
      </c>
      <c r="D909" s="350">
        <v>17145742.77134791</v>
      </c>
      <c r="E909" s="350">
        <v>25205004.664536133</v>
      </c>
      <c r="F909" s="350">
        <v>33325039.46142533</v>
      </c>
      <c r="G909" s="350">
        <v>41507155.707708493</v>
      </c>
      <c r="H909" s="348">
        <v>126329613.20657276</v>
      </c>
      <c r="I909" s="369"/>
      <c r="J909" s="350">
        <v>10163104.510665733</v>
      </c>
      <c r="K909" s="350">
        <v>20140471.351198357</v>
      </c>
      <c r="L909" s="350">
        <v>29841638.753678143</v>
      </c>
      <c r="M909" s="350">
        <v>39259593.230331972</v>
      </c>
      <c r="N909" s="350">
        <v>48389566.662825599</v>
      </c>
      <c r="O909" s="348">
        <v>147794374.5086998</v>
      </c>
      <c r="P909" s="369"/>
      <c r="Q909" s="350">
        <f t="shared" si="357"/>
        <v>1016433.9091108385</v>
      </c>
      <c r="R909" s="350">
        <f t="shared" si="358"/>
        <v>2994728.5798504464</v>
      </c>
      <c r="S909" s="350">
        <f t="shared" si="359"/>
        <v>4636634.0891420096</v>
      </c>
      <c r="T909" s="350">
        <f t="shared" si="360"/>
        <v>5934553.7689066418</v>
      </c>
      <c r="U909" s="350">
        <f t="shared" si="361"/>
        <v>6882410.9551171064</v>
      </c>
      <c r="V909" s="350">
        <f t="shared" si="362"/>
        <v>21464761.302127048</v>
      </c>
      <c r="W909" s="365"/>
      <c r="X909" s="377">
        <f t="shared" si="340"/>
        <v>0</v>
      </c>
      <c r="Y909" s="377">
        <f t="shared" si="341"/>
        <v>0</v>
      </c>
      <c r="Z909" s="377">
        <f t="shared" si="342"/>
        <v>0</v>
      </c>
      <c r="AA909" s="377">
        <f t="shared" si="343"/>
        <v>0</v>
      </c>
      <c r="AB909" s="377">
        <f t="shared" si="344"/>
        <v>0</v>
      </c>
      <c r="AC909" s="377">
        <f t="shared" si="345"/>
        <v>0</v>
      </c>
      <c r="AD909" s="376"/>
      <c r="AE909" s="332">
        <v>894</v>
      </c>
      <c r="AF909" s="350">
        <v>7821281.3863892555</v>
      </c>
      <c r="AG909" s="350">
        <v>15703984.645200305</v>
      </c>
      <c r="AH909" s="350">
        <v>23646344.623716138</v>
      </c>
      <c r="AI909" s="350">
        <v>31648624.66794432</v>
      </c>
      <c r="AJ909" s="350">
        <v>39711978.819201246</v>
      </c>
      <c r="AK909" s="348">
        <v>118532214.14245127</v>
      </c>
      <c r="AL909" s="369"/>
      <c r="AM909" s="350">
        <v>9159756.2183124125</v>
      </c>
      <c r="AN909" s="350">
        <v>19653954.743570805</v>
      </c>
      <c r="AO909" s="350">
        <v>29856526.553213108</v>
      </c>
      <c r="AP909" s="350">
        <v>39761227.474318653</v>
      </c>
      <c r="AQ909" s="350">
        <v>49364682.648749202</v>
      </c>
      <c r="AR909" s="348">
        <v>147796147.63816416</v>
      </c>
      <c r="AS909" s="369"/>
      <c r="AT909" s="350">
        <f t="shared" si="363"/>
        <v>1338474.831923157</v>
      </c>
      <c r="AU909" s="350">
        <f t="shared" si="346"/>
        <v>3949970.0983704999</v>
      </c>
      <c r="AV909" s="350">
        <f t="shared" si="347"/>
        <v>6210181.92949697</v>
      </c>
      <c r="AW909" s="350">
        <f t="shared" si="348"/>
        <v>8112602.8063743338</v>
      </c>
      <c r="AX909" s="350">
        <f t="shared" si="349"/>
        <v>9652703.8295479566</v>
      </c>
      <c r="AY909" s="350">
        <f t="shared" si="350"/>
        <v>29263933.495712891</v>
      </c>
      <c r="AZ909" s="365"/>
      <c r="BA909" s="377">
        <f t="shared" si="351"/>
        <v>0</v>
      </c>
      <c r="BB909" s="377">
        <f t="shared" si="352"/>
        <v>0</v>
      </c>
      <c r="BC909" s="377">
        <f t="shared" si="353"/>
        <v>0</v>
      </c>
      <c r="BD909" s="377">
        <f t="shared" si="354"/>
        <v>0</v>
      </c>
      <c r="BE909" s="377">
        <f t="shared" si="355"/>
        <v>0</v>
      </c>
      <c r="BF909" s="377">
        <f t="shared" si="356"/>
        <v>0</v>
      </c>
      <c r="BG909" s="328"/>
    </row>
    <row r="910" spans="2:59">
      <c r="B910" s="332">
        <v>895</v>
      </c>
      <c r="C910" s="350">
        <v>8477182.5446069371</v>
      </c>
      <c r="D910" s="350">
        <v>15930084.5899176</v>
      </c>
      <c r="E910" s="350">
        <v>23439079.573262814</v>
      </c>
      <c r="F910" s="350">
        <v>31004699.115306549</v>
      </c>
      <c r="G910" s="350">
        <v>38628157.307011493</v>
      </c>
      <c r="H910" s="348">
        <v>117479203.13010538</v>
      </c>
      <c r="I910" s="369"/>
      <c r="J910" s="350">
        <v>9544601.4086726885</v>
      </c>
      <c r="K910" s="350">
        <v>19077366.027774651</v>
      </c>
      <c r="L910" s="350">
        <v>28356141.529406447</v>
      </c>
      <c r="M910" s="350">
        <v>37374358.199615426</v>
      </c>
      <c r="N910" s="350">
        <v>46127701.401580177</v>
      </c>
      <c r="O910" s="348">
        <v>140480168.56704938</v>
      </c>
      <c r="P910" s="369"/>
      <c r="Q910" s="350">
        <f t="shared" si="357"/>
        <v>1067418.8640657514</v>
      </c>
      <c r="R910" s="350">
        <f t="shared" si="358"/>
        <v>3147281.4378570504</v>
      </c>
      <c r="S910" s="350">
        <f t="shared" si="359"/>
        <v>4917061.9561436325</v>
      </c>
      <c r="T910" s="350">
        <f t="shared" si="360"/>
        <v>6369659.0843088776</v>
      </c>
      <c r="U910" s="350">
        <f t="shared" si="361"/>
        <v>7499544.0945686847</v>
      </c>
      <c r="V910" s="350">
        <f t="shared" si="362"/>
        <v>23000965.436944008</v>
      </c>
      <c r="W910" s="365"/>
      <c r="X910" s="377">
        <f t="shared" si="340"/>
        <v>0</v>
      </c>
      <c r="Y910" s="377">
        <f t="shared" si="341"/>
        <v>0</v>
      </c>
      <c r="Z910" s="377">
        <f t="shared" si="342"/>
        <v>0</v>
      </c>
      <c r="AA910" s="377">
        <f t="shared" si="343"/>
        <v>0</v>
      </c>
      <c r="AB910" s="377">
        <f t="shared" si="344"/>
        <v>0</v>
      </c>
      <c r="AC910" s="377">
        <f t="shared" si="345"/>
        <v>0</v>
      </c>
      <c r="AD910" s="376"/>
      <c r="AE910" s="332">
        <v>895</v>
      </c>
      <c r="AF910" s="350">
        <v>5643069.9875704963</v>
      </c>
      <c r="AG910" s="350">
        <v>11330455.977560621</v>
      </c>
      <c r="AH910" s="350">
        <v>17060884.408794299</v>
      </c>
      <c r="AI910" s="350">
        <v>22834545.28593678</v>
      </c>
      <c r="AJ910" s="350">
        <v>28652271.252080068</v>
      </c>
      <c r="AK910" s="348">
        <v>85521226.911942273</v>
      </c>
      <c r="AL910" s="369"/>
      <c r="AM910" s="350">
        <v>6673094.7382342434</v>
      </c>
      <c r="AN910" s="350">
        <v>14371099.241280081</v>
      </c>
      <c r="AO910" s="350">
        <v>21860620.672323063</v>
      </c>
      <c r="AP910" s="350">
        <v>29137135.658288389</v>
      </c>
      <c r="AQ910" s="350">
        <v>36198274.365853399</v>
      </c>
      <c r="AR910" s="348">
        <v>108240224.67597917</v>
      </c>
      <c r="AS910" s="369"/>
      <c r="AT910" s="350">
        <f t="shared" si="363"/>
        <v>1030024.7506637471</v>
      </c>
      <c r="AU910" s="350">
        <f t="shared" si="346"/>
        <v>3040643.26371946</v>
      </c>
      <c r="AV910" s="350">
        <f t="shared" si="347"/>
        <v>4799736.2635287642</v>
      </c>
      <c r="AW910" s="350">
        <f t="shared" si="348"/>
        <v>6302590.3723516092</v>
      </c>
      <c r="AX910" s="350">
        <f t="shared" si="349"/>
        <v>7546003.113773331</v>
      </c>
      <c r="AY910" s="350">
        <f t="shared" si="350"/>
        <v>22718997.764036894</v>
      </c>
      <c r="AZ910" s="365"/>
      <c r="BA910" s="377">
        <f t="shared" si="351"/>
        <v>0</v>
      </c>
      <c r="BB910" s="377">
        <f t="shared" si="352"/>
        <v>0</v>
      </c>
      <c r="BC910" s="377">
        <f t="shared" si="353"/>
        <v>0</v>
      </c>
      <c r="BD910" s="377">
        <f t="shared" si="354"/>
        <v>0</v>
      </c>
      <c r="BE910" s="377">
        <f t="shared" si="355"/>
        <v>0</v>
      </c>
      <c r="BF910" s="377">
        <f t="shared" si="356"/>
        <v>0</v>
      </c>
      <c r="BG910" s="328"/>
    </row>
    <row r="911" spans="2:59">
      <c r="B911" s="332">
        <v>896</v>
      </c>
      <c r="C911" s="350">
        <v>8673994.1292618252</v>
      </c>
      <c r="D911" s="350">
        <v>16068807.992821839</v>
      </c>
      <c r="E911" s="350">
        <v>23519202.062479831</v>
      </c>
      <c r="F911" s="350">
        <v>31025772.461728293</v>
      </c>
      <c r="G911" s="350">
        <v>38589753.686733387</v>
      </c>
      <c r="H911" s="348">
        <v>117877530.33302519</v>
      </c>
      <c r="I911" s="369"/>
      <c r="J911" s="350">
        <v>10153754.18176675</v>
      </c>
      <c r="K911" s="350">
        <v>20439133.965975974</v>
      </c>
      <c r="L911" s="350">
        <v>30492576.135484107</v>
      </c>
      <c r="M911" s="350">
        <v>40307228.770433962</v>
      </c>
      <c r="N911" s="350">
        <v>49878972.283217907</v>
      </c>
      <c r="O911" s="348">
        <v>151271665.33687872</v>
      </c>
      <c r="P911" s="369"/>
      <c r="Q911" s="350">
        <f t="shared" si="357"/>
        <v>1479760.0525049251</v>
      </c>
      <c r="R911" s="350">
        <f t="shared" si="358"/>
        <v>4370325.973154135</v>
      </c>
      <c r="S911" s="350">
        <f t="shared" si="359"/>
        <v>6973374.0730042756</v>
      </c>
      <c r="T911" s="350">
        <f t="shared" si="360"/>
        <v>9281456.3087056689</v>
      </c>
      <c r="U911" s="350">
        <f t="shared" si="361"/>
        <v>11289218.59648452</v>
      </c>
      <c r="V911" s="350">
        <f t="shared" si="362"/>
        <v>33394135.00385353</v>
      </c>
      <c r="W911" s="365"/>
      <c r="X911" s="377">
        <f t="shared" si="340"/>
        <v>0</v>
      </c>
      <c r="Y911" s="377">
        <f t="shared" si="341"/>
        <v>0</v>
      </c>
      <c r="Z911" s="377">
        <f t="shared" si="342"/>
        <v>0</v>
      </c>
      <c r="AA911" s="377">
        <f t="shared" si="343"/>
        <v>0</v>
      </c>
      <c r="AB911" s="377">
        <f t="shared" si="344"/>
        <v>0</v>
      </c>
      <c r="AC911" s="377">
        <f t="shared" si="345"/>
        <v>0</v>
      </c>
      <c r="AD911" s="376"/>
      <c r="AE911" s="332">
        <v>896</v>
      </c>
      <c r="AF911" s="350">
        <v>7035823.454125355</v>
      </c>
      <c r="AG911" s="350">
        <v>14126900.443986375</v>
      </c>
      <c r="AH911" s="350">
        <v>21271643.08362513</v>
      </c>
      <c r="AI911" s="350">
        <v>28470288.272332806</v>
      </c>
      <c r="AJ911" s="350">
        <v>35723874.155978322</v>
      </c>
      <c r="AK911" s="348">
        <v>106628529.41004799</v>
      </c>
      <c r="AL911" s="369"/>
      <c r="AM911" s="350">
        <v>8451103.6069316175</v>
      </c>
      <c r="AN911" s="350">
        <v>18306616.214670602</v>
      </c>
      <c r="AO911" s="350">
        <v>27906115.118747331</v>
      </c>
      <c r="AP911" s="350">
        <v>37243923.480298936</v>
      </c>
      <c r="AQ911" s="350">
        <v>46317219.282812849</v>
      </c>
      <c r="AR911" s="348">
        <v>138224977.70346135</v>
      </c>
      <c r="AS911" s="369"/>
      <c r="AT911" s="350">
        <f t="shared" si="363"/>
        <v>1415280.1528062625</v>
      </c>
      <c r="AU911" s="350">
        <f t="shared" si="346"/>
        <v>4179715.7706842273</v>
      </c>
      <c r="AV911" s="350">
        <f t="shared" si="347"/>
        <v>6634472.0351222008</v>
      </c>
      <c r="AW911" s="350">
        <f t="shared" si="348"/>
        <v>8773635.2079661302</v>
      </c>
      <c r="AX911" s="350">
        <f t="shared" si="349"/>
        <v>10593345.126834527</v>
      </c>
      <c r="AY911" s="350">
        <f t="shared" si="350"/>
        <v>31596448.293413356</v>
      </c>
      <c r="AZ911" s="365"/>
      <c r="BA911" s="377">
        <f t="shared" si="351"/>
        <v>0</v>
      </c>
      <c r="BB911" s="377">
        <f t="shared" si="352"/>
        <v>0</v>
      </c>
      <c r="BC911" s="377">
        <f t="shared" si="353"/>
        <v>0</v>
      </c>
      <c r="BD911" s="377">
        <f t="shared" si="354"/>
        <v>0</v>
      </c>
      <c r="BE911" s="377">
        <f t="shared" si="355"/>
        <v>0</v>
      </c>
      <c r="BF911" s="377">
        <f t="shared" si="356"/>
        <v>0</v>
      </c>
      <c r="BG911" s="328"/>
    </row>
    <row r="912" spans="2:59">
      <c r="B912" s="332">
        <v>897</v>
      </c>
      <c r="C912" s="350">
        <v>5852734.2224768735</v>
      </c>
      <c r="D912" s="350">
        <v>10829543.947342776</v>
      </c>
      <c r="E912" s="350">
        <v>15843755.586684721</v>
      </c>
      <c r="F912" s="350">
        <v>20895774.261534557</v>
      </c>
      <c r="G912" s="350">
        <v>25986432.510899171</v>
      </c>
      <c r="H912" s="348">
        <v>79408240.5289381</v>
      </c>
      <c r="I912" s="369"/>
      <c r="J912" s="350">
        <v>6562603.2857560292</v>
      </c>
      <c r="K912" s="350">
        <v>12922541.433902234</v>
      </c>
      <c r="L912" s="350">
        <v>19119113.031938612</v>
      </c>
      <c r="M912" s="350">
        <v>25147729.221900165</v>
      </c>
      <c r="N912" s="350">
        <v>31005265.054070529</v>
      </c>
      <c r="O912" s="348">
        <v>94757252.027567565</v>
      </c>
      <c r="P912" s="369"/>
      <c r="Q912" s="350">
        <f t="shared" si="357"/>
        <v>709869.06327915564</v>
      </c>
      <c r="R912" s="350">
        <f t="shared" si="358"/>
        <v>2092997.4865594581</v>
      </c>
      <c r="S912" s="350">
        <f t="shared" si="359"/>
        <v>3275357.4452538919</v>
      </c>
      <c r="T912" s="350">
        <f t="shared" si="360"/>
        <v>4251954.9603656083</v>
      </c>
      <c r="U912" s="350">
        <f t="shared" si="361"/>
        <v>5018832.5431713574</v>
      </c>
      <c r="V912" s="350">
        <f t="shared" si="362"/>
        <v>15349011.498629466</v>
      </c>
      <c r="W912" s="365"/>
      <c r="X912" s="377">
        <f t="shared" ref="X912:X975" si="364">IF(Q912&lt;Q$8,1,0)</f>
        <v>0</v>
      </c>
      <c r="Y912" s="377">
        <f t="shared" ref="Y912:Y975" si="365">IF(R912&lt;R$8,1,0)</f>
        <v>0</v>
      </c>
      <c r="Z912" s="377">
        <f t="shared" ref="Z912:Z975" si="366">IF(S912&lt;S$8,1,0)</f>
        <v>0</v>
      </c>
      <c r="AA912" s="377">
        <f t="shared" ref="AA912:AA975" si="367">IF(T912&lt;T$8,1,0)</f>
        <v>0</v>
      </c>
      <c r="AB912" s="377">
        <f t="shared" ref="AB912:AB975" si="368">IF(U912&lt;U$8,1,0)</f>
        <v>0</v>
      </c>
      <c r="AC912" s="377">
        <f t="shared" ref="AC912:AC975" si="369">IF(V912&lt;V$8,1,0)</f>
        <v>0</v>
      </c>
      <c r="AD912" s="376"/>
      <c r="AE912" s="332">
        <v>897</v>
      </c>
      <c r="AF912" s="350">
        <v>8869190.9931181073</v>
      </c>
      <c r="AG912" s="350">
        <v>17808033.273634188</v>
      </c>
      <c r="AH912" s="350">
        <v>26814525.1904369</v>
      </c>
      <c r="AI912" s="350">
        <v>35888965.37311428</v>
      </c>
      <c r="AJ912" s="350">
        <v>45032662.48355221</v>
      </c>
      <c r="AK912" s="348">
        <v>134413377.31385568</v>
      </c>
      <c r="AL912" s="369"/>
      <c r="AM912" s="350">
        <v>10488277.595727326</v>
      </c>
      <c r="AN912" s="350">
        <v>22587595.706830762</v>
      </c>
      <c r="AO912" s="350">
        <v>34359247.802523464</v>
      </c>
      <c r="AP912" s="350">
        <v>45796124.458287902</v>
      </c>
      <c r="AQ912" s="350">
        <v>56894501.219674066</v>
      </c>
      <c r="AR912" s="348">
        <v>170125746.7830435</v>
      </c>
      <c r="AS912" s="369"/>
      <c r="AT912" s="350">
        <f t="shared" si="363"/>
        <v>1619086.602609219</v>
      </c>
      <c r="AU912" s="350">
        <f t="shared" ref="AU912:AU975" si="370">AN912-AG912</f>
        <v>4779562.4331965744</v>
      </c>
      <c r="AV912" s="350">
        <f t="shared" ref="AV912:AV975" si="371">AO912-AH912</f>
        <v>7544722.6120865643</v>
      </c>
      <c r="AW912" s="350">
        <f t="shared" ref="AW912:AW975" si="372">AP912-AI912</f>
        <v>9907159.0851736218</v>
      </c>
      <c r="AX912" s="350">
        <f t="shared" ref="AX912:AX975" si="373">AQ912-AJ912</f>
        <v>11861838.736121856</v>
      </c>
      <c r="AY912" s="350">
        <f t="shared" ref="AY912:AY975" si="374">AR912-AK912</f>
        <v>35712369.469187826</v>
      </c>
      <c r="AZ912" s="365"/>
      <c r="BA912" s="377">
        <f t="shared" ref="BA912:BA975" si="375">IF(AT912&lt;AT$8,1,0)</f>
        <v>0</v>
      </c>
      <c r="BB912" s="377">
        <f t="shared" ref="BB912:BB975" si="376">IF(AU912&lt;AU$8,1,0)</f>
        <v>0</v>
      </c>
      <c r="BC912" s="377">
        <f t="shared" ref="BC912:BC975" si="377">IF(AV912&lt;AV$8,1,0)</f>
        <v>0</v>
      </c>
      <c r="BD912" s="377">
        <f t="shared" ref="BD912:BD975" si="378">IF(AW912&lt;AW$8,1,0)</f>
        <v>0</v>
      </c>
      <c r="BE912" s="377">
        <f t="shared" ref="BE912:BE975" si="379">IF(AX912&lt;AX$8,1,0)</f>
        <v>0</v>
      </c>
      <c r="BF912" s="377">
        <f t="shared" ref="BF912:BF975" si="380">IF(AY912&lt;AY$8,1,0)</f>
        <v>0</v>
      </c>
      <c r="BG912" s="328"/>
    </row>
    <row r="913" spans="2:59">
      <c r="B913" s="332">
        <v>898</v>
      </c>
      <c r="C913" s="350">
        <v>7085798.2168654464</v>
      </c>
      <c r="D913" s="350">
        <v>13273601.373271037</v>
      </c>
      <c r="E913" s="350">
        <v>19507962.253507573</v>
      </c>
      <c r="F913" s="350">
        <v>25789334.662852935</v>
      </c>
      <c r="G913" s="350">
        <v>32118732.011507511</v>
      </c>
      <c r="H913" s="348">
        <v>97775428.518004507</v>
      </c>
      <c r="I913" s="369"/>
      <c r="J913" s="350">
        <v>7921471.1237425599</v>
      </c>
      <c r="K913" s="350">
        <v>15736712.655809216</v>
      </c>
      <c r="L913" s="350">
        <v>23339503.445744313</v>
      </c>
      <c r="M913" s="350">
        <v>30724419.715207666</v>
      </c>
      <c r="N913" s="350">
        <v>37887837.562956959</v>
      </c>
      <c r="O913" s="348">
        <v>115609944.50346071</v>
      </c>
      <c r="P913" s="369"/>
      <c r="Q913" s="350">
        <f t="shared" ref="Q913:Q976" si="381">J913-C913</f>
        <v>835672.90687711351</v>
      </c>
      <c r="R913" s="350">
        <f t="shared" ref="R913:R976" si="382">K913-D913</f>
        <v>2463111.2825381793</v>
      </c>
      <c r="S913" s="350">
        <f t="shared" ref="S913:S976" si="383">L913-E913</f>
        <v>3831541.1922367401</v>
      </c>
      <c r="T913" s="350">
        <f t="shared" ref="T913:T976" si="384">M913-F913</f>
        <v>4935085.0523547307</v>
      </c>
      <c r="U913" s="350">
        <f t="shared" ref="U913:U976" si="385">N913-G913</f>
        <v>5769105.5514494479</v>
      </c>
      <c r="V913" s="350">
        <f t="shared" ref="V913:V976" si="386">O913-H913</f>
        <v>17834515.985456198</v>
      </c>
      <c r="W913" s="365"/>
      <c r="X913" s="377">
        <f t="shared" si="364"/>
        <v>0</v>
      </c>
      <c r="Y913" s="377">
        <f t="shared" si="365"/>
        <v>0</v>
      </c>
      <c r="Z913" s="377">
        <f t="shared" si="366"/>
        <v>0</v>
      </c>
      <c r="AA913" s="377">
        <f t="shared" si="367"/>
        <v>0</v>
      </c>
      <c r="AB913" s="377">
        <f t="shared" si="368"/>
        <v>0</v>
      </c>
      <c r="AC913" s="377">
        <f t="shared" si="369"/>
        <v>0</v>
      </c>
      <c r="AD913" s="376"/>
      <c r="AE913" s="332">
        <v>898</v>
      </c>
      <c r="AF913" s="350">
        <v>6899706.652929686</v>
      </c>
      <c r="AG913" s="350">
        <v>13853597.892865991</v>
      </c>
      <c r="AH913" s="350">
        <v>20860116.55349008</v>
      </c>
      <c r="AI913" s="350">
        <v>27919494.950980168</v>
      </c>
      <c r="AJ913" s="350">
        <v>35032751.146975413</v>
      </c>
      <c r="AK913" s="348">
        <v>104565667.19724134</v>
      </c>
      <c r="AL913" s="369"/>
      <c r="AM913" s="350">
        <v>8265738.6870670263</v>
      </c>
      <c r="AN913" s="350">
        <v>17887598.497530878</v>
      </c>
      <c r="AO913" s="350">
        <v>27257742.563359343</v>
      </c>
      <c r="AP913" s="350">
        <v>36370610.056246936</v>
      </c>
      <c r="AQ913" s="350">
        <v>45223411.408209801</v>
      </c>
      <c r="AR913" s="348">
        <v>135005101.21241397</v>
      </c>
      <c r="AS913" s="369"/>
      <c r="AT913" s="350">
        <f t="shared" ref="AT913:AT976" si="387">AM913-AF913</f>
        <v>1366032.0341373403</v>
      </c>
      <c r="AU913" s="350">
        <f t="shared" si="370"/>
        <v>4034000.6046648864</v>
      </c>
      <c r="AV913" s="350">
        <f t="shared" si="371"/>
        <v>6397626.0098692626</v>
      </c>
      <c r="AW913" s="350">
        <f t="shared" si="372"/>
        <v>8451115.1052667685</v>
      </c>
      <c r="AX913" s="350">
        <f t="shared" si="373"/>
        <v>10190660.261234388</v>
      </c>
      <c r="AY913" s="350">
        <f t="shared" si="374"/>
        <v>30439434.015172631</v>
      </c>
      <c r="AZ913" s="365"/>
      <c r="BA913" s="377">
        <f t="shared" si="375"/>
        <v>0</v>
      </c>
      <c r="BB913" s="377">
        <f t="shared" si="376"/>
        <v>0</v>
      </c>
      <c r="BC913" s="377">
        <f t="shared" si="377"/>
        <v>0</v>
      </c>
      <c r="BD913" s="377">
        <f t="shared" si="378"/>
        <v>0</v>
      </c>
      <c r="BE913" s="377">
        <f t="shared" si="379"/>
        <v>0</v>
      </c>
      <c r="BF913" s="377">
        <f t="shared" si="380"/>
        <v>0</v>
      </c>
      <c r="BG913" s="328"/>
    </row>
    <row r="914" spans="2:59">
      <c r="B914" s="332">
        <v>899</v>
      </c>
      <c r="C914" s="350">
        <v>8798842.6349072307</v>
      </c>
      <c r="D914" s="350">
        <v>16643990.952853214</v>
      </c>
      <c r="E914" s="350">
        <v>24548220.154839411</v>
      </c>
      <c r="F914" s="350">
        <v>32512057.331757575</v>
      </c>
      <c r="G914" s="350">
        <v>40536766.327594027</v>
      </c>
      <c r="H914" s="348">
        <v>123039877.40195146</v>
      </c>
      <c r="I914" s="369"/>
      <c r="J914" s="350">
        <v>9542471.7833703328</v>
      </c>
      <c r="K914" s="350">
        <v>18830036.639862012</v>
      </c>
      <c r="L914" s="350">
        <v>27840919.35307527</v>
      </c>
      <c r="M914" s="350">
        <v>36568195.064486332</v>
      </c>
      <c r="N914" s="350">
        <v>45006835.560746387</v>
      </c>
      <c r="O914" s="348">
        <v>137788458.40154034</v>
      </c>
      <c r="P914" s="369"/>
      <c r="Q914" s="350">
        <f t="shared" si="381"/>
        <v>743629.14846310206</v>
      </c>
      <c r="R914" s="350">
        <f t="shared" si="382"/>
        <v>2186045.6870087981</v>
      </c>
      <c r="S914" s="350">
        <f t="shared" si="383"/>
        <v>3292699.1982358582</v>
      </c>
      <c r="T914" s="350">
        <f t="shared" si="384"/>
        <v>4056137.732728757</v>
      </c>
      <c r="U914" s="350">
        <f t="shared" si="385"/>
        <v>4470069.2331523597</v>
      </c>
      <c r="V914" s="350">
        <f t="shared" si="386"/>
        <v>14748580.999588877</v>
      </c>
      <c r="W914" s="365"/>
      <c r="X914" s="377">
        <f t="shared" si="364"/>
        <v>0</v>
      </c>
      <c r="Y914" s="377">
        <f t="shared" si="365"/>
        <v>0</v>
      </c>
      <c r="Z914" s="377">
        <f t="shared" si="366"/>
        <v>0</v>
      </c>
      <c r="AA914" s="377">
        <f t="shared" si="367"/>
        <v>0</v>
      </c>
      <c r="AB914" s="377">
        <f t="shared" si="368"/>
        <v>0</v>
      </c>
      <c r="AC914" s="377">
        <f t="shared" si="369"/>
        <v>0</v>
      </c>
      <c r="AD914" s="376"/>
      <c r="AE914" s="332">
        <v>899</v>
      </c>
      <c r="AF914" s="350">
        <v>4253426.8244759534</v>
      </c>
      <c r="AG914" s="350">
        <v>8540256.5438053049</v>
      </c>
      <c r="AH914" s="350">
        <v>12859529.219642289</v>
      </c>
      <c r="AI914" s="350">
        <v>17211388.06675151</v>
      </c>
      <c r="AJ914" s="350">
        <v>21596460.684377804</v>
      </c>
      <c r="AK914" s="348">
        <v>64461061.339052863</v>
      </c>
      <c r="AL914" s="369"/>
      <c r="AM914" s="350">
        <v>5087753.9756954685</v>
      </c>
      <c r="AN914" s="350">
        <v>11003992.303033283</v>
      </c>
      <c r="AO914" s="350">
        <v>16764823.592500012</v>
      </c>
      <c r="AP914" s="350">
        <v>22366821.990245886</v>
      </c>
      <c r="AQ914" s="350">
        <v>27808259.942598991</v>
      </c>
      <c r="AR914" s="348">
        <v>83031651.804073632</v>
      </c>
      <c r="AS914" s="369"/>
      <c r="AT914" s="350">
        <f t="shared" si="387"/>
        <v>834327.15121951513</v>
      </c>
      <c r="AU914" s="350">
        <f t="shared" si="370"/>
        <v>2463735.7592279781</v>
      </c>
      <c r="AV914" s="350">
        <f t="shared" si="371"/>
        <v>3905294.3728577234</v>
      </c>
      <c r="AW914" s="350">
        <f t="shared" si="372"/>
        <v>5155433.9234943762</v>
      </c>
      <c r="AX914" s="350">
        <f t="shared" si="373"/>
        <v>6211799.2582211867</v>
      </c>
      <c r="AY914" s="350">
        <f t="shared" si="374"/>
        <v>18570590.465020768</v>
      </c>
      <c r="AZ914" s="365"/>
      <c r="BA914" s="377">
        <f t="shared" si="375"/>
        <v>0</v>
      </c>
      <c r="BB914" s="377">
        <f t="shared" si="376"/>
        <v>0</v>
      </c>
      <c r="BC914" s="377">
        <f t="shared" si="377"/>
        <v>0</v>
      </c>
      <c r="BD914" s="377">
        <f t="shared" si="378"/>
        <v>0</v>
      </c>
      <c r="BE914" s="377">
        <f t="shared" si="379"/>
        <v>0</v>
      </c>
      <c r="BF914" s="377">
        <f t="shared" si="380"/>
        <v>0</v>
      </c>
      <c r="BG914" s="328"/>
    </row>
    <row r="915" spans="2:59">
      <c r="B915" s="332">
        <v>900</v>
      </c>
      <c r="C915" s="350">
        <v>9098330.2932004035</v>
      </c>
      <c r="D915" s="350">
        <v>17101150.065521441</v>
      </c>
      <c r="E915" s="350">
        <v>25164202.882790681</v>
      </c>
      <c r="F915" s="350">
        <v>33288058.4564927</v>
      </c>
      <c r="G915" s="350">
        <v>41474019.966243654</v>
      </c>
      <c r="H915" s="348">
        <v>126125761.66424888</v>
      </c>
      <c r="I915" s="369"/>
      <c r="J915" s="350">
        <v>10902058.49776694</v>
      </c>
      <c r="K915" s="350">
        <v>22430763.274323165</v>
      </c>
      <c r="L915" s="350">
        <v>33710784.912861481</v>
      </c>
      <c r="M915" s="350">
        <v>44734717.306160599</v>
      </c>
      <c r="N915" s="350">
        <v>55498421.786730185</v>
      </c>
      <c r="O915" s="348">
        <v>167276745.77784237</v>
      </c>
      <c r="P915" s="369"/>
      <c r="Q915" s="350">
        <f t="shared" si="381"/>
        <v>1803728.2045665365</v>
      </c>
      <c r="R915" s="350">
        <f t="shared" si="382"/>
        <v>5329613.208801724</v>
      </c>
      <c r="S915" s="350">
        <f t="shared" si="383"/>
        <v>8546582.0300708003</v>
      </c>
      <c r="T915" s="350">
        <f t="shared" si="384"/>
        <v>11446658.849667899</v>
      </c>
      <c r="U915" s="350">
        <f t="shared" si="385"/>
        <v>14024401.820486531</v>
      </c>
      <c r="V915" s="350">
        <f t="shared" si="386"/>
        <v>41150984.113593489</v>
      </c>
      <c r="W915" s="365"/>
      <c r="X915" s="377">
        <f t="shared" si="364"/>
        <v>0</v>
      </c>
      <c r="Y915" s="377">
        <f t="shared" si="365"/>
        <v>0</v>
      </c>
      <c r="Z915" s="377">
        <f t="shared" si="366"/>
        <v>0</v>
      </c>
      <c r="AA915" s="377">
        <f t="shared" si="367"/>
        <v>0</v>
      </c>
      <c r="AB915" s="377">
        <f t="shared" si="368"/>
        <v>0</v>
      </c>
      <c r="AC915" s="377">
        <f t="shared" si="369"/>
        <v>0</v>
      </c>
      <c r="AD915" s="376"/>
      <c r="AE915" s="332">
        <v>900</v>
      </c>
      <c r="AF915" s="350">
        <v>3769823.924835586</v>
      </c>
      <c r="AG915" s="350">
        <v>7569252.9274998289</v>
      </c>
      <c r="AH915" s="350">
        <v>11397436.211989511</v>
      </c>
      <c r="AI915" s="350">
        <v>15254500.70994547</v>
      </c>
      <c r="AJ915" s="350">
        <v>19141002.664309226</v>
      </c>
      <c r="AK915" s="348">
        <v>57132016.438579626</v>
      </c>
      <c r="AL915" s="369"/>
      <c r="AM915" s="350">
        <v>4530487.7594701322</v>
      </c>
      <c r="AN915" s="350">
        <v>9815733.928577261</v>
      </c>
      <c r="AO915" s="350">
        <v>14963877.279633697</v>
      </c>
      <c r="AP915" s="350">
        <v>19971875.473519176</v>
      </c>
      <c r="AQ915" s="350">
        <v>24838218.84262608</v>
      </c>
      <c r="AR915" s="348">
        <v>74120193.283826351</v>
      </c>
      <c r="AS915" s="369"/>
      <c r="AT915" s="350">
        <f t="shared" si="387"/>
        <v>760663.83463454619</v>
      </c>
      <c r="AU915" s="350">
        <f t="shared" si="370"/>
        <v>2246481.0010774322</v>
      </c>
      <c r="AV915" s="350">
        <f t="shared" si="371"/>
        <v>3566441.0676441863</v>
      </c>
      <c r="AW915" s="350">
        <f t="shared" si="372"/>
        <v>4717374.7635737062</v>
      </c>
      <c r="AX915" s="350">
        <f t="shared" si="373"/>
        <v>5697216.1783168539</v>
      </c>
      <c r="AY915" s="350">
        <f t="shared" si="374"/>
        <v>16988176.845246725</v>
      </c>
      <c r="AZ915" s="365"/>
      <c r="BA915" s="377">
        <f t="shared" si="375"/>
        <v>0</v>
      </c>
      <c r="BB915" s="377">
        <f t="shared" si="376"/>
        <v>0</v>
      </c>
      <c r="BC915" s="377">
        <f t="shared" si="377"/>
        <v>0</v>
      </c>
      <c r="BD915" s="377">
        <f t="shared" si="378"/>
        <v>0</v>
      </c>
      <c r="BE915" s="377">
        <f t="shared" si="379"/>
        <v>0</v>
      </c>
      <c r="BF915" s="377">
        <f t="shared" si="380"/>
        <v>0</v>
      </c>
      <c r="BG915" s="328"/>
    </row>
    <row r="916" spans="2:59">
      <c r="B916" s="332">
        <v>901</v>
      </c>
      <c r="C916" s="350">
        <v>9538246.7780502699</v>
      </c>
      <c r="D916" s="350">
        <v>18031054.075813387</v>
      </c>
      <c r="E916" s="350">
        <v>26587815.961511798</v>
      </c>
      <c r="F916" s="350">
        <v>35209106.43817246</v>
      </c>
      <c r="G916" s="350">
        <v>43896295.165312968</v>
      </c>
      <c r="H916" s="348">
        <v>133262518.41886088</v>
      </c>
      <c r="I916" s="369"/>
      <c r="J916" s="350">
        <v>10797987.993804812</v>
      </c>
      <c r="K916" s="350">
        <v>21746142.110858269</v>
      </c>
      <c r="L916" s="350">
        <v>32400688.741462693</v>
      </c>
      <c r="M916" s="350">
        <v>42754314.906260028</v>
      </c>
      <c r="N916" s="350">
        <v>52802360.032170221</v>
      </c>
      <c r="O916" s="348">
        <v>160501493.78455603</v>
      </c>
      <c r="P916" s="369"/>
      <c r="Q916" s="350">
        <f t="shared" si="381"/>
        <v>1259741.2157545425</v>
      </c>
      <c r="R916" s="350">
        <f t="shared" si="382"/>
        <v>3715088.0350448824</v>
      </c>
      <c r="S916" s="350">
        <f t="shared" si="383"/>
        <v>5812872.7799508944</v>
      </c>
      <c r="T916" s="350">
        <f t="shared" si="384"/>
        <v>7545208.4680875689</v>
      </c>
      <c r="U916" s="350">
        <f t="shared" si="385"/>
        <v>8906064.866857253</v>
      </c>
      <c r="V916" s="350">
        <f t="shared" si="386"/>
        <v>27238975.365695149</v>
      </c>
      <c r="W916" s="365"/>
      <c r="X916" s="377">
        <f t="shared" si="364"/>
        <v>0</v>
      </c>
      <c r="Y916" s="377">
        <f t="shared" si="365"/>
        <v>0</v>
      </c>
      <c r="Z916" s="377">
        <f t="shared" si="366"/>
        <v>0</v>
      </c>
      <c r="AA916" s="377">
        <f t="shared" si="367"/>
        <v>0</v>
      </c>
      <c r="AB916" s="377">
        <f t="shared" si="368"/>
        <v>0</v>
      </c>
      <c r="AC916" s="377">
        <f t="shared" si="369"/>
        <v>0</v>
      </c>
      <c r="AD916" s="376"/>
      <c r="AE916" s="332">
        <v>901</v>
      </c>
      <c r="AF916" s="350">
        <v>6677622.3859502487</v>
      </c>
      <c r="AG916" s="350">
        <v>13407685.292834127</v>
      </c>
      <c r="AH916" s="350">
        <v>20188681.675614458</v>
      </c>
      <c r="AI916" s="350">
        <v>27020836.372793838</v>
      </c>
      <c r="AJ916" s="350">
        <v>33905134.67715846</v>
      </c>
      <c r="AK916" s="348">
        <v>101199960.40435113</v>
      </c>
      <c r="AL916" s="369"/>
      <c r="AM916" s="350">
        <v>7791160.0816634456</v>
      </c>
      <c r="AN916" s="350">
        <v>16693417.046591606</v>
      </c>
      <c r="AO916" s="350">
        <v>25345814.970701817</v>
      </c>
      <c r="AP916" s="350">
        <v>33743030.993475534</v>
      </c>
      <c r="AQ916" s="350">
        <v>41882154.14899914</v>
      </c>
      <c r="AR916" s="348">
        <v>125455577.24143155</v>
      </c>
      <c r="AS916" s="369"/>
      <c r="AT916" s="350">
        <f t="shared" si="387"/>
        <v>1113537.6957131969</v>
      </c>
      <c r="AU916" s="350">
        <f t="shared" si="370"/>
        <v>3285731.7537574787</v>
      </c>
      <c r="AV916" s="350">
        <f t="shared" si="371"/>
        <v>5157133.2950873598</v>
      </c>
      <c r="AW916" s="350">
        <f t="shared" si="372"/>
        <v>6722194.6206816956</v>
      </c>
      <c r="AX916" s="350">
        <f t="shared" si="373"/>
        <v>7977019.4718406796</v>
      </c>
      <c r="AY916" s="350">
        <f t="shared" si="374"/>
        <v>24255616.837080419</v>
      </c>
      <c r="AZ916" s="365"/>
      <c r="BA916" s="377">
        <f t="shared" si="375"/>
        <v>0</v>
      </c>
      <c r="BB916" s="377">
        <f t="shared" si="376"/>
        <v>0</v>
      </c>
      <c r="BC916" s="377">
        <f t="shared" si="377"/>
        <v>0</v>
      </c>
      <c r="BD916" s="377">
        <f t="shared" si="378"/>
        <v>0</v>
      </c>
      <c r="BE916" s="377">
        <f t="shared" si="379"/>
        <v>0</v>
      </c>
      <c r="BF916" s="377">
        <f t="shared" si="380"/>
        <v>0</v>
      </c>
      <c r="BG916" s="328"/>
    </row>
    <row r="917" spans="2:59">
      <c r="B917" s="332">
        <v>902</v>
      </c>
      <c r="C917" s="350">
        <v>4932664.5091391914</v>
      </c>
      <c r="D917" s="350">
        <v>9187078.4732534587</v>
      </c>
      <c r="E917" s="350">
        <v>13473485.64284257</v>
      </c>
      <c r="F917" s="350">
        <v>17792213.91687952</v>
      </c>
      <c r="G917" s="350">
        <v>22143966.975815997</v>
      </c>
      <c r="H917" s="348">
        <v>67529409.517930746</v>
      </c>
      <c r="I917" s="369"/>
      <c r="J917" s="350">
        <v>5707568.1582732927</v>
      </c>
      <c r="K917" s="350">
        <v>11474732.899952631</v>
      </c>
      <c r="L917" s="350">
        <v>17112000.554887086</v>
      </c>
      <c r="M917" s="350">
        <v>22615197.473253876</v>
      </c>
      <c r="N917" s="350">
        <v>27981622.339881845</v>
      </c>
      <c r="O917" s="348">
        <v>84891121.426248729</v>
      </c>
      <c r="P917" s="369"/>
      <c r="Q917" s="350">
        <f t="shared" si="381"/>
        <v>774903.64913410135</v>
      </c>
      <c r="R917" s="350">
        <f t="shared" si="382"/>
        <v>2287654.4266991727</v>
      </c>
      <c r="S917" s="350">
        <f t="shared" si="383"/>
        <v>3638514.9120445158</v>
      </c>
      <c r="T917" s="350">
        <f t="shared" si="384"/>
        <v>4822983.5563743562</v>
      </c>
      <c r="U917" s="350">
        <f t="shared" si="385"/>
        <v>5837655.3640658483</v>
      </c>
      <c r="V917" s="350">
        <f t="shared" si="386"/>
        <v>17361711.908317983</v>
      </c>
      <c r="W917" s="365"/>
      <c r="X917" s="377">
        <f t="shared" si="364"/>
        <v>0</v>
      </c>
      <c r="Y917" s="377">
        <f t="shared" si="365"/>
        <v>0</v>
      </c>
      <c r="Z917" s="377">
        <f t="shared" si="366"/>
        <v>0</v>
      </c>
      <c r="AA917" s="377">
        <f t="shared" si="367"/>
        <v>0</v>
      </c>
      <c r="AB917" s="377">
        <f t="shared" si="368"/>
        <v>0</v>
      </c>
      <c r="AC917" s="377">
        <f t="shared" si="369"/>
        <v>0</v>
      </c>
      <c r="AD917" s="376"/>
      <c r="AE917" s="332">
        <v>902</v>
      </c>
      <c r="AF917" s="350">
        <v>7041861.6368491631</v>
      </c>
      <c r="AG917" s="350">
        <v>14139024.228324912</v>
      </c>
      <c r="AH917" s="350">
        <v>21289898.525736783</v>
      </c>
      <c r="AI917" s="350">
        <v>28494721.631684236</v>
      </c>
      <c r="AJ917" s="350">
        <v>35754532.58297874</v>
      </c>
      <c r="AK917" s="348">
        <v>106720038.60557385</v>
      </c>
      <c r="AL917" s="369"/>
      <c r="AM917" s="350">
        <v>8087039.5581595134</v>
      </c>
      <c r="AN917" s="350">
        <v>17221110.367256701</v>
      </c>
      <c r="AO917" s="350">
        <v>26087826.704058692</v>
      </c>
      <c r="AP917" s="350">
        <v>34681611.879981816</v>
      </c>
      <c r="AQ917" s="350">
        <v>42999265.399740666</v>
      </c>
      <c r="AR917" s="348">
        <v>129076853.90919739</v>
      </c>
      <c r="AS917" s="369"/>
      <c r="AT917" s="350">
        <f t="shared" si="387"/>
        <v>1045177.9213103503</v>
      </c>
      <c r="AU917" s="350">
        <f t="shared" si="370"/>
        <v>3082086.1389317885</v>
      </c>
      <c r="AV917" s="350">
        <f t="shared" si="371"/>
        <v>4797928.1783219092</v>
      </c>
      <c r="AW917" s="350">
        <f t="shared" si="372"/>
        <v>6186890.2482975796</v>
      </c>
      <c r="AX917" s="350">
        <f t="shared" si="373"/>
        <v>7244732.8167619258</v>
      </c>
      <c r="AY917" s="350">
        <f t="shared" si="374"/>
        <v>22356815.303623542</v>
      </c>
      <c r="AZ917" s="365"/>
      <c r="BA917" s="377">
        <f t="shared" si="375"/>
        <v>0</v>
      </c>
      <c r="BB917" s="377">
        <f t="shared" si="376"/>
        <v>0</v>
      </c>
      <c r="BC917" s="377">
        <f t="shared" si="377"/>
        <v>0</v>
      </c>
      <c r="BD917" s="377">
        <f t="shared" si="378"/>
        <v>0</v>
      </c>
      <c r="BE917" s="377">
        <f t="shared" si="379"/>
        <v>0</v>
      </c>
      <c r="BF917" s="377">
        <f t="shared" si="380"/>
        <v>0</v>
      </c>
      <c r="BG917" s="328"/>
    </row>
    <row r="918" spans="2:59">
      <c r="B918" s="332">
        <v>903</v>
      </c>
      <c r="C918" s="350">
        <v>9357901.4083522391</v>
      </c>
      <c r="D918" s="350">
        <v>17598460.680818468</v>
      </c>
      <c r="E918" s="350">
        <v>25901045.417667091</v>
      </c>
      <c r="F918" s="350">
        <v>34266239.457395062</v>
      </c>
      <c r="G918" s="350">
        <v>42695383.475993976</v>
      </c>
      <c r="H918" s="348">
        <v>129819030.44022684</v>
      </c>
      <c r="I918" s="369"/>
      <c r="J918" s="350">
        <v>10860640.020844337</v>
      </c>
      <c r="K918" s="350">
        <v>22034849.610232402</v>
      </c>
      <c r="L918" s="350">
        <v>32942114.463072516</v>
      </c>
      <c r="M918" s="350">
        <v>43574923.486021042</v>
      </c>
      <c r="N918" s="350">
        <v>53928672.807816222</v>
      </c>
      <c r="O918" s="348">
        <v>163341200.38798654</v>
      </c>
      <c r="P918" s="369"/>
      <c r="Q918" s="350">
        <f t="shared" si="381"/>
        <v>1502738.6124920975</v>
      </c>
      <c r="R918" s="350">
        <f t="shared" si="382"/>
        <v>4436388.9294139333</v>
      </c>
      <c r="S918" s="350">
        <f t="shared" si="383"/>
        <v>7041069.0454054251</v>
      </c>
      <c r="T918" s="350">
        <f t="shared" si="384"/>
        <v>9308684.02862598</v>
      </c>
      <c r="U918" s="350">
        <f t="shared" si="385"/>
        <v>11233289.331822246</v>
      </c>
      <c r="V918" s="350">
        <f t="shared" si="386"/>
        <v>33522169.947759703</v>
      </c>
      <c r="W918" s="365"/>
      <c r="X918" s="377">
        <f t="shared" si="364"/>
        <v>0</v>
      </c>
      <c r="Y918" s="377">
        <f t="shared" si="365"/>
        <v>0</v>
      </c>
      <c r="Z918" s="377">
        <f t="shared" si="366"/>
        <v>0</v>
      </c>
      <c r="AA918" s="377">
        <f t="shared" si="367"/>
        <v>0</v>
      </c>
      <c r="AB918" s="377">
        <f t="shared" si="368"/>
        <v>0</v>
      </c>
      <c r="AC918" s="377">
        <f t="shared" si="369"/>
        <v>0</v>
      </c>
      <c r="AD918" s="376"/>
      <c r="AE918" s="332">
        <v>903</v>
      </c>
      <c r="AF918" s="350">
        <v>5991957.5091456566</v>
      </c>
      <c r="AG918" s="350">
        <v>12030970.894624317</v>
      </c>
      <c r="AH918" s="350">
        <v>18115687.856275052</v>
      </c>
      <c r="AI918" s="350">
        <v>24246310.14596045</v>
      </c>
      <c r="AJ918" s="350">
        <v>30423721.88562806</v>
      </c>
      <c r="AK918" s="348">
        <v>90808648.291633531</v>
      </c>
      <c r="AL918" s="369"/>
      <c r="AM918" s="350">
        <v>7078434.9780435441</v>
      </c>
      <c r="AN918" s="350">
        <v>15238164.124206886</v>
      </c>
      <c r="AO918" s="350">
        <v>23176304.034563426</v>
      </c>
      <c r="AP918" s="350">
        <v>30888053.719464011</v>
      </c>
      <c r="AQ918" s="350">
        <v>38370889.506947644</v>
      </c>
      <c r="AR918" s="348">
        <v>114751846.36322552</v>
      </c>
      <c r="AS918" s="369"/>
      <c r="AT918" s="350">
        <f t="shared" si="387"/>
        <v>1086477.4688978875</v>
      </c>
      <c r="AU918" s="350">
        <f t="shared" si="370"/>
        <v>3207193.2295825686</v>
      </c>
      <c r="AV918" s="350">
        <f t="shared" si="371"/>
        <v>5060616.1782883741</v>
      </c>
      <c r="AW918" s="350">
        <f t="shared" si="372"/>
        <v>6641743.5735035613</v>
      </c>
      <c r="AX918" s="350">
        <f t="shared" si="373"/>
        <v>7947167.6213195845</v>
      </c>
      <c r="AY918" s="350">
        <f t="shared" si="374"/>
        <v>23943198.071591988</v>
      </c>
      <c r="AZ918" s="365"/>
      <c r="BA918" s="377">
        <f t="shared" si="375"/>
        <v>0</v>
      </c>
      <c r="BB918" s="377">
        <f t="shared" si="376"/>
        <v>0</v>
      </c>
      <c r="BC918" s="377">
        <f t="shared" si="377"/>
        <v>0</v>
      </c>
      <c r="BD918" s="377">
        <f t="shared" si="378"/>
        <v>0</v>
      </c>
      <c r="BE918" s="377">
        <f t="shared" si="379"/>
        <v>0</v>
      </c>
      <c r="BF918" s="377">
        <f t="shared" si="380"/>
        <v>0</v>
      </c>
      <c r="BG918" s="328"/>
    </row>
    <row r="919" spans="2:59">
      <c r="B919" s="332">
        <v>904</v>
      </c>
      <c r="C919" s="350">
        <v>7160965.7102773376</v>
      </c>
      <c r="D919" s="350">
        <v>13597436.369175868</v>
      </c>
      <c r="E919" s="350">
        <v>20082395.980719179</v>
      </c>
      <c r="F919" s="350">
        <v>26616261.857830055</v>
      </c>
      <c r="G919" s="350">
        <v>33200064.323726997</v>
      </c>
      <c r="H919" s="348">
        <v>100657124.24172944</v>
      </c>
      <c r="I919" s="369"/>
      <c r="J919" s="350">
        <v>8087773.6854014983</v>
      </c>
      <c r="K919" s="350">
        <v>16330199.381494686</v>
      </c>
      <c r="L919" s="350">
        <v>24355344.698763341</v>
      </c>
      <c r="M919" s="350">
        <v>32157405.568828192</v>
      </c>
      <c r="N919" s="350">
        <v>39732552.384962782</v>
      </c>
      <c r="O919" s="348">
        <v>120663275.7194505</v>
      </c>
      <c r="P919" s="369"/>
      <c r="Q919" s="350">
        <f t="shared" si="381"/>
        <v>926807.97512416076</v>
      </c>
      <c r="R919" s="350">
        <f t="shared" si="382"/>
        <v>2732763.0123188179</v>
      </c>
      <c r="S919" s="350">
        <f t="shared" si="383"/>
        <v>4272948.7180441618</v>
      </c>
      <c r="T919" s="350">
        <f t="shared" si="384"/>
        <v>5541143.7109981366</v>
      </c>
      <c r="U919" s="350">
        <f t="shared" si="385"/>
        <v>6532488.0612357855</v>
      </c>
      <c r="V919" s="350">
        <f t="shared" si="386"/>
        <v>20006151.477721065</v>
      </c>
      <c r="W919" s="365"/>
      <c r="X919" s="377">
        <f t="shared" si="364"/>
        <v>0</v>
      </c>
      <c r="Y919" s="377">
        <f t="shared" si="365"/>
        <v>0</v>
      </c>
      <c r="Z919" s="377">
        <f t="shared" si="366"/>
        <v>0</v>
      </c>
      <c r="AA919" s="377">
        <f t="shared" si="367"/>
        <v>0</v>
      </c>
      <c r="AB919" s="377">
        <f t="shared" si="368"/>
        <v>0</v>
      </c>
      <c r="AC919" s="377">
        <f t="shared" si="369"/>
        <v>0</v>
      </c>
      <c r="AD919" s="376"/>
      <c r="AE919" s="332">
        <v>904</v>
      </c>
      <c r="AF919" s="350">
        <v>6322560.3372090813</v>
      </c>
      <c r="AG919" s="350">
        <v>12694772.831811063</v>
      </c>
      <c r="AH919" s="350">
        <v>19115210.571257174</v>
      </c>
      <c r="AI919" s="350">
        <v>25584086.438953616</v>
      </c>
      <c r="AJ919" s="350">
        <v>32102333.337770659</v>
      </c>
      <c r="AK919" s="348">
        <v>95818963.517001599</v>
      </c>
      <c r="AL919" s="369"/>
      <c r="AM919" s="350">
        <v>7290882.0807025693</v>
      </c>
      <c r="AN919" s="350">
        <v>15550724.36977775</v>
      </c>
      <c r="AO919" s="350">
        <v>23571417.167668454</v>
      </c>
      <c r="AP919" s="350">
        <v>31347944.966578025</v>
      </c>
      <c r="AQ919" s="350">
        <v>38877464.477323771</v>
      </c>
      <c r="AR919" s="348">
        <v>116638433.06205057</v>
      </c>
      <c r="AS919" s="369"/>
      <c r="AT919" s="350">
        <f t="shared" si="387"/>
        <v>968321.74349348806</v>
      </c>
      <c r="AU919" s="350">
        <f t="shared" si="370"/>
        <v>2855951.5379666872</v>
      </c>
      <c r="AV919" s="350">
        <f t="shared" si="371"/>
        <v>4456206.5964112803</v>
      </c>
      <c r="AW919" s="350">
        <f t="shared" si="372"/>
        <v>5763858.5276244096</v>
      </c>
      <c r="AX919" s="350">
        <f t="shared" si="373"/>
        <v>6775131.139553111</v>
      </c>
      <c r="AY919" s="350">
        <f t="shared" si="374"/>
        <v>20819469.545048967</v>
      </c>
      <c r="AZ919" s="365"/>
      <c r="BA919" s="377">
        <f t="shared" si="375"/>
        <v>0</v>
      </c>
      <c r="BB919" s="377">
        <f t="shared" si="376"/>
        <v>0</v>
      </c>
      <c r="BC919" s="377">
        <f t="shared" si="377"/>
        <v>0</v>
      </c>
      <c r="BD919" s="377">
        <f t="shared" si="378"/>
        <v>0</v>
      </c>
      <c r="BE919" s="377">
        <f t="shared" si="379"/>
        <v>0</v>
      </c>
      <c r="BF919" s="377">
        <f t="shared" si="380"/>
        <v>0</v>
      </c>
      <c r="BG919" s="328"/>
    </row>
    <row r="920" spans="2:59">
      <c r="B920" s="332">
        <v>905</v>
      </c>
      <c r="C920" s="350">
        <v>9648707.5931848716</v>
      </c>
      <c r="D920" s="350">
        <v>18142204.550471257</v>
      </c>
      <c r="E920" s="350">
        <v>26699629.769888029</v>
      </c>
      <c r="F920" s="350">
        <v>35321585.943301007</v>
      </c>
      <c r="G920" s="350">
        <v>44009455.303628497</v>
      </c>
      <c r="H920" s="348">
        <v>133821583.16047367</v>
      </c>
      <c r="I920" s="369"/>
      <c r="J920" s="350">
        <v>10978633.808362324</v>
      </c>
      <c r="K920" s="350">
        <v>22065434.682128213</v>
      </c>
      <c r="L920" s="350">
        <v>32867020.319733616</v>
      </c>
      <c r="M920" s="350">
        <v>43375829.564465143</v>
      </c>
      <c r="N920" s="350">
        <v>53587018.604314126</v>
      </c>
      <c r="O920" s="348">
        <v>162873936.97900343</v>
      </c>
      <c r="P920" s="369"/>
      <c r="Q920" s="350">
        <f t="shared" si="381"/>
        <v>1329926.2151774522</v>
      </c>
      <c r="R920" s="350">
        <f t="shared" si="382"/>
        <v>3923230.1316569559</v>
      </c>
      <c r="S920" s="350">
        <f t="shared" si="383"/>
        <v>6167390.5498455875</v>
      </c>
      <c r="T920" s="350">
        <f t="shared" si="384"/>
        <v>8054243.6211641356</v>
      </c>
      <c r="U920" s="350">
        <f t="shared" si="385"/>
        <v>9577563.3006856292</v>
      </c>
      <c r="V920" s="350">
        <f t="shared" si="386"/>
        <v>29052353.818529755</v>
      </c>
      <c r="W920" s="365"/>
      <c r="X920" s="377">
        <f t="shared" si="364"/>
        <v>0</v>
      </c>
      <c r="Y920" s="377">
        <f t="shared" si="365"/>
        <v>0</v>
      </c>
      <c r="Z920" s="377">
        <f t="shared" si="366"/>
        <v>0</v>
      </c>
      <c r="AA920" s="377">
        <f t="shared" si="367"/>
        <v>0</v>
      </c>
      <c r="AB920" s="377">
        <f t="shared" si="368"/>
        <v>0</v>
      </c>
      <c r="AC920" s="377">
        <f t="shared" si="369"/>
        <v>0</v>
      </c>
      <c r="AD920" s="376"/>
      <c r="AE920" s="332">
        <v>905</v>
      </c>
      <c r="AF920" s="350">
        <v>5161799.0254822671</v>
      </c>
      <c r="AG920" s="350">
        <v>10364134.549467433</v>
      </c>
      <c r="AH920" s="350">
        <v>15605841.626836613</v>
      </c>
      <c r="AI920" s="350">
        <v>20887094.057648651</v>
      </c>
      <c r="AJ920" s="350">
        <v>26208653.472772978</v>
      </c>
      <c r="AK920" s="348">
        <v>78227522.732207954</v>
      </c>
      <c r="AL920" s="369"/>
      <c r="AM920" s="350">
        <v>5978746.6019347049</v>
      </c>
      <c r="AN920" s="350">
        <v>12774056.663030446</v>
      </c>
      <c r="AO920" s="350">
        <v>19374913.481317259</v>
      </c>
      <c r="AP920" s="350">
        <v>25777214.881013885</v>
      </c>
      <c r="AQ920" s="350">
        <v>31978666.310919259</v>
      </c>
      <c r="AR920" s="348">
        <v>95883597.938215554</v>
      </c>
      <c r="AS920" s="369"/>
      <c r="AT920" s="350">
        <f t="shared" si="387"/>
        <v>816947.57645243779</v>
      </c>
      <c r="AU920" s="350">
        <f t="shared" si="370"/>
        <v>2409922.1135630123</v>
      </c>
      <c r="AV920" s="350">
        <f t="shared" si="371"/>
        <v>3769071.8544806466</v>
      </c>
      <c r="AW920" s="350">
        <f t="shared" si="372"/>
        <v>4890120.8233652338</v>
      </c>
      <c r="AX920" s="350">
        <f t="shared" si="373"/>
        <v>5770012.8381462805</v>
      </c>
      <c r="AY920" s="350">
        <f t="shared" si="374"/>
        <v>17656075.2060076</v>
      </c>
      <c r="AZ920" s="365"/>
      <c r="BA920" s="377">
        <f t="shared" si="375"/>
        <v>0</v>
      </c>
      <c r="BB920" s="377">
        <f t="shared" si="376"/>
        <v>0</v>
      </c>
      <c r="BC920" s="377">
        <f t="shared" si="377"/>
        <v>0</v>
      </c>
      <c r="BD920" s="377">
        <f t="shared" si="378"/>
        <v>0</v>
      </c>
      <c r="BE920" s="377">
        <f t="shared" si="379"/>
        <v>0</v>
      </c>
      <c r="BF920" s="377">
        <f t="shared" si="380"/>
        <v>0</v>
      </c>
      <c r="BG920" s="328"/>
    </row>
    <row r="921" spans="2:59">
      <c r="B921" s="332">
        <v>906</v>
      </c>
      <c r="C921" s="350">
        <v>7355521.3109807111</v>
      </c>
      <c r="D921" s="350">
        <v>14034626.041477311</v>
      </c>
      <c r="E921" s="350">
        <v>20764069.264707848</v>
      </c>
      <c r="F921" s="350">
        <v>27544264.338557307</v>
      </c>
      <c r="G921" s="350">
        <v>34376271.860581905</v>
      </c>
      <c r="H921" s="348">
        <v>104074752.81630509</v>
      </c>
      <c r="I921" s="369"/>
      <c r="J921" s="350">
        <v>8140624.9938642904</v>
      </c>
      <c r="K921" s="350">
        <v>16346534.315669583</v>
      </c>
      <c r="L921" s="350">
        <v>24319781.871013224</v>
      </c>
      <c r="M921" s="350">
        <v>32054448.733746417</v>
      </c>
      <c r="N921" s="350">
        <v>39546450.062419355</v>
      </c>
      <c r="O921" s="348">
        <v>120407839.97671287</v>
      </c>
      <c r="P921" s="369"/>
      <c r="Q921" s="350">
        <f t="shared" si="381"/>
        <v>785103.68288357928</v>
      </c>
      <c r="R921" s="350">
        <f t="shared" si="382"/>
        <v>2311908.2741922718</v>
      </c>
      <c r="S921" s="350">
        <f t="shared" si="383"/>
        <v>3555712.6063053757</v>
      </c>
      <c r="T921" s="350">
        <f t="shared" si="384"/>
        <v>4510184.3951891102</v>
      </c>
      <c r="U921" s="350">
        <f t="shared" si="385"/>
        <v>5170178.2018374503</v>
      </c>
      <c r="V921" s="350">
        <f t="shared" si="386"/>
        <v>16333087.160407782</v>
      </c>
      <c r="W921" s="365"/>
      <c r="X921" s="377">
        <f t="shared" si="364"/>
        <v>0</v>
      </c>
      <c r="Y921" s="377">
        <f t="shared" si="365"/>
        <v>0</v>
      </c>
      <c r="Z921" s="377">
        <f t="shared" si="366"/>
        <v>0</v>
      </c>
      <c r="AA921" s="377">
        <f t="shared" si="367"/>
        <v>0</v>
      </c>
      <c r="AB921" s="377">
        <f t="shared" si="368"/>
        <v>0</v>
      </c>
      <c r="AC921" s="377">
        <f t="shared" si="369"/>
        <v>0</v>
      </c>
      <c r="AD921" s="376"/>
      <c r="AE921" s="332">
        <v>906</v>
      </c>
      <c r="AF921" s="350">
        <v>8085401.9260199005</v>
      </c>
      <c r="AG921" s="350">
        <v>16234299.908637784</v>
      </c>
      <c r="AH921" s="350">
        <v>24444869.1868621</v>
      </c>
      <c r="AI921" s="350">
        <v>32717381.99975593</v>
      </c>
      <c r="AJ921" s="350">
        <v>41053031.360001132</v>
      </c>
      <c r="AK921" s="348">
        <v>122534984.38127685</v>
      </c>
      <c r="AL921" s="369"/>
      <c r="AM921" s="350">
        <v>9372405.5376721844</v>
      </c>
      <c r="AN921" s="350">
        <v>20030961.181110095</v>
      </c>
      <c r="AO921" s="350">
        <v>30385146.707650416</v>
      </c>
      <c r="AP921" s="350">
        <v>40428534.424042791</v>
      </c>
      <c r="AQ921" s="350">
        <v>50157537.600107178</v>
      </c>
      <c r="AR921" s="348">
        <v>150374585.45058268</v>
      </c>
      <c r="AS921" s="369"/>
      <c r="AT921" s="350">
        <f t="shared" si="387"/>
        <v>1287003.6116522839</v>
      </c>
      <c r="AU921" s="350">
        <f t="shared" si="370"/>
        <v>3796661.2724723108</v>
      </c>
      <c r="AV921" s="350">
        <f t="shared" si="371"/>
        <v>5940277.5207883157</v>
      </c>
      <c r="AW921" s="350">
        <f t="shared" si="372"/>
        <v>7711152.424286861</v>
      </c>
      <c r="AX921" s="350">
        <f t="shared" si="373"/>
        <v>9104506.2401060462</v>
      </c>
      <c r="AY921" s="350">
        <f t="shared" si="374"/>
        <v>27839601.069305837</v>
      </c>
      <c r="AZ921" s="365"/>
      <c r="BA921" s="377">
        <f t="shared" si="375"/>
        <v>0</v>
      </c>
      <c r="BB921" s="377">
        <f t="shared" si="376"/>
        <v>0</v>
      </c>
      <c r="BC921" s="377">
        <f t="shared" si="377"/>
        <v>0</v>
      </c>
      <c r="BD921" s="377">
        <f t="shared" si="378"/>
        <v>0</v>
      </c>
      <c r="BE921" s="377">
        <f t="shared" si="379"/>
        <v>0</v>
      </c>
      <c r="BF921" s="377">
        <f t="shared" si="380"/>
        <v>0</v>
      </c>
      <c r="BG921" s="328"/>
    </row>
    <row r="922" spans="2:59">
      <c r="B922" s="332">
        <v>907</v>
      </c>
      <c r="C922" s="350">
        <v>8457501.2664212249</v>
      </c>
      <c r="D922" s="350">
        <v>15824037.563174307</v>
      </c>
      <c r="E922" s="350">
        <v>23245994.208411168</v>
      </c>
      <c r="F922" s="350">
        <v>30723917.174979217</v>
      </c>
      <c r="G922" s="350">
        <v>38259015.409748711</v>
      </c>
      <c r="H922" s="348">
        <v>116510465.62273464</v>
      </c>
      <c r="I922" s="369"/>
      <c r="J922" s="350">
        <v>9564648.5047905613</v>
      </c>
      <c r="K922" s="350">
        <v>19089363.654607058</v>
      </c>
      <c r="L922" s="350">
        <v>28363645.929385319</v>
      </c>
      <c r="M922" s="350">
        <v>37381052.885385737</v>
      </c>
      <c r="N922" s="350">
        <v>46137428.510552511</v>
      </c>
      <c r="O922" s="348">
        <v>140536139.48472118</v>
      </c>
      <c r="P922" s="369"/>
      <c r="Q922" s="350">
        <f t="shared" si="381"/>
        <v>1107147.2383693364</v>
      </c>
      <c r="R922" s="350">
        <f t="shared" si="382"/>
        <v>3265326.0914327502</v>
      </c>
      <c r="S922" s="350">
        <f t="shared" si="383"/>
        <v>5117651.720974151</v>
      </c>
      <c r="T922" s="350">
        <f t="shared" si="384"/>
        <v>6657135.7104065195</v>
      </c>
      <c r="U922" s="350">
        <f t="shared" si="385"/>
        <v>7878413.1008037999</v>
      </c>
      <c r="V922" s="350">
        <f t="shared" si="386"/>
        <v>24025673.861986548</v>
      </c>
      <c r="W922" s="365"/>
      <c r="X922" s="377">
        <f t="shared" si="364"/>
        <v>0</v>
      </c>
      <c r="Y922" s="377">
        <f t="shared" si="365"/>
        <v>0</v>
      </c>
      <c r="Z922" s="377">
        <f t="shared" si="366"/>
        <v>0</v>
      </c>
      <c r="AA922" s="377">
        <f t="shared" si="367"/>
        <v>0</v>
      </c>
      <c r="AB922" s="377">
        <f t="shared" si="368"/>
        <v>0</v>
      </c>
      <c r="AC922" s="377">
        <f t="shared" si="369"/>
        <v>0</v>
      </c>
      <c r="AD922" s="376"/>
      <c r="AE922" s="332">
        <v>907</v>
      </c>
      <c r="AF922" s="350">
        <v>6747021.7292505903</v>
      </c>
      <c r="AG922" s="350">
        <v>13547028.984453782</v>
      </c>
      <c r="AH922" s="350">
        <v>20398499.058121022</v>
      </c>
      <c r="AI922" s="350">
        <v>27301659.125461526</v>
      </c>
      <c r="AJ922" s="350">
        <v>34257504.719234392</v>
      </c>
      <c r="AK922" s="348">
        <v>102251713.61652131</v>
      </c>
      <c r="AL922" s="369"/>
      <c r="AM922" s="350">
        <v>7468971.4008952947</v>
      </c>
      <c r="AN922" s="350">
        <v>15671252.152194655</v>
      </c>
      <c r="AO922" s="350">
        <v>23609002.328228869</v>
      </c>
      <c r="AP922" s="350">
        <v>31276957.777771145</v>
      </c>
      <c r="AQ922" s="350">
        <v>38671768.974356219</v>
      </c>
      <c r="AR922" s="348">
        <v>116697952.63344619</v>
      </c>
      <c r="AS922" s="369"/>
      <c r="AT922" s="350">
        <f t="shared" si="387"/>
        <v>721949.67164470442</v>
      </c>
      <c r="AU922" s="350">
        <f t="shared" si="370"/>
        <v>2124223.1677408721</v>
      </c>
      <c r="AV922" s="350">
        <f t="shared" si="371"/>
        <v>3210503.2701078467</v>
      </c>
      <c r="AW922" s="350">
        <f t="shared" si="372"/>
        <v>3975298.6523096189</v>
      </c>
      <c r="AX922" s="350">
        <f t="shared" si="373"/>
        <v>4414264.2551218271</v>
      </c>
      <c r="AY922" s="350">
        <f t="shared" si="374"/>
        <v>14446239.016924873</v>
      </c>
      <c r="AZ922" s="365"/>
      <c r="BA922" s="377">
        <f t="shared" si="375"/>
        <v>0</v>
      </c>
      <c r="BB922" s="377">
        <f t="shared" si="376"/>
        <v>0</v>
      </c>
      <c r="BC922" s="377">
        <f t="shared" si="377"/>
        <v>0</v>
      </c>
      <c r="BD922" s="377">
        <f t="shared" si="378"/>
        <v>0</v>
      </c>
      <c r="BE922" s="377">
        <f t="shared" si="379"/>
        <v>0</v>
      </c>
      <c r="BF922" s="377">
        <f t="shared" si="380"/>
        <v>0</v>
      </c>
      <c r="BG922" s="328"/>
    </row>
    <row r="923" spans="2:59">
      <c r="B923" s="332">
        <v>908</v>
      </c>
      <c r="C923" s="350">
        <v>9328890.6027589589</v>
      </c>
      <c r="D923" s="350">
        <v>17629166.103723537</v>
      </c>
      <c r="E923" s="350">
        <v>25991944.367410608</v>
      </c>
      <c r="F923" s="350">
        <v>34417788.179655008</v>
      </c>
      <c r="G923" s="350">
        <v>42908036.931011796</v>
      </c>
      <c r="H923" s="348">
        <v>130275826.18455991</v>
      </c>
      <c r="I923" s="369"/>
      <c r="J923" s="350">
        <v>10545089.561094299</v>
      </c>
      <c r="K923" s="350">
        <v>21215594.593307022</v>
      </c>
      <c r="L923" s="350">
        <v>31610332.618031759</v>
      </c>
      <c r="M923" s="350">
        <v>41721698.328773588</v>
      </c>
      <c r="N923" s="350">
        <v>51544640.229234129</v>
      </c>
      <c r="O923" s="348">
        <v>156637355.33044079</v>
      </c>
      <c r="P923" s="369"/>
      <c r="Q923" s="350">
        <f t="shared" si="381"/>
        <v>1216198.95833534</v>
      </c>
      <c r="R923" s="350">
        <f t="shared" si="382"/>
        <v>3586428.4895834848</v>
      </c>
      <c r="S923" s="350">
        <f t="shared" si="383"/>
        <v>5618388.2506211512</v>
      </c>
      <c r="T923" s="350">
        <f t="shared" si="384"/>
        <v>7303910.1491185799</v>
      </c>
      <c r="U923" s="350">
        <f t="shared" si="385"/>
        <v>8636603.2982223332</v>
      </c>
      <c r="V923" s="350">
        <f t="shared" si="386"/>
        <v>26361529.145880878</v>
      </c>
      <c r="W923" s="365"/>
      <c r="X923" s="377">
        <f t="shared" si="364"/>
        <v>0</v>
      </c>
      <c r="Y923" s="377">
        <f t="shared" si="365"/>
        <v>0</v>
      </c>
      <c r="Z923" s="377">
        <f t="shared" si="366"/>
        <v>0</v>
      </c>
      <c r="AA923" s="377">
        <f t="shared" si="367"/>
        <v>0</v>
      </c>
      <c r="AB923" s="377">
        <f t="shared" si="368"/>
        <v>0</v>
      </c>
      <c r="AC923" s="377">
        <f t="shared" si="369"/>
        <v>0</v>
      </c>
      <c r="AD923" s="376"/>
      <c r="AE923" s="332">
        <v>908</v>
      </c>
      <c r="AF923" s="350">
        <v>7783467.0991908852</v>
      </c>
      <c r="AG923" s="350">
        <v>15628059.108680699</v>
      </c>
      <c r="AH923" s="350">
        <v>23532019.409902852</v>
      </c>
      <c r="AI923" s="350">
        <v>31495610.075641103</v>
      </c>
      <c r="AJ923" s="350">
        <v>39519979.5676594</v>
      </c>
      <c r="AK923" s="348">
        <v>117959135.26107496</v>
      </c>
      <c r="AL923" s="369"/>
      <c r="AM923" s="350">
        <v>8983971.695705194</v>
      </c>
      <c r="AN923" s="350">
        <v>19168944.540177565</v>
      </c>
      <c r="AO923" s="350">
        <v>29059762.188166693</v>
      </c>
      <c r="AP923" s="350">
        <v>38650247.848834664</v>
      </c>
      <c r="AQ923" s="350">
        <v>47936909.80314447</v>
      </c>
      <c r="AR923" s="348">
        <v>143799836.07602859</v>
      </c>
      <c r="AS923" s="369"/>
      <c r="AT923" s="350">
        <f t="shared" si="387"/>
        <v>1200504.5965143088</v>
      </c>
      <c r="AU923" s="350">
        <f t="shared" si="370"/>
        <v>3540885.431496866</v>
      </c>
      <c r="AV923" s="350">
        <f t="shared" si="371"/>
        <v>5527742.7782638408</v>
      </c>
      <c r="AW923" s="350">
        <f t="shared" si="372"/>
        <v>7154637.7731935605</v>
      </c>
      <c r="AX923" s="350">
        <f t="shared" si="373"/>
        <v>8416930.2354850695</v>
      </c>
      <c r="AY923" s="350">
        <f t="shared" si="374"/>
        <v>25840700.814953625</v>
      </c>
      <c r="AZ923" s="365"/>
      <c r="BA923" s="377">
        <f t="shared" si="375"/>
        <v>0</v>
      </c>
      <c r="BB923" s="377">
        <f t="shared" si="376"/>
        <v>0</v>
      </c>
      <c r="BC923" s="377">
        <f t="shared" si="377"/>
        <v>0</v>
      </c>
      <c r="BD923" s="377">
        <f t="shared" si="378"/>
        <v>0</v>
      </c>
      <c r="BE923" s="377">
        <f t="shared" si="379"/>
        <v>0</v>
      </c>
      <c r="BF923" s="377">
        <f t="shared" si="380"/>
        <v>0</v>
      </c>
      <c r="BG923" s="328"/>
    </row>
    <row r="924" spans="2:59">
      <c r="B924" s="332">
        <v>909</v>
      </c>
      <c r="C924" s="350">
        <v>7959210.3472979404</v>
      </c>
      <c r="D924" s="350">
        <v>15056480.685576543</v>
      </c>
      <c r="E924" s="350">
        <v>22207199.968278375</v>
      </c>
      <c r="F924" s="350">
        <v>29411844.819730826</v>
      </c>
      <c r="G924" s="350">
        <v>36671558.50639227</v>
      </c>
      <c r="H924" s="348">
        <v>111306294.32727596</v>
      </c>
      <c r="I924" s="369"/>
      <c r="J924" s="350">
        <v>9195144.309511235</v>
      </c>
      <c r="K924" s="350">
        <v>18704408.146723181</v>
      </c>
      <c r="L924" s="350">
        <v>27984053.64345672</v>
      </c>
      <c r="M924" s="350">
        <v>37027510.289346054</v>
      </c>
      <c r="N924" s="350">
        <v>45830647.393666558</v>
      </c>
      <c r="O924" s="348">
        <v>138741763.78270376</v>
      </c>
      <c r="P924" s="369"/>
      <c r="Q924" s="350">
        <f t="shared" si="381"/>
        <v>1235933.9622132946</v>
      </c>
      <c r="R924" s="350">
        <f t="shared" si="382"/>
        <v>3647927.4611466378</v>
      </c>
      <c r="S924" s="350">
        <f t="shared" si="383"/>
        <v>5776853.6751783453</v>
      </c>
      <c r="T924" s="350">
        <f t="shared" si="384"/>
        <v>7615665.4696152285</v>
      </c>
      <c r="U924" s="350">
        <f t="shared" si="385"/>
        <v>9159088.8872742876</v>
      </c>
      <c r="V924" s="350">
        <f t="shared" si="386"/>
        <v>27435469.455427796</v>
      </c>
      <c r="W924" s="365"/>
      <c r="X924" s="377">
        <f t="shared" si="364"/>
        <v>0</v>
      </c>
      <c r="Y924" s="377">
        <f t="shared" si="365"/>
        <v>0</v>
      </c>
      <c r="Z924" s="377">
        <f t="shared" si="366"/>
        <v>0</v>
      </c>
      <c r="AA924" s="377">
        <f t="shared" si="367"/>
        <v>0</v>
      </c>
      <c r="AB924" s="377">
        <f t="shared" si="368"/>
        <v>0</v>
      </c>
      <c r="AC924" s="377">
        <f t="shared" si="369"/>
        <v>0</v>
      </c>
      <c r="AD924" s="376"/>
      <c r="AE924" s="332">
        <v>909</v>
      </c>
      <c r="AF924" s="350">
        <v>10090595.52051984</v>
      </c>
      <c r="AG924" s="350">
        <v>20260434.228965364</v>
      </c>
      <c r="AH924" s="350">
        <v>30507238.820478283</v>
      </c>
      <c r="AI924" s="350">
        <v>40831349.049877904</v>
      </c>
      <c r="AJ924" s="350">
        <v>51234253.799044639</v>
      </c>
      <c r="AK924" s="348">
        <v>152923871.41888604</v>
      </c>
      <c r="AL924" s="369"/>
      <c r="AM924" s="350">
        <v>11211839.852126298</v>
      </c>
      <c r="AN924" s="350">
        <v>23560489.16885471</v>
      </c>
      <c r="AO924" s="350">
        <v>35514759.998048291</v>
      </c>
      <c r="AP924" s="350">
        <v>47066767.726032153</v>
      </c>
      <c r="AQ924" s="350">
        <v>58211544.978463627</v>
      </c>
      <c r="AR924" s="348">
        <v>175565401.72352508</v>
      </c>
      <c r="AS924" s="369"/>
      <c r="AT924" s="350">
        <f t="shared" si="387"/>
        <v>1121244.3316064589</v>
      </c>
      <c r="AU924" s="350">
        <f t="shared" si="370"/>
        <v>3300054.9398893453</v>
      </c>
      <c r="AV924" s="350">
        <f t="shared" si="371"/>
        <v>5007521.1775700077</v>
      </c>
      <c r="AW924" s="350">
        <f t="shared" si="372"/>
        <v>6235418.6761542484</v>
      </c>
      <c r="AX924" s="350">
        <f t="shared" si="373"/>
        <v>6977291.1794189885</v>
      </c>
      <c r="AY924" s="350">
        <f t="shared" si="374"/>
        <v>22641530.304639041</v>
      </c>
      <c r="AZ924" s="365"/>
      <c r="BA924" s="377">
        <f t="shared" si="375"/>
        <v>0</v>
      </c>
      <c r="BB924" s="377">
        <f t="shared" si="376"/>
        <v>0</v>
      </c>
      <c r="BC924" s="377">
        <f t="shared" si="377"/>
        <v>0</v>
      </c>
      <c r="BD924" s="377">
        <f t="shared" si="378"/>
        <v>0</v>
      </c>
      <c r="BE924" s="377">
        <f t="shared" si="379"/>
        <v>0</v>
      </c>
      <c r="BF924" s="377">
        <f t="shared" si="380"/>
        <v>0</v>
      </c>
      <c r="BG924" s="328"/>
    </row>
    <row r="925" spans="2:59">
      <c r="B925" s="332">
        <v>910</v>
      </c>
      <c r="C925" s="350">
        <v>7040302.3853308046</v>
      </c>
      <c r="D925" s="350">
        <v>13152456.64095179</v>
      </c>
      <c r="E925" s="350">
        <v>19310587.610131267</v>
      </c>
      <c r="F925" s="350">
        <v>25515154.29076954</v>
      </c>
      <c r="G925" s="350">
        <v>31767162.376854416</v>
      </c>
      <c r="H925" s="348">
        <v>96785663.304037809</v>
      </c>
      <c r="I925" s="369"/>
      <c r="J925" s="350">
        <v>8319226.2295062616</v>
      </c>
      <c r="K925" s="350">
        <v>16930338.573359277</v>
      </c>
      <c r="L925" s="350">
        <v>25358584.102227591</v>
      </c>
      <c r="M925" s="350">
        <v>33597982.237486348</v>
      </c>
      <c r="N925" s="350">
        <v>41644891.418728009</v>
      </c>
      <c r="O925" s="348">
        <v>125851022.56130749</v>
      </c>
      <c r="P925" s="369"/>
      <c r="Q925" s="350">
        <f t="shared" si="381"/>
        <v>1278923.844175457</v>
      </c>
      <c r="R925" s="350">
        <f t="shared" si="382"/>
        <v>3777881.9324074872</v>
      </c>
      <c r="S925" s="350">
        <f t="shared" si="383"/>
        <v>6047996.4920963235</v>
      </c>
      <c r="T925" s="350">
        <f t="shared" si="384"/>
        <v>8082827.9467168078</v>
      </c>
      <c r="U925" s="350">
        <f t="shared" si="385"/>
        <v>9877729.0418735929</v>
      </c>
      <c r="V925" s="350">
        <f t="shared" si="386"/>
        <v>29065359.257269681</v>
      </c>
      <c r="W925" s="365"/>
      <c r="X925" s="377">
        <f t="shared" si="364"/>
        <v>0</v>
      </c>
      <c r="Y925" s="377">
        <f t="shared" si="365"/>
        <v>0</v>
      </c>
      <c r="Z925" s="377">
        <f t="shared" si="366"/>
        <v>0</v>
      </c>
      <c r="AA925" s="377">
        <f t="shared" si="367"/>
        <v>0</v>
      </c>
      <c r="AB925" s="377">
        <f t="shared" si="368"/>
        <v>0</v>
      </c>
      <c r="AC925" s="377">
        <f t="shared" si="369"/>
        <v>0</v>
      </c>
      <c r="AD925" s="376"/>
      <c r="AE925" s="332">
        <v>910</v>
      </c>
      <c r="AF925" s="350">
        <v>6264648.2582846154</v>
      </c>
      <c r="AG925" s="350">
        <v>12578493.880412627</v>
      </c>
      <c r="AH925" s="350">
        <v>18940123.023773354</v>
      </c>
      <c r="AI925" s="350">
        <v>25349746.621847652</v>
      </c>
      <c r="AJ925" s="350">
        <v>31808289.03249526</v>
      </c>
      <c r="AK925" s="348">
        <v>94941300.816813499</v>
      </c>
      <c r="AL925" s="369"/>
      <c r="AM925" s="350">
        <v>7352503.4684494985</v>
      </c>
      <c r="AN925" s="350">
        <v>15789091.35913983</v>
      </c>
      <c r="AO925" s="350">
        <v>23992565.977974974</v>
      </c>
      <c r="AP925" s="350">
        <v>31957921.440065041</v>
      </c>
      <c r="AQ925" s="350">
        <v>39682470.541634269</v>
      </c>
      <c r="AR925" s="348">
        <v>118774552.7872636</v>
      </c>
      <c r="AS925" s="369"/>
      <c r="AT925" s="350">
        <f t="shared" si="387"/>
        <v>1087855.2101648832</v>
      </c>
      <c r="AU925" s="350">
        <f t="shared" si="370"/>
        <v>3210597.4787272029</v>
      </c>
      <c r="AV925" s="350">
        <f t="shared" si="371"/>
        <v>5052442.9542016201</v>
      </c>
      <c r="AW925" s="350">
        <f t="shared" si="372"/>
        <v>6608174.8182173893</v>
      </c>
      <c r="AX925" s="350">
        <f t="shared" si="373"/>
        <v>7874181.5091390088</v>
      </c>
      <c r="AY925" s="350">
        <f t="shared" si="374"/>
        <v>23833251.970450103</v>
      </c>
      <c r="AZ925" s="365"/>
      <c r="BA925" s="377">
        <f t="shared" si="375"/>
        <v>0</v>
      </c>
      <c r="BB925" s="377">
        <f t="shared" si="376"/>
        <v>0</v>
      </c>
      <c r="BC925" s="377">
        <f t="shared" si="377"/>
        <v>0</v>
      </c>
      <c r="BD925" s="377">
        <f t="shared" si="378"/>
        <v>0</v>
      </c>
      <c r="BE925" s="377">
        <f t="shared" si="379"/>
        <v>0</v>
      </c>
      <c r="BF925" s="377">
        <f t="shared" si="380"/>
        <v>0</v>
      </c>
      <c r="BG925" s="328"/>
    </row>
    <row r="926" spans="2:59">
      <c r="B926" s="332">
        <v>911</v>
      </c>
      <c r="C926" s="350">
        <v>8913804.7531816941</v>
      </c>
      <c r="D926" s="350">
        <v>16696146.01290931</v>
      </c>
      <c r="E926" s="350">
        <v>24537041.886704039</v>
      </c>
      <c r="F926" s="350">
        <v>32437063.660027966</v>
      </c>
      <c r="G926" s="350">
        <v>40397486.123728141</v>
      </c>
      <c r="H926" s="348">
        <v>122981542.43655115</v>
      </c>
      <c r="I926" s="369"/>
      <c r="J926" s="350">
        <v>10096658.79574425</v>
      </c>
      <c r="K926" s="350">
        <v>20184964.758513629</v>
      </c>
      <c r="L926" s="350">
        <v>30013716.216781452</v>
      </c>
      <c r="M926" s="350">
        <v>39575907.515835322</v>
      </c>
      <c r="N926" s="350">
        <v>48866961.462560311</v>
      </c>
      <c r="O926" s="348">
        <v>148738208.74943495</v>
      </c>
      <c r="P926" s="369"/>
      <c r="Q926" s="350">
        <f t="shared" si="381"/>
        <v>1182854.0425625555</v>
      </c>
      <c r="R926" s="350">
        <f t="shared" si="382"/>
        <v>3488818.7456043195</v>
      </c>
      <c r="S926" s="350">
        <f t="shared" si="383"/>
        <v>5476674.3300774135</v>
      </c>
      <c r="T926" s="350">
        <f t="shared" si="384"/>
        <v>7138843.8558073565</v>
      </c>
      <c r="U926" s="350">
        <f t="shared" si="385"/>
        <v>8469475.3388321698</v>
      </c>
      <c r="V926" s="350">
        <f t="shared" si="386"/>
        <v>25756666.312883794</v>
      </c>
      <c r="W926" s="365"/>
      <c r="X926" s="377">
        <f t="shared" si="364"/>
        <v>0</v>
      </c>
      <c r="Y926" s="377">
        <f t="shared" si="365"/>
        <v>0</v>
      </c>
      <c r="Z926" s="377">
        <f t="shared" si="366"/>
        <v>0</v>
      </c>
      <c r="AA926" s="377">
        <f t="shared" si="367"/>
        <v>0</v>
      </c>
      <c r="AB926" s="377">
        <f t="shared" si="368"/>
        <v>0</v>
      </c>
      <c r="AC926" s="377">
        <f t="shared" si="369"/>
        <v>0</v>
      </c>
      <c r="AD926" s="376"/>
      <c r="AE926" s="332">
        <v>911</v>
      </c>
      <c r="AF926" s="350">
        <v>7993485.0713191256</v>
      </c>
      <c r="AG926" s="350">
        <v>16049744.360314462</v>
      </c>
      <c r="AH926" s="350">
        <v>24166973.850330047</v>
      </c>
      <c r="AI926" s="350">
        <v>32345442.685547762</v>
      </c>
      <c r="AJ926" s="350">
        <v>40586330.31618537</v>
      </c>
      <c r="AK926" s="348">
        <v>121141976.28369676</v>
      </c>
      <c r="AL926" s="369"/>
      <c r="AM926" s="350">
        <v>9282878.8126446307</v>
      </c>
      <c r="AN926" s="350">
        <v>19853723.847661093</v>
      </c>
      <c r="AO926" s="350">
        <v>30124168.708260968</v>
      </c>
      <c r="AP926" s="350">
        <v>40087853.958605021</v>
      </c>
      <c r="AQ926" s="350">
        <v>49741250.881741658</v>
      </c>
      <c r="AR926" s="348">
        <v>149089876.20891339</v>
      </c>
      <c r="AS926" s="369"/>
      <c r="AT926" s="350">
        <f t="shared" si="387"/>
        <v>1289393.7413255051</v>
      </c>
      <c r="AU926" s="350">
        <f t="shared" si="370"/>
        <v>3803979.4873466305</v>
      </c>
      <c r="AV926" s="350">
        <f t="shared" si="371"/>
        <v>5957194.857930921</v>
      </c>
      <c r="AW926" s="350">
        <f t="shared" si="372"/>
        <v>7742411.2730572596</v>
      </c>
      <c r="AX926" s="350">
        <f t="shared" si="373"/>
        <v>9154920.5655562878</v>
      </c>
      <c r="AY926" s="350">
        <f t="shared" si="374"/>
        <v>27947899.92521663</v>
      </c>
      <c r="AZ926" s="365"/>
      <c r="BA926" s="377">
        <f t="shared" si="375"/>
        <v>0</v>
      </c>
      <c r="BB926" s="377">
        <f t="shared" si="376"/>
        <v>0</v>
      </c>
      <c r="BC926" s="377">
        <f t="shared" si="377"/>
        <v>0</v>
      </c>
      <c r="BD926" s="377">
        <f t="shared" si="378"/>
        <v>0</v>
      </c>
      <c r="BE926" s="377">
        <f t="shared" si="379"/>
        <v>0</v>
      </c>
      <c r="BF926" s="377">
        <f t="shared" si="380"/>
        <v>0</v>
      </c>
      <c r="BG926" s="328"/>
    </row>
    <row r="927" spans="2:59">
      <c r="B927" s="332">
        <v>912</v>
      </c>
      <c r="C927" s="350">
        <v>5473140.2234667689</v>
      </c>
      <c r="D927" s="350">
        <v>10314025.381460521</v>
      </c>
      <c r="E927" s="350">
        <v>15191354.094295943</v>
      </c>
      <c r="F927" s="350">
        <v>20105463.036384888</v>
      </c>
      <c r="G927" s="350">
        <v>25057137.041923646</v>
      </c>
      <c r="H927" s="348">
        <v>76141119.777531773</v>
      </c>
      <c r="I927" s="369"/>
      <c r="J927" s="350">
        <v>6309448.4636460086</v>
      </c>
      <c r="K927" s="350">
        <v>12782346.056950545</v>
      </c>
      <c r="L927" s="350">
        <v>19100158.709074102</v>
      </c>
      <c r="M927" s="350">
        <v>25258353.747912508</v>
      </c>
      <c r="N927" s="350">
        <v>31254044.811398886</v>
      </c>
      <c r="O927" s="348">
        <v>94704351.788982064</v>
      </c>
      <c r="P927" s="369"/>
      <c r="Q927" s="350">
        <f t="shared" si="381"/>
        <v>836308.24017923977</v>
      </c>
      <c r="R927" s="350">
        <f t="shared" si="382"/>
        <v>2468320.6754900236</v>
      </c>
      <c r="S927" s="350">
        <f t="shared" si="383"/>
        <v>3908804.6147781592</v>
      </c>
      <c r="T927" s="350">
        <f t="shared" si="384"/>
        <v>5152890.7115276195</v>
      </c>
      <c r="U927" s="350">
        <f t="shared" si="385"/>
        <v>6196907.7694752403</v>
      </c>
      <c r="V927" s="350">
        <f t="shared" si="386"/>
        <v>18563232.011450291</v>
      </c>
      <c r="W927" s="365"/>
      <c r="X927" s="377">
        <f t="shared" si="364"/>
        <v>0</v>
      </c>
      <c r="Y927" s="377">
        <f t="shared" si="365"/>
        <v>0</v>
      </c>
      <c r="Z927" s="377">
        <f t="shared" si="366"/>
        <v>0</v>
      </c>
      <c r="AA927" s="377">
        <f t="shared" si="367"/>
        <v>0</v>
      </c>
      <c r="AB927" s="377">
        <f t="shared" si="368"/>
        <v>0</v>
      </c>
      <c r="AC927" s="377">
        <f t="shared" si="369"/>
        <v>0</v>
      </c>
      <c r="AD927" s="376"/>
      <c r="AE927" s="332">
        <v>912</v>
      </c>
      <c r="AF927" s="350">
        <v>5816865.0701971659</v>
      </c>
      <c r="AG927" s="350">
        <v>11679410.985589109</v>
      </c>
      <c r="AH927" s="350">
        <v>17586324.961904828</v>
      </c>
      <c r="AI927" s="350">
        <v>23537802.855566956</v>
      </c>
      <c r="AJ927" s="350">
        <v>29534702.953381874</v>
      </c>
      <c r="AK927" s="348">
        <v>88155106.826639935</v>
      </c>
      <c r="AL927" s="369"/>
      <c r="AM927" s="350">
        <v>6697670.8384159077</v>
      </c>
      <c r="AN927" s="350">
        <v>14277080.078550436</v>
      </c>
      <c r="AO927" s="350">
        <v>21636166.132430378</v>
      </c>
      <c r="AP927" s="350">
        <v>28770317.493297338</v>
      </c>
      <c r="AQ927" s="350">
        <v>35676908.090307109</v>
      </c>
      <c r="AR927" s="348">
        <v>107058142.63300118</v>
      </c>
      <c r="AS927" s="369"/>
      <c r="AT927" s="350">
        <f t="shared" si="387"/>
        <v>880805.76821874175</v>
      </c>
      <c r="AU927" s="350">
        <f t="shared" si="370"/>
        <v>2597669.0929613262</v>
      </c>
      <c r="AV927" s="350">
        <f t="shared" si="371"/>
        <v>4049841.1705255508</v>
      </c>
      <c r="AW927" s="350">
        <f t="shared" si="372"/>
        <v>5232514.6377303824</v>
      </c>
      <c r="AX927" s="350">
        <f t="shared" si="373"/>
        <v>6142205.1369252354</v>
      </c>
      <c r="AY927" s="350">
        <f t="shared" si="374"/>
        <v>18903035.806361243</v>
      </c>
      <c r="AZ927" s="365"/>
      <c r="BA927" s="377">
        <f t="shared" si="375"/>
        <v>0</v>
      </c>
      <c r="BB927" s="377">
        <f t="shared" si="376"/>
        <v>0</v>
      </c>
      <c r="BC927" s="377">
        <f t="shared" si="377"/>
        <v>0</v>
      </c>
      <c r="BD927" s="377">
        <f t="shared" si="378"/>
        <v>0</v>
      </c>
      <c r="BE927" s="377">
        <f t="shared" si="379"/>
        <v>0</v>
      </c>
      <c r="BF927" s="377">
        <f t="shared" si="380"/>
        <v>0</v>
      </c>
      <c r="BG927" s="328"/>
    </row>
    <row r="928" spans="2:59">
      <c r="B928" s="332">
        <v>913</v>
      </c>
      <c r="C928" s="350">
        <v>8394047.7254504226</v>
      </c>
      <c r="D928" s="350">
        <v>15889891.668145888</v>
      </c>
      <c r="E928" s="350">
        <v>23442189.668477766</v>
      </c>
      <c r="F928" s="350">
        <v>31051441.946846016</v>
      </c>
      <c r="G928" s="350">
        <v>38718854.594592579</v>
      </c>
      <c r="H928" s="348">
        <v>117496425.60351267</v>
      </c>
      <c r="I928" s="369"/>
      <c r="J928" s="350">
        <v>9655903.4341551121</v>
      </c>
      <c r="K928" s="350">
        <v>19613711.736539096</v>
      </c>
      <c r="L928" s="350">
        <v>29324818.281182669</v>
      </c>
      <c r="M928" s="350">
        <v>38782406.45336023</v>
      </c>
      <c r="N928" s="350">
        <v>47982186.378881291</v>
      </c>
      <c r="O928" s="348">
        <v>145359026.28411841</v>
      </c>
      <c r="P928" s="369"/>
      <c r="Q928" s="350">
        <f t="shared" si="381"/>
        <v>1261855.7087046895</v>
      </c>
      <c r="R928" s="350">
        <f t="shared" si="382"/>
        <v>3723820.0683932081</v>
      </c>
      <c r="S928" s="350">
        <f t="shared" si="383"/>
        <v>5882628.6127049029</v>
      </c>
      <c r="T928" s="350">
        <f t="shared" si="384"/>
        <v>7730964.506514214</v>
      </c>
      <c r="U928" s="350">
        <f t="shared" si="385"/>
        <v>9263331.7842887118</v>
      </c>
      <c r="V928" s="350">
        <f t="shared" si="386"/>
        <v>27862600.680605739</v>
      </c>
      <c r="W928" s="365"/>
      <c r="X928" s="377">
        <f t="shared" si="364"/>
        <v>0</v>
      </c>
      <c r="Y928" s="377">
        <f t="shared" si="365"/>
        <v>0</v>
      </c>
      <c r="Z928" s="377">
        <f t="shared" si="366"/>
        <v>0</v>
      </c>
      <c r="AA928" s="377">
        <f t="shared" si="367"/>
        <v>0</v>
      </c>
      <c r="AB928" s="377">
        <f t="shared" si="368"/>
        <v>0</v>
      </c>
      <c r="AC928" s="377">
        <f t="shared" si="369"/>
        <v>0</v>
      </c>
      <c r="AD928" s="376"/>
      <c r="AE928" s="332">
        <v>913</v>
      </c>
      <c r="AF928" s="350">
        <v>4830560.5257371226</v>
      </c>
      <c r="AG928" s="350">
        <v>9699056.2768778354</v>
      </c>
      <c r="AH928" s="350">
        <v>14604397.064153213</v>
      </c>
      <c r="AI928" s="350">
        <v>19546745.53467514</v>
      </c>
      <c r="AJ928" s="350">
        <v>24526814.444596052</v>
      </c>
      <c r="AK928" s="348">
        <v>73207573.846039355</v>
      </c>
      <c r="AL928" s="369"/>
      <c r="AM928" s="350">
        <v>5653502.9858276453</v>
      </c>
      <c r="AN928" s="350">
        <v>12127585.551134018</v>
      </c>
      <c r="AO928" s="350">
        <v>18421442.83639057</v>
      </c>
      <c r="AP928" s="350">
        <v>24531219.383934673</v>
      </c>
      <c r="AQ928" s="350">
        <v>30454827.051611517</v>
      </c>
      <c r="AR928" s="348">
        <v>91188577.808898419</v>
      </c>
      <c r="AS928" s="369"/>
      <c r="AT928" s="350">
        <f t="shared" si="387"/>
        <v>822942.46009052265</v>
      </c>
      <c r="AU928" s="350">
        <f t="shared" si="370"/>
        <v>2428529.2742561828</v>
      </c>
      <c r="AV928" s="350">
        <f t="shared" si="371"/>
        <v>3817045.7722373568</v>
      </c>
      <c r="AW928" s="350">
        <f t="shared" si="372"/>
        <v>4984473.849259533</v>
      </c>
      <c r="AX928" s="350">
        <f t="shared" si="373"/>
        <v>5928012.6070154645</v>
      </c>
      <c r="AY928" s="350">
        <f t="shared" si="374"/>
        <v>17981003.962859064</v>
      </c>
      <c r="AZ928" s="365"/>
      <c r="BA928" s="377">
        <f t="shared" si="375"/>
        <v>0</v>
      </c>
      <c r="BB928" s="377">
        <f t="shared" si="376"/>
        <v>0</v>
      </c>
      <c r="BC928" s="377">
        <f t="shared" si="377"/>
        <v>0</v>
      </c>
      <c r="BD928" s="377">
        <f t="shared" si="378"/>
        <v>0</v>
      </c>
      <c r="BE928" s="377">
        <f t="shared" si="379"/>
        <v>0</v>
      </c>
      <c r="BF928" s="377">
        <f t="shared" si="380"/>
        <v>0</v>
      </c>
      <c r="BG928" s="328"/>
    </row>
    <row r="929" spans="2:59">
      <c r="B929" s="332">
        <v>914</v>
      </c>
      <c r="C929" s="350">
        <v>8646144.4081818685</v>
      </c>
      <c r="D929" s="350">
        <v>16494411.2663747</v>
      </c>
      <c r="E929" s="350">
        <v>24401827.378128853</v>
      </c>
      <c r="F929" s="350">
        <v>32368879.256641395</v>
      </c>
      <c r="G929" s="350">
        <v>40396813.501851663</v>
      </c>
      <c r="H929" s="348">
        <v>122308075.81117849</v>
      </c>
      <c r="I929" s="369"/>
      <c r="J929" s="350">
        <v>9700992.2379149497</v>
      </c>
      <c r="K929" s="350">
        <v>19603418.556501057</v>
      </c>
      <c r="L929" s="350">
        <v>29242894.102590442</v>
      </c>
      <c r="M929" s="350">
        <v>38612170.663479932</v>
      </c>
      <c r="N929" s="350">
        <v>47706316.128406659</v>
      </c>
      <c r="O929" s="348">
        <v>144865791.68889302</v>
      </c>
      <c r="P929" s="369"/>
      <c r="Q929" s="350">
        <f t="shared" si="381"/>
        <v>1054847.8297330812</v>
      </c>
      <c r="R929" s="350">
        <f t="shared" si="382"/>
        <v>3109007.2901263572</v>
      </c>
      <c r="S929" s="350">
        <f t="shared" si="383"/>
        <v>4841066.724461589</v>
      </c>
      <c r="T929" s="350">
        <f t="shared" si="384"/>
        <v>6243291.4068385363</v>
      </c>
      <c r="U929" s="350">
        <f t="shared" si="385"/>
        <v>7309502.6265549958</v>
      </c>
      <c r="V929" s="350">
        <f t="shared" si="386"/>
        <v>22557715.87771453</v>
      </c>
      <c r="W929" s="365"/>
      <c r="X929" s="377">
        <f t="shared" si="364"/>
        <v>0</v>
      </c>
      <c r="Y929" s="377">
        <f t="shared" si="365"/>
        <v>0</v>
      </c>
      <c r="Z929" s="377">
        <f t="shared" si="366"/>
        <v>0</v>
      </c>
      <c r="AA929" s="377">
        <f t="shared" si="367"/>
        <v>0</v>
      </c>
      <c r="AB929" s="377">
        <f t="shared" si="368"/>
        <v>0</v>
      </c>
      <c r="AC929" s="377">
        <f t="shared" si="369"/>
        <v>0</v>
      </c>
      <c r="AD929" s="376"/>
      <c r="AE929" s="332">
        <v>914</v>
      </c>
      <c r="AF929" s="350">
        <v>7015794.8348713312</v>
      </c>
      <c r="AG929" s="350">
        <v>14086685.917275051</v>
      </c>
      <c r="AH929" s="350">
        <v>21211089.88142965</v>
      </c>
      <c r="AI929" s="350">
        <v>28389242.952253826</v>
      </c>
      <c r="AJ929" s="350">
        <v>35622180.32036493</v>
      </c>
      <c r="AK929" s="348">
        <v>106324993.90619478</v>
      </c>
      <c r="AL929" s="369"/>
      <c r="AM929" s="350">
        <v>8302152.9222292006</v>
      </c>
      <c r="AN929" s="350">
        <v>17884106.771979351</v>
      </c>
      <c r="AO929" s="350">
        <v>27207035.110922895</v>
      </c>
      <c r="AP929" s="350">
        <v>36265312.584685802</v>
      </c>
      <c r="AQ929" s="350">
        <v>45055998.722513281</v>
      </c>
      <c r="AR929" s="348">
        <v>134714606.11233053</v>
      </c>
      <c r="AS929" s="369"/>
      <c r="AT929" s="350">
        <f t="shared" si="387"/>
        <v>1286358.0873578694</v>
      </c>
      <c r="AU929" s="350">
        <f t="shared" si="370"/>
        <v>3797420.8547042999</v>
      </c>
      <c r="AV929" s="350">
        <f t="shared" si="371"/>
        <v>5995945.2294932455</v>
      </c>
      <c r="AW929" s="350">
        <f t="shared" si="372"/>
        <v>7876069.6324319765</v>
      </c>
      <c r="AX929" s="350">
        <f t="shared" si="373"/>
        <v>9433818.4021483511</v>
      </c>
      <c r="AY929" s="350">
        <f t="shared" si="374"/>
        <v>28389612.20613575</v>
      </c>
      <c r="AZ929" s="365"/>
      <c r="BA929" s="377">
        <f t="shared" si="375"/>
        <v>0</v>
      </c>
      <c r="BB929" s="377">
        <f t="shared" si="376"/>
        <v>0</v>
      </c>
      <c r="BC929" s="377">
        <f t="shared" si="377"/>
        <v>0</v>
      </c>
      <c r="BD929" s="377">
        <f t="shared" si="378"/>
        <v>0</v>
      </c>
      <c r="BE929" s="377">
        <f t="shared" si="379"/>
        <v>0</v>
      </c>
      <c r="BF929" s="377">
        <f t="shared" si="380"/>
        <v>0</v>
      </c>
      <c r="BG929" s="328"/>
    </row>
    <row r="930" spans="2:59">
      <c r="B930" s="332">
        <v>915</v>
      </c>
      <c r="C930" s="350">
        <v>9035369.5884178169</v>
      </c>
      <c r="D930" s="350">
        <v>17170172.646603744</v>
      </c>
      <c r="E930" s="350">
        <v>25366263.329532027</v>
      </c>
      <c r="F930" s="350">
        <v>33624165.121079333</v>
      </c>
      <c r="G930" s="350">
        <v>41945178.491417818</v>
      </c>
      <c r="H930" s="348">
        <v>127141149.17705074</v>
      </c>
      <c r="I930" s="369"/>
      <c r="J930" s="350">
        <v>10298487.755362753</v>
      </c>
      <c r="K930" s="350">
        <v>20896126.895997398</v>
      </c>
      <c r="L930" s="350">
        <v>31222882.402112477</v>
      </c>
      <c r="M930" s="350">
        <v>41271334.917251453</v>
      </c>
      <c r="N930" s="350">
        <v>51036679.877071396</v>
      </c>
      <c r="O930" s="348">
        <v>154725511.84779549</v>
      </c>
      <c r="P930" s="369"/>
      <c r="Q930" s="350">
        <f t="shared" si="381"/>
        <v>1263118.1669449359</v>
      </c>
      <c r="R930" s="350">
        <f t="shared" si="382"/>
        <v>3725954.2493936531</v>
      </c>
      <c r="S930" s="350">
        <f t="shared" si="383"/>
        <v>5856619.0725804493</v>
      </c>
      <c r="T930" s="350">
        <f t="shared" si="384"/>
        <v>7647169.7961721197</v>
      </c>
      <c r="U930" s="350">
        <f t="shared" si="385"/>
        <v>9091501.3856535777</v>
      </c>
      <c r="V930" s="350">
        <f t="shared" si="386"/>
        <v>27584362.670744747</v>
      </c>
      <c r="W930" s="365"/>
      <c r="X930" s="377">
        <f t="shared" si="364"/>
        <v>0</v>
      </c>
      <c r="Y930" s="377">
        <f t="shared" si="365"/>
        <v>0</v>
      </c>
      <c r="Z930" s="377">
        <f t="shared" si="366"/>
        <v>0</v>
      </c>
      <c r="AA930" s="377">
        <f t="shared" si="367"/>
        <v>0</v>
      </c>
      <c r="AB930" s="377">
        <f t="shared" si="368"/>
        <v>0</v>
      </c>
      <c r="AC930" s="377">
        <f t="shared" si="369"/>
        <v>0</v>
      </c>
      <c r="AD930" s="376"/>
      <c r="AE930" s="332">
        <v>915</v>
      </c>
      <c r="AF930" s="350">
        <v>5388495.7315846598</v>
      </c>
      <c r="AG930" s="350">
        <v>10819308.250025595</v>
      </c>
      <c r="AH930" s="350">
        <v>16291221.447959915</v>
      </c>
      <c r="AI930" s="350">
        <v>21804416.758424941</v>
      </c>
      <c r="AJ930" s="350">
        <v>27359689.261715103</v>
      </c>
      <c r="AK930" s="348">
        <v>81663131.449710205</v>
      </c>
      <c r="AL930" s="369"/>
      <c r="AM930" s="350">
        <v>6417386.4965663683</v>
      </c>
      <c r="AN930" s="350">
        <v>13857224.880852509</v>
      </c>
      <c r="AO930" s="350">
        <v>21099343.177033909</v>
      </c>
      <c r="AP930" s="350">
        <v>28139409.251793791</v>
      </c>
      <c r="AQ930" s="350">
        <v>34975206.093385428</v>
      </c>
      <c r="AR930" s="348">
        <v>104488569.89963201</v>
      </c>
      <c r="AS930" s="369"/>
      <c r="AT930" s="350">
        <f t="shared" si="387"/>
        <v>1028890.7649817085</v>
      </c>
      <c r="AU930" s="350">
        <f t="shared" si="370"/>
        <v>3037916.6308269147</v>
      </c>
      <c r="AV930" s="350">
        <f t="shared" si="371"/>
        <v>4808121.7290739939</v>
      </c>
      <c r="AW930" s="350">
        <f t="shared" si="372"/>
        <v>6334992.4933688492</v>
      </c>
      <c r="AX930" s="350">
        <f t="shared" si="373"/>
        <v>7615516.8316703252</v>
      </c>
      <c r="AY930" s="350">
        <f t="shared" si="374"/>
        <v>22825438.449921802</v>
      </c>
      <c r="AZ930" s="365"/>
      <c r="BA930" s="377">
        <f t="shared" si="375"/>
        <v>0</v>
      </c>
      <c r="BB930" s="377">
        <f t="shared" si="376"/>
        <v>0</v>
      </c>
      <c r="BC930" s="377">
        <f t="shared" si="377"/>
        <v>0</v>
      </c>
      <c r="BD930" s="377">
        <f t="shared" si="378"/>
        <v>0</v>
      </c>
      <c r="BE930" s="377">
        <f t="shared" si="379"/>
        <v>0</v>
      </c>
      <c r="BF930" s="377">
        <f t="shared" si="380"/>
        <v>0</v>
      </c>
      <c r="BG930" s="328"/>
    </row>
    <row r="931" spans="2:59">
      <c r="B931" s="332">
        <v>916</v>
      </c>
      <c r="C931" s="350">
        <v>9855419.3165698797</v>
      </c>
      <c r="D931" s="350">
        <v>18641551.041845143</v>
      </c>
      <c r="E931" s="350">
        <v>27493849.740275733</v>
      </c>
      <c r="F931" s="350">
        <v>36412906.038550958</v>
      </c>
      <c r="G931" s="350">
        <v>45400135.508609459</v>
      </c>
      <c r="H931" s="348">
        <v>137803861.64585119</v>
      </c>
      <c r="I931" s="369"/>
      <c r="J931" s="350">
        <v>11035024.39611706</v>
      </c>
      <c r="K931" s="350">
        <v>22118233.065338943</v>
      </c>
      <c r="L931" s="350">
        <v>32902966.35784265</v>
      </c>
      <c r="M931" s="350">
        <v>43381312.439709052</v>
      </c>
      <c r="N931" s="350">
        <v>53547930.855429605</v>
      </c>
      <c r="O931" s="348">
        <v>162985467.11443731</v>
      </c>
      <c r="P931" s="369"/>
      <c r="Q931" s="350">
        <f t="shared" si="381"/>
        <v>1179605.0795471799</v>
      </c>
      <c r="R931" s="350">
        <f t="shared" si="382"/>
        <v>3476682.0234938003</v>
      </c>
      <c r="S931" s="350">
        <f t="shared" si="383"/>
        <v>5409116.6175669171</v>
      </c>
      <c r="T931" s="350">
        <f t="shared" si="384"/>
        <v>6968406.4011580944</v>
      </c>
      <c r="U931" s="350">
        <f t="shared" si="385"/>
        <v>8147795.3468201458</v>
      </c>
      <c r="V931" s="350">
        <f t="shared" si="386"/>
        <v>25181605.468586117</v>
      </c>
      <c r="W931" s="365"/>
      <c r="X931" s="377">
        <f t="shared" si="364"/>
        <v>0</v>
      </c>
      <c r="Y931" s="377">
        <f t="shared" si="365"/>
        <v>0</v>
      </c>
      <c r="Z931" s="377">
        <f t="shared" si="366"/>
        <v>0</v>
      </c>
      <c r="AA931" s="377">
        <f t="shared" si="367"/>
        <v>0</v>
      </c>
      <c r="AB931" s="377">
        <f t="shared" si="368"/>
        <v>0</v>
      </c>
      <c r="AC931" s="377">
        <f t="shared" si="369"/>
        <v>0</v>
      </c>
      <c r="AD931" s="376"/>
      <c r="AE931" s="332">
        <v>916</v>
      </c>
      <c r="AF931" s="350">
        <v>7397056.0976854814</v>
      </c>
      <c r="AG931" s="350">
        <v>14852202.553393314</v>
      </c>
      <c r="AH931" s="350">
        <v>22363769.95606108</v>
      </c>
      <c r="AI931" s="350">
        <v>29932007.367843024</v>
      </c>
      <c r="AJ931" s="350">
        <v>37558006.235004112</v>
      </c>
      <c r="AK931" s="348">
        <v>112103042.209987</v>
      </c>
      <c r="AL931" s="369"/>
      <c r="AM931" s="350">
        <v>8827890.5956338774</v>
      </c>
      <c r="AN931" s="350">
        <v>19077144.862551071</v>
      </c>
      <c r="AO931" s="350">
        <v>29055530.764241494</v>
      </c>
      <c r="AP931" s="350">
        <v>38757096.154569171</v>
      </c>
      <c r="AQ931" s="350">
        <v>48178816.291418388</v>
      </c>
      <c r="AR931" s="348">
        <v>143896478.668414</v>
      </c>
      <c r="AS931" s="369"/>
      <c r="AT931" s="350">
        <f t="shared" si="387"/>
        <v>1430834.497948396</v>
      </c>
      <c r="AU931" s="350">
        <f t="shared" si="370"/>
        <v>4224942.3091577571</v>
      </c>
      <c r="AV931" s="350">
        <f t="shared" si="371"/>
        <v>6691760.8081804141</v>
      </c>
      <c r="AW931" s="350">
        <f t="shared" si="372"/>
        <v>8825088.7867261469</v>
      </c>
      <c r="AX931" s="350">
        <f t="shared" si="373"/>
        <v>10620810.056414276</v>
      </c>
      <c r="AY931" s="350">
        <f t="shared" si="374"/>
        <v>31793436.458426997</v>
      </c>
      <c r="AZ931" s="365"/>
      <c r="BA931" s="377">
        <f t="shared" si="375"/>
        <v>0</v>
      </c>
      <c r="BB931" s="377">
        <f t="shared" si="376"/>
        <v>0</v>
      </c>
      <c r="BC931" s="377">
        <f t="shared" si="377"/>
        <v>0</v>
      </c>
      <c r="BD931" s="377">
        <f t="shared" si="378"/>
        <v>0</v>
      </c>
      <c r="BE931" s="377">
        <f t="shared" si="379"/>
        <v>0</v>
      </c>
      <c r="BF931" s="377">
        <f t="shared" si="380"/>
        <v>0</v>
      </c>
      <c r="BG931" s="328"/>
    </row>
    <row r="932" spans="2:59">
      <c r="B932" s="332">
        <v>917</v>
      </c>
      <c r="C932" s="350">
        <v>5416218.2050159341</v>
      </c>
      <c r="D932" s="350">
        <v>10182675.942138642</v>
      </c>
      <c r="E932" s="350">
        <v>14985009.099731531</v>
      </c>
      <c r="F932" s="350">
        <v>19823556.285453171</v>
      </c>
      <c r="G932" s="350">
        <v>24699093.360210825</v>
      </c>
      <c r="H932" s="348">
        <v>75106552.892550096</v>
      </c>
      <c r="I932" s="369"/>
      <c r="J932" s="350">
        <v>6080033.9811494341</v>
      </c>
      <c r="K932" s="350">
        <v>12139615.078210266</v>
      </c>
      <c r="L932" s="350">
        <v>18042017.75583671</v>
      </c>
      <c r="M932" s="350">
        <v>23782816.423148416</v>
      </c>
      <c r="N932" s="350">
        <v>29358995.124805495</v>
      </c>
      <c r="O932" s="348">
        <v>89403478.363150328</v>
      </c>
      <c r="P932" s="369"/>
      <c r="Q932" s="350">
        <f t="shared" si="381"/>
        <v>663815.77613350004</v>
      </c>
      <c r="R932" s="350">
        <f t="shared" si="382"/>
        <v>1956939.1360716242</v>
      </c>
      <c r="S932" s="350">
        <f t="shared" si="383"/>
        <v>3057008.6561051793</v>
      </c>
      <c r="T932" s="350">
        <f t="shared" si="384"/>
        <v>3959260.1376952454</v>
      </c>
      <c r="U932" s="350">
        <f t="shared" si="385"/>
        <v>4659901.7645946704</v>
      </c>
      <c r="V932" s="350">
        <f t="shared" si="386"/>
        <v>14296925.470600232</v>
      </c>
      <c r="W932" s="365"/>
      <c r="X932" s="377">
        <f t="shared" si="364"/>
        <v>0</v>
      </c>
      <c r="Y932" s="377">
        <f t="shared" si="365"/>
        <v>0</v>
      </c>
      <c r="Z932" s="377">
        <f t="shared" si="366"/>
        <v>0</v>
      </c>
      <c r="AA932" s="377">
        <f t="shared" si="367"/>
        <v>0</v>
      </c>
      <c r="AB932" s="377">
        <f t="shared" si="368"/>
        <v>0</v>
      </c>
      <c r="AC932" s="377">
        <f t="shared" si="369"/>
        <v>0</v>
      </c>
      <c r="AD932" s="376"/>
      <c r="AE932" s="332">
        <v>917</v>
      </c>
      <c r="AF932" s="350">
        <v>7631351.0922131287</v>
      </c>
      <c r="AG932" s="350">
        <v>15322632.501472201</v>
      </c>
      <c r="AH932" s="350">
        <v>23072121.939644441</v>
      </c>
      <c r="AI932" s="350">
        <v>30880076.357700303</v>
      </c>
      <c r="AJ932" s="350">
        <v>38747621.772468142</v>
      </c>
      <c r="AK932" s="348">
        <v>115653803.66349822</v>
      </c>
      <c r="AL932" s="369"/>
      <c r="AM932" s="350">
        <v>9087699.957320936</v>
      </c>
      <c r="AN932" s="350">
        <v>19622657.193720378</v>
      </c>
      <c r="AO932" s="350">
        <v>29877573.360668235</v>
      </c>
      <c r="AP932" s="350">
        <v>39846313.385110974</v>
      </c>
      <c r="AQ932" s="350">
        <v>49525736.660146117</v>
      </c>
      <c r="AR932" s="348">
        <v>147959980.55696663</v>
      </c>
      <c r="AS932" s="369"/>
      <c r="AT932" s="350">
        <f t="shared" si="387"/>
        <v>1456348.8651078073</v>
      </c>
      <c r="AU932" s="350">
        <f t="shared" si="370"/>
        <v>4300024.6922481768</v>
      </c>
      <c r="AV932" s="350">
        <f t="shared" si="371"/>
        <v>6805451.4210237935</v>
      </c>
      <c r="AW932" s="350">
        <f t="shared" si="372"/>
        <v>8966237.0274106711</v>
      </c>
      <c r="AX932" s="350">
        <f t="shared" si="373"/>
        <v>10778114.887677975</v>
      </c>
      <c r="AY932" s="350">
        <f t="shared" si="374"/>
        <v>32306176.89346841</v>
      </c>
      <c r="AZ932" s="365"/>
      <c r="BA932" s="377">
        <f t="shared" si="375"/>
        <v>0</v>
      </c>
      <c r="BB932" s="377">
        <f t="shared" si="376"/>
        <v>0</v>
      </c>
      <c r="BC932" s="377">
        <f t="shared" si="377"/>
        <v>0</v>
      </c>
      <c r="BD932" s="377">
        <f t="shared" si="378"/>
        <v>0</v>
      </c>
      <c r="BE932" s="377">
        <f t="shared" si="379"/>
        <v>0</v>
      </c>
      <c r="BF932" s="377">
        <f t="shared" si="380"/>
        <v>0</v>
      </c>
      <c r="BG932" s="328"/>
    </row>
    <row r="933" spans="2:59">
      <c r="B933" s="332">
        <v>918</v>
      </c>
      <c r="C933" s="350">
        <v>7429237.907898522</v>
      </c>
      <c r="D933" s="350">
        <v>13905717.246232361</v>
      </c>
      <c r="E933" s="350">
        <v>20430922.64206101</v>
      </c>
      <c r="F933" s="350">
        <v>27005332.432474561</v>
      </c>
      <c r="G933" s="350">
        <v>33630008.767969854</v>
      </c>
      <c r="H933" s="348">
        <v>102401218.9966363</v>
      </c>
      <c r="I933" s="369"/>
      <c r="J933" s="350">
        <v>8300189.7030167086</v>
      </c>
      <c r="K933" s="350">
        <v>16472737.392828345</v>
      </c>
      <c r="L933" s="350">
        <v>24428022.105938137</v>
      </c>
      <c r="M933" s="350">
        <v>32160157.833546408</v>
      </c>
      <c r="N933" s="350">
        <v>39665127.532763608</v>
      </c>
      <c r="O933" s="348">
        <v>121026234.56809321</v>
      </c>
      <c r="P933" s="369"/>
      <c r="Q933" s="350">
        <f t="shared" si="381"/>
        <v>870951.79511818662</v>
      </c>
      <c r="R933" s="350">
        <f t="shared" si="382"/>
        <v>2567020.1465959847</v>
      </c>
      <c r="S933" s="350">
        <f t="shared" si="383"/>
        <v>3997099.4638771266</v>
      </c>
      <c r="T933" s="350">
        <f t="shared" si="384"/>
        <v>5154825.4010718465</v>
      </c>
      <c r="U933" s="350">
        <f t="shared" si="385"/>
        <v>6035118.7647937536</v>
      </c>
      <c r="V933" s="350">
        <f t="shared" si="386"/>
        <v>18625015.571456909</v>
      </c>
      <c r="W933" s="365"/>
      <c r="X933" s="377">
        <f t="shared" si="364"/>
        <v>0</v>
      </c>
      <c r="Y933" s="377">
        <f t="shared" si="365"/>
        <v>0</v>
      </c>
      <c r="Z933" s="377">
        <f t="shared" si="366"/>
        <v>0</v>
      </c>
      <c r="AA933" s="377">
        <f t="shared" si="367"/>
        <v>0</v>
      </c>
      <c r="AB933" s="377">
        <f t="shared" si="368"/>
        <v>0</v>
      </c>
      <c r="AC933" s="377">
        <f t="shared" si="369"/>
        <v>0</v>
      </c>
      <c r="AD933" s="376"/>
      <c r="AE933" s="332">
        <v>918</v>
      </c>
      <c r="AF933" s="350">
        <v>6870600.6209691642</v>
      </c>
      <c r="AG933" s="350">
        <v>13795157.254253224</v>
      </c>
      <c r="AH933" s="350">
        <v>20772119.302353576</v>
      </c>
      <c r="AI933" s="350">
        <v>27801718.101435445</v>
      </c>
      <c r="AJ933" s="350">
        <v>34884967.418501116</v>
      </c>
      <c r="AK933" s="348">
        <v>104124562.69751251</v>
      </c>
      <c r="AL933" s="369"/>
      <c r="AM933" s="350">
        <v>8310015.9681005273</v>
      </c>
      <c r="AN933" s="350">
        <v>18046863.980971325</v>
      </c>
      <c r="AO933" s="350">
        <v>27535428.541175425</v>
      </c>
      <c r="AP933" s="350">
        <v>36770149.893074416</v>
      </c>
      <c r="AQ933" s="350">
        <v>45748330.392508447</v>
      </c>
      <c r="AR933" s="348">
        <v>136410788.77583015</v>
      </c>
      <c r="AS933" s="369"/>
      <c r="AT933" s="350">
        <f t="shared" si="387"/>
        <v>1439415.3471313631</v>
      </c>
      <c r="AU933" s="350">
        <f t="shared" si="370"/>
        <v>4251706.7267181017</v>
      </c>
      <c r="AV933" s="350">
        <f t="shared" si="371"/>
        <v>6763309.2388218492</v>
      </c>
      <c r="AW933" s="350">
        <f t="shared" si="372"/>
        <v>8968431.7916389704</v>
      </c>
      <c r="AX933" s="350">
        <f t="shared" si="373"/>
        <v>10863362.974007331</v>
      </c>
      <c r="AY933" s="350">
        <f t="shared" si="374"/>
        <v>32286226.078317642</v>
      </c>
      <c r="AZ933" s="365"/>
      <c r="BA933" s="377">
        <f t="shared" si="375"/>
        <v>0</v>
      </c>
      <c r="BB933" s="377">
        <f t="shared" si="376"/>
        <v>0</v>
      </c>
      <c r="BC933" s="377">
        <f t="shared" si="377"/>
        <v>0</v>
      </c>
      <c r="BD933" s="377">
        <f t="shared" si="378"/>
        <v>0</v>
      </c>
      <c r="BE933" s="377">
        <f t="shared" si="379"/>
        <v>0</v>
      </c>
      <c r="BF933" s="377">
        <f t="shared" si="380"/>
        <v>0</v>
      </c>
      <c r="BG933" s="328"/>
    </row>
    <row r="934" spans="2:59">
      <c r="B934" s="332">
        <v>919</v>
      </c>
      <c r="C934" s="350">
        <v>6104482.9531962238</v>
      </c>
      <c r="D934" s="350">
        <v>11415605.343947098</v>
      </c>
      <c r="E934" s="350">
        <v>16766682.722170349</v>
      </c>
      <c r="F934" s="350">
        <v>22158110.498062178</v>
      </c>
      <c r="G934" s="350">
        <v>27590761.069913633</v>
      </c>
      <c r="H934" s="348">
        <v>84035642.587289482</v>
      </c>
      <c r="I934" s="369"/>
      <c r="J934" s="350">
        <v>7107213.1221465953</v>
      </c>
      <c r="K934" s="350">
        <v>14376319.644362777</v>
      </c>
      <c r="L934" s="350">
        <v>21477693.806098286</v>
      </c>
      <c r="M934" s="350">
        <v>28406363.187121525</v>
      </c>
      <c r="N934" s="350">
        <v>35159257.325354099</v>
      </c>
      <c r="O934" s="348">
        <v>106526847.08508328</v>
      </c>
      <c r="P934" s="369"/>
      <c r="Q934" s="350">
        <f t="shared" si="381"/>
        <v>1002730.1689503714</v>
      </c>
      <c r="R934" s="350">
        <f t="shared" si="382"/>
        <v>2960714.3004156798</v>
      </c>
      <c r="S934" s="350">
        <f t="shared" si="383"/>
        <v>4711011.0839279369</v>
      </c>
      <c r="T934" s="350">
        <f t="shared" si="384"/>
        <v>6248252.6890593469</v>
      </c>
      <c r="U934" s="350">
        <f t="shared" si="385"/>
        <v>7568496.2554404661</v>
      </c>
      <c r="V934" s="350">
        <f t="shared" si="386"/>
        <v>22491204.497793794</v>
      </c>
      <c r="W934" s="365"/>
      <c r="X934" s="377">
        <f t="shared" si="364"/>
        <v>0</v>
      </c>
      <c r="Y934" s="377">
        <f t="shared" si="365"/>
        <v>0</v>
      </c>
      <c r="Z934" s="377">
        <f t="shared" si="366"/>
        <v>0</v>
      </c>
      <c r="AA934" s="377">
        <f t="shared" si="367"/>
        <v>0</v>
      </c>
      <c r="AB934" s="377">
        <f t="shared" si="368"/>
        <v>0</v>
      </c>
      <c r="AC934" s="377">
        <f t="shared" si="369"/>
        <v>0</v>
      </c>
      <c r="AD934" s="376"/>
      <c r="AE934" s="332">
        <v>919</v>
      </c>
      <c r="AF934" s="350">
        <v>4707443.9835865451</v>
      </c>
      <c r="AG934" s="350">
        <v>9451856.3371253312</v>
      </c>
      <c r="AH934" s="350">
        <v>14232174.657011714</v>
      </c>
      <c r="AI934" s="350">
        <v>19048557.444969092</v>
      </c>
      <c r="AJ934" s="350">
        <v>23901699.291127048</v>
      </c>
      <c r="AK934" s="348">
        <v>71341731.713819742</v>
      </c>
      <c r="AL934" s="369"/>
      <c r="AM934" s="350">
        <v>5633509.8979960047</v>
      </c>
      <c r="AN934" s="350">
        <v>12186527.285542678</v>
      </c>
      <c r="AO934" s="350">
        <v>18567629.564618446</v>
      </c>
      <c r="AP934" s="350">
        <v>24773024.442186721</v>
      </c>
      <c r="AQ934" s="350">
        <v>30800802.678567067</v>
      </c>
      <c r="AR934" s="348">
        <v>91961493.868910909</v>
      </c>
      <c r="AS934" s="369"/>
      <c r="AT934" s="350">
        <f t="shared" si="387"/>
        <v>926065.91440945957</v>
      </c>
      <c r="AU934" s="350">
        <f t="shared" si="370"/>
        <v>2734670.9484173469</v>
      </c>
      <c r="AV934" s="350">
        <f t="shared" si="371"/>
        <v>4335454.9076067321</v>
      </c>
      <c r="AW934" s="350">
        <f t="shared" si="372"/>
        <v>5724466.9972176291</v>
      </c>
      <c r="AX934" s="350">
        <f t="shared" si="373"/>
        <v>6899103.3874400184</v>
      </c>
      <c r="AY934" s="350">
        <f t="shared" si="374"/>
        <v>20619762.155091166</v>
      </c>
      <c r="AZ934" s="365"/>
      <c r="BA934" s="377">
        <f t="shared" si="375"/>
        <v>0</v>
      </c>
      <c r="BB934" s="377">
        <f t="shared" si="376"/>
        <v>0</v>
      </c>
      <c r="BC934" s="377">
        <f t="shared" si="377"/>
        <v>0</v>
      </c>
      <c r="BD934" s="377">
        <f t="shared" si="378"/>
        <v>0</v>
      </c>
      <c r="BE934" s="377">
        <f t="shared" si="379"/>
        <v>0</v>
      </c>
      <c r="BF934" s="377">
        <f t="shared" si="380"/>
        <v>0</v>
      </c>
      <c r="BG934" s="328"/>
    </row>
    <row r="935" spans="2:59">
      <c r="B935" s="332">
        <v>920</v>
      </c>
      <c r="C935" s="350">
        <v>8562184.7580050789</v>
      </c>
      <c r="D935" s="350">
        <v>15956380.22497624</v>
      </c>
      <c r="E935" s="350">
        <v>23406183.171009056</v>
      </c>
      <c r="F935" s="350">
        <v>30912160.662527449</v>
      </c>
      <c r="G935" s="350">
        <v>38475534.471478023</v>
      </c>
      <c r="H935" s="348">
        <v>117312443.28799585</v>
      </c>
      <c r="I935" s="369"/>
      <c r="J935" s="350">
        <v>9486510.4182469528</v>
      </c>
      <c r="K935" s="350">
        <v>18679448.17290229</v>
      </c>
      <c r="L935" s="350">
        <v>27617872.747928865</v>
      </c>
      <c r="M935" s="350">
        <v>36295295.471821062</v>
      </c>
      <c r="N935" s="350">
        <v>44707265.919628575</v>
      </c>
      <c r="O935" s="348">
        <v>136786392.73052776</v>
      </c>
      <c r="P935" s="369"/>
      <c r="Q935" s="350">
        <f t="shared" si="381"/>
        <v>924325.66024187393</v>
      </c>
      <c r="R935" s="350">
        <f t="shared" si="382"/>
        <v>2723067.9479260501</v>
      </c>
      <c r="S935" s="350">
        <f t="shared" si="383"/>
        <v>4211689.576919809</v>
      </c>
      <c r="T935" s="350">
        <f t="shared" si="384"/>
        <v>5383134.8092936128</v>
      </c>
      <c r="U935" s="350">
        <f t="shared" si="385"/>
        <v>6231731.4481505528</v>
      </c>
      <c r="V935" s="350">
        <f t="shared" si="386"/>
        <v>19473949.442531914</v>
      </c>
      <c r="W935" s="365"/>
      <c r="X935" s="377">
        <f t="shared" si="364"/>
        <v>0</v>
      </c>
      <c r="Y935" s="377">
        <f t="shared" si="365"/>
        <v>0</v>
      </c>
      <c r="Z935" s="377">
        <f t="shared" si="366"/>
        <v>0</v>
      </c>
      <c r="AA935" s="377">
        <f t="shared" si="367"/>
        <v>0</v>
      </c>
      <c r="AB935" s="377">
        <f t="shared" si="368"/>
        <v>0</v>
      </c>
      <c r="AC935" s="377">
        <f t="shared" si="369"/>
        <v>0</v>
      </c>
      <c r="AD935" s="376"/>
      <c r="AE935" s="332">
        <v>920</v>
      </c>
      <c r="AF935" s="350">
        <v>7957039.8196233027</v>
      </c>
      <c r="AG935" s="350">
        <v>15976567.646072004</v>
      </c>
      <c r="AH935" s="350">
        <v>24056787.68786858</v>
      </c>
      <c r="AI935" s="350">
        <v>32197967.862067156</v>
      </c>
      <c r="AJ935" s="350">
        <v>40401282.241336189</v>
      </c>
      <c r="AK935" s="348">
        <v>120589645.25696725</v>
      </c>
      <c r="AL935" s="369"/>
      <c r="AM935" s="350">
        <v>9953816.9402034786</v>
      </c>
      <c r="AN935" s="350">
        <v>21878529.622845676</v>
      </c>
      <c r="AO935" s="350">
        <v>33525574.194349878</v>
      </c>
      <c r="AP935" s="350">
        <v>44888418.476886228</v>
      </c>
      <c r="AQ935" s="350">
        <v>55964272.209625438</v>
      </c>
      <c r="AR935" s="348">
        <v>166210611.44391072</v>
      </c>
      <c r="AS935" s="369"/>
      <c r="AT935" s="350">
        <f t="shared" si="387"/>
        <v>1996777.1205801759</v>
      </c>
      <c r="AU935" s="350">
        <f t="shared" si="370"/>
        <v>5901961.9767736718</v>
      </c>
      <c r="AV935" s="350">
        <f t="shared" si="371"/>
        <v>9468786.5064812973</v>
      </c>
      <c r="AW935" s="350">
        <f t="shared" si="372"/>
        <v>12690450.614819072</v>
      </c>
      <c r="AX935" s="350">
        <f t="shared" si="373"/>
        <v>15562989.968289249</v>
      </c>
      <c r="AY935" s="350">
        <f t="shared" si="374"/>
        <v>45620966.186943471</v>
      </c>
      <c r="AZ935" s="365"/>
      <c r="BA935" s="377">
        <f t="shared" si="375"/>
        <v>0</v>
      </c>
      <c r="BB935" s="377">
        <f t="shared" si="376"/>
        <v>0</v>
      </c>
      <c r="BC935" s="377">
        <f t="shared" si="377"/>
        <v>0</v>
      </c>
      <c r="BD935" s="377">
        <f t="shared" si="378"/>
        <v>0</v>
      </c>
      <c r="BE935" s="377">
        <f t="shared" si="379"/>
        <v>0</v>
      </c>
      <c r="BF935" s="377">
        <f t="shared" si="380"/>
        <v>0</v>
      </c>
      <c r="BG935" s="328"/>
    </row>
    <row r="936" spans="2:59">
      <c r="B936" s="332">
        <v>921</v>
      </c>
      <c r="C936" s="350">
        <v>10664826.843881072</v>
      </c>
      <c r="D936" s="350">
        <v>20028315.648756322</v>
      </c>
      <c r="E936" s="350">
        <v>29462272.921681866</v>
      </c>
      <c r="F936" s="350">
        <v>38967370.347518235</v>
      </c>
      <c r="G936" s="350">
        <v>48545134.900184035</v>
      </c>
      <c r="H936" s="348">
        <v>147667920.66202152</v>
      </c>
      <c r="I936" s="369"/>
      <c r="J936" s="350">
        <v>11824027.073620494</v>
      </c>
      <c r="K936" s="350">
        <v>23443060.30509486</v>
      </c>
      <c r="L936" s="350">
        <v>34753151.774062611</v>
      </c>
      <c r="M936" s="350">
        <v>45745459.005481288</v>
      </c>
      <c r="N936" s="350">
        <v>56413710.39487718</v>
      </c>
      <c r="O936" s="348">
        <v>172179408.55313644</v>
      </c>
      <c r="P936" s="369"/>
      <c r="Q936" s="350">
        <f t="shared" si="381"/>
        <v>1159200.229739422</v>
      </c>
      <c r="R936" s="350">
        <f t="shared" si="382"/>
        <v>3414744.656338539</v>
      </c>
      <c r="S936" s="350">
        <f t="shared" si="383"/>
        <v>5290878.8523807451</v>
      </c>
      <c r="T936" s="350">
        <f t="shared" si="384"/>
        <v>6778088.6579630524</v>
      </c>
      <c r="U936" s="350">
        <f t="shared" si="385"/>
        <v>7868575.4946931452</v>
      </c>
      <c r="V936" s="350">
        <f t="shared" si="386"/>
        <v>24511487.89111492</v>
      </c>
      <c r="W936" s="365"/>
      <c r="X936" s="377">
        <f t="shared" si="364"/>
        <v>0</v>
      </c>
      <c r="Y936" s="377">
        <f t="shared" si="365"/>
        <v>0</v>
      </c>
      <c r="Z936" s="377">
        <f t="shared" si="366"/>
        <v>0</v>
      </c>
      <c r="AA936" s="377">
        <f t="shared" si="367"/>
        <v>0</v>
      </c>
      <c r="AB936" s="377">
        <f t="shared" si="368"/>
        <v>0</v>
      </c>
      <c r="AC936" s="377">
        <f t="shared" si="369"/>
        <v>0</v>
      </c>
      <c r="AD936" s="376"/>
      <c r="AE936" s="332">
        <v>921</v>
      </c>
      <c r="AF936" s="350">
        <v>5104115.2157927845</v>
      </c>
      <c r="AG936" s="350">
        <v>10248313.929176658</v>
      </c>
      <c r="AH936" s="350">
        <v>15431444.21345368</v>
      </c>
      <c r="AI936" s="350">
        <v>20653677.926443279</v>
      </c>
      <c r="AJ936" s="350">
        <v>25915768.18768581</v>
      </c>
      <c r="AK936" s="348">
        <v>77353319.47255221</v>
      </c>
      <c r="AL936" s="369"/>
      <c r="AM936" s="350">
        <v>6399754.7990159113</v>
      </c>
      <c r="AN936" s="350">
        <v>14078040.174108582</v>
      </c>
      <c r="AO936" s="350">
        <v>21578655.755969033</v>
      </c>
      <c r="AP936" s="350">
        <v>28897407.237173639</v>
      </c>
      <c r="AQ936" s="350">
        <v>36032519.757270329</v>
      </c>
      <c r="AR936" s="348">
        <v>106986377.7235375</v>
      </c>
      <c r="AS936" s="369"/>
      <c r="AT936" s="350">
        <f t="shared" si="387"/>
        <v>1295639.5832231268</v>
      </c>
      <c r="AU936" s="350">
        <f t="shared" si="370"/>
        <v>3829726.2449319232</v>
      </c>
      <c r="AV936" s="350">
        <f t="shared" si="371"/>
        <v>6147211.5425153524</v>
      </c>
      <c r="AW936" s="350">
        <f t="shared" si="372"/>
        <v>8243729.3107303604</v>
      </c>
      <c r="AX936" s="350">
        <f t="shared" si="373"/>
        <v>10116751.569584519</v>
      </c>
      <c r="AY936" s="350">
        <f t="shared" si="374"/>
        <v>29633058.250985295</v>
      </c>
      <c r="AZ936" s="365"/>
      <c r="BA936" s="377">
        <f t="shared" si="375"/>
        <v>0</v>
      </c>
      <c r="BB936" s="377">
        <f t="shared" si="376"/>
        <v>0</v>
      </c>
      <c r="BC936" s="377">
        <f t="shared" si="377"/>
        <v>0</v>
      </c>
      <c r="BD936" s="377">
        <f t="shared" si="378"/>
        <v>0</v>
      </c>
      <c r="BE936" s="377">
        <f t="shared" si="379"/>
        <v>0</v>
      </c>
      <c r="BF936" s="377">
        <f t="shared" si="380"/>
        <v>0</v>
      </c>
      <c r="BG936" s="328"/>
    </row>
    <row r="937" spans="2:59">
      <c r="B937" s="332">
        <v>922</v>
      </c>
      <c r="C937" s="350">
        <v>9965354.8137128707</v>
      </c>
      <c r="D937" s="350">
        <v>18527874.274506487</v>
      </c>
      <c r="E937" s="350">
        <v>27154773.051888648</v>
      </c>
      <c r="F937" s="350">
        <v>35846720.945987463</v>
      </c>
      <c r="G937" s="350">
        <v>44605138.49011232</v>
      </c>
      <c r="H937" s="348">
        <v>136099861.57620779</v>
      </c>
      <c r="I937" s="369"/>
      <c r="J937" s="350">
        <v>11727889.747391185</v>
      </c>
      <c r="K937" s="350">
        <v>23733939.90689363</v>
      </c>
      <c r="L937" s="350">
        <v>35473111.232201882</v>
      </c>
      <c r="M937" s="350">
        <v>46937416.380234882</v>
      </c>
      <c r="N937" s="350">
        <v>58122106.490315571</v>
      </c>
      <c r="O937" s="348">
        <v>175994463.75703716</v>
      </c>
      <c r="P937" s="369"/>
      <c r="Q937" s="350">
        <f t="shared" si="381"/>
        <v>1762534.9336783141</v>
      </c>
      <c r="R937" s="350">
        <f t="shared" si="382"/>
        <v>5206065.6323871426</v>
      </c>
      <c r="S937" s="350">
        <f t="shared" si="383"/>
        <v>8318338.1803132333</v>
      </c>
      <c r="T937" s="350">
        <f t="shared" si="384"/>
        <v>11090695.434247419</v>
      </c>
      <c r="U937" s="350">
        <f t="shared" si="385"/>
        <v>13516968.000203252</v>
      </c>
      <c r="V937" s="350">
        <f t="shared" si="386"/>
        <v>39894602.180829376</v>
      </c>
      <c r="W937" s="365"/>
      <c r="X937" s="377">
        <f t="shared" si="364"/>
        <v>0</v>
      </c>
      <c r="Y937" s="377">
        <f t="shared" si="365"/>
        <v>0</v>
      </c>
      <c r="Z937" s="377">
        <f t="shared" si="366"/>
        <v>0</v>
      </c>
      <c r="AA937" s="377">
        <f t="shared" si="367"/>
        <v>0</v>
      </c>
      <c r="AB937" s="377">
        <f t="shared" si="368"/>
        <v>0</v>
      </c>
      <c r="AC937" s="377">
        <f t="shared" si="369"/>
        <v>0</v>
      </c>
      <c r="AD937" s="376"/>
      <c r="AE937" s="332">
        <v>922</v>
      </c>
      <c r="AF937" s="350">
        <v>5402132.7930701189</v>
      </c>
      <c r="AG937" s="350">
        <v>10846689.467193663</v>
      </c>
      <c r="AH937" s="350">
        <v>16332450.837315619</v>
      </c>
      <c r="AI937" s="350">
        <v>21859598.795639206</v>
      </c>
      <c r="AJ937" s="350">
        <v>27428930.434626888</v>
      </c>
      <c r="AK937" s="348">
        <v>81869802.327845499</v>
      </c>
      <c r="AL937" s="369"/>
      <c r="AM937" s="350">
        <v>6396109.8566414956</v>
      </c>
      <c r="AN937" s="350">
        <v>13781028.219562136</v>
      </c>
      <c r="AO937" s="350">
        <v>20966602.445969045</v>
      </c>
      <c r="AP937" s="350">
        <v>27948500.050264172</v>
      </c>
      <c r="AQ937" s="350">
        <v>34724460.413422436</v>
      </c>
      <c r="AR937" s="348">
        <v>103816700.98585927</v>
      </c>
      <c r="AS937" s="369"/>
      <c r="AT937" s="350">
        <f t="shared" si="387"/>
        <v>993977.06357137673</v>
      </c>
      <c r="AU937" s="350">
        <f t="shared" si="370"/>
        <v>2934338.7523684725</v>
      </c>
      <c r="AV937" s="350">
        <f t="shared" si="371"/>
        <v>4634151.6086534262</v>
      </c>
      <c r="AW937" s="350">
        <f t="shared" si="372"/>
        <v>6088901.2546249665</v>
      </c>
      <c r="AX937" s="350">
        <f t="shared" si="373"/>
        <v>7295529.978795547</v>
      </c>
      <c r="AY937" s="350">
        <f t="shared" si="374"/>
        <v>21946898.658013776</v>
      </c>
      <c r="AZ937" s="365"/>
      <c r="BA937" s="377">
        <f t="shared" si="375"/>
        <v>0</v>
      </c>
      <c r="BB937" s="377">
        <f t="shared" si="376"/>
        <v>0</v>
      </c>
      <c r="BC937" s="377">
        <f t="shared" si="377"/>
        <v>0</v>
      </c>
      <c r="BD937" s="377">
        <f t="shared" si="378"/>
        <v>0</v>
      </c>
      <c r="BE937" s="377">
        <f t="shared" si="379"/>
        <v>0</v>
      </c>
      <c r="BF937" s="377">
        <f t="shared" si="380"/>
        <v>0</v>
      </c>
      <c r="BG937" s="328"/>
    </row>
    <row r="938" spans="2:59">
      <c r="B938" s="332">
        <v>923</v>
      </c>
      <c r="C938" s="350">
        <v>8942594.4793145489</v>
      </c>
      <c r="D938" s="350">
        <v>16736379.113686016</v>
      </c>
      <c r="E938" s="350">
        <v>24588799.955956765</v>
      </c>
      <c r="F938" s="350">
        <v>32500433.226803657</v>
      </c>
      <c r="G938" s="350">
        <v>40472557.373367324</v>
      </c>
      <c r="H938" s="348">
        <v>123240764.14912832</v>
      </c>
      <c r="I938" s="369"/>
      <c r="J938" s="350">
        <v>10177744.542551966</v>
      </c>
      <c r="K938" s="350">
        <v>20380257.274594899</v>
      </c>
      <c r="L938" s="350">
        <v>30331676.569767281</v>
      </c>
      <c r="M938" s="350">
        <v>40024677.796052642</v>
      </c>
      <c r="N938" s="350">
        <v>49454420.072715603</v>
      </c>
      <c r="O938" s="348">
        <v>150368776.25568241</v>
      </c>
      <c r="P938" s="369"/>
      <c r="Q938" s="350">
        <f t="shared" si="381"/>
        <v>1235150.0632374175</v>
      </c>
      <c r="R938" s="350">
        <f t="shared" si="382"/>
        <v>3643878.1609088834</v>
      </c>
      <c r="S938" s="350">
        <f t="shared" si="383"/>
        <v>5742876.6138105169</v>
      </c>
      <c r="T938" s="350">
        <f t="shared" si="384"/>
        <v>7524244.5692489855</v>
      </c>
      <c r="U938" s="350">
        <f t="shared" si="385"/>
        <v>8981862.6993482783</v>
      </c>
      <c r="V938" s="350">
        <f t="shared" si="386"/>
        <v>27128012.106554091</v>
      </c>
      <c r="W938" s="365"/>
      <c r="X938" s="377">
        <f t="shared" si="364"/>
        <v>0</v>
      </c>
      <c r="Y938" s="377">
        <f t="shared" si="365"/>
        <v>0</v>
      </c>
      <c r="Z938" s="377">
        <f t="shared" si="366"/>
        <v>0</v>
      </c>
      <c r="AA938" s="377">
        <f t="shared" si="367"/>
        <v>0</v>
      </c>
      <c r="AB938" s="377">
        <f t="shared" si="368"/>
        <v>0</v>
      </c>
      <c r="AC938" s="377">
        <f t="shared" si="369"/>
        <v>0</v>
      </c>
      <c r="AD938" s="376"/>
      <c r="AE938" s="332">
        <v>923</v>
      </c>
      <c r="AF938" s="350">
        <v>6652382.2659138851</v>
      </c>
      <c r="AG938" s="350">
        <v>13357006.837743144</v>
      </c>
      <c r="AH938" s="350">
        <v>20112372.366789125</v>
      </c>
      <c r="AI938" s="350">
        <v>26918702.841708407</v>
      </c>
      <c r="AJ938" s="350">
        <v>33776979.831071168</v>
      </c>
      <c r="AK938" s="348">
        <v>100817444.14322573</v>
      </c>
      <c r="AL938" s="369"/>
      <c r="AM938" s="350">
        <v>7622212.1619294202</v>
      </c>
      <c r="AN938" s="350">
        <v>16216606.558392134</v>
      </c>
      <c r="AO938" s="350">
        <v>24557908.298508804</v>
      </c>
      <c r="AP938" s="350">
        <v>32640854.096590556</v>
      </c>
      <c r="AQ938" s="350">
        <v>40462402.709986895</v>
      </c>
      <c r="AR938" s="348">
        <v>121499983.8254078</v>
      </c>
      <c r="AS938" s="369"/>
      <c r="AT938" s="350">
        <f t="shared" si="387"/>
        <v>969829.89601553511</v>
      </c>
      <c r="AU938" s="350">
        <f t="shared" si="370"/>
        <v>2859599.7206489891</v>
      </c>
      <c r="AV938" s="350">
        <f t="shared" si="371"/>
        <v>4445535.9317196794</v>
      </c>
      <c r="AW938" s="350">
        <f t="shared" si="372"/>
        <v>5722151.2548821494</v>
      </c>
      <c r="AX938" s="350">
        <f t="shared" si="373"/>
        <v>6685422.8789157271</v>
      </c>
      <c r="AY938" s="350">
        <f t="shared" si="374"/>
        <v>20682539.682182074</v>
      </c>
      <c r="AZ938" s="365"/>
      <c r="BA938" s="377">
        <f t="shared" si="375"/>
        <v>0</v>
      </c>
      <c r="BB938" s="377">
        <f t="shared" si="376"/>
        <v>0</v>
      </c>
      <c r="BC938" s="377">
        <f t="shared" si="377"/>
        <v>0</v>
      </c>
      <c r="BD938" s="377">
        <f t="shared" si="378"/>
        <v>0</v>
      </c>
      <c r="BE938" s="377">
        <f t="shared" si="379"/>
        <v>0</v>
      </c>
      <c r="BF938" s="377">
        <f t="shared" si="380"/>
        <v>0</v>
      </c>
      <c r="BG938" s="328"/>
    </row>
    <row r="939" spans="2:59">
      <c r="B939" s="332">
        <v>924</v>
      </c>
      <c r="C939" s="350">
        <v>7323781.9679180328</v>
      </c>
      <c r="D939" s="350">
        <v>13717822.004574209</v>
      </c>
      <c r="E939" s="350">
        <v>20159970.992291108</v>
      </c>
      <c r="F939" s="350">
        <v>26650698.335975662</v>
      </c>
      <c r="G939" s="350">
        <v>33191051.428814158</v>
      </c>
      <c r="H939" s="348">
        <v>101043324.72957318</v>
      </c>
      <c r="I939" s="369"/>
      <c r="J939" s="350">
        <v>8338829.1511830753</v>
      </c>
      <c r="K939" s="350">
        <v>16712409.105953164</v>
      </c>
      <c r="L939" s="350">
        <v>24876367.657457404</v>
      </c>
      <c r="M939" s="350">
        <v>32824855.158883378</v>
      </c>
      <c r="N939" s="350">
        <v>40554069.74004221</v>
      </c>
      <c r="O939" s="348">
        <v>123306530.81351924</v>
      </c>
      <c r="P939" s="369"/>
      <c r="Q939" s="350">
        <f t="shared" si="381"/>
        <v>1015047.1832650425</v>
      </c>
      <c r="R939" s="350">
        <f t="shared" si="382"/>
        <v>2994587.1013789549</v>
      </c>
      <c r="S939" s="350">
        <f t="shared" si="383"/>
        <v>4716396.6651662961</v>
      </c>
      <c r="T939" s="350">
        <f t="shared" si="384"/>
        <v>6174156.822907716</v>
      </c>
      <c r="U939" s="350">
        <f t="shared" si="385"/>
        <v>7363018.3112280518</v>
      </c>
      <c r="V939" s="350">
        <f t="shared" si="386"/>
        <v>22263206.083946064</v>
      </c>
      <c r="W939" s="365"/>
      <c r="X939" s="377">
        <f t="shared" si="364"/>
        <v>0</v>
      </c>
      <c r="Y939" s="377">
        <f t="shared" si="365"/>
        <v>0</v>
      </c>
      <c r="Z939" s="377">
        <f t="shared" si="366"/>
        <v>0</v>
      </c>
      <c r="AA939" s="377">
        <f t="shared" si="367"/>
        <v>0</v>
      </c>
      <c r="AB939" s="377">
        <f t="shared" si="368"/>
        <v>0</v>
      </c>
      <c r="AC939" s="377">
        <f t="shared" si="369"/>
        <v>0</v>
      </c>
      <c r="AD939" s="376"/>
      <c r="AE939" s="332">
        <v>924</v>
      </c>
      <c r="AF939" s="350">
        <v>7305161.7616236713</v>
      </c>
      <c r="AG939" s="350">
        <v>14667692.219190678</v>
      </c>
      <c r="AH939" s="350">
        <v>22085942.70089205</v>
      </c>
      <c r="AI939" s="350">
        <v>29560159.174759049</v>
      </c>
      <c r="AJ939" s="350">
        <v>37091419.527915202</v>
      </c>
      <c r="AK939" s="348">
        <v>110710375.38438064</v>
      </c>
      <c r="AL939" s="369"/>
      <c r="AM939" s="350">
        <v>8400885.5471321233</v>
      </c>
      <c r="AN939" s="350">
        <v>17899024.297983117</v>
      </c>
      <c r="AO939" s="350">
        <v>27120155.414366357</v>
      </c>
      <c r="AP939" s="350">
        <v>36058490.448426351</v>
      </c>
      <c r="AQ939" s="350">
        <v>44710720.848424569</v>
      </c>
      <c r="AR939" s="348">
        <v>134189276.55633251</v>
      </c>
      <c r="AS939" s="369"/>
      <c r="AT939" s="350">
        <f t="shared" si="387"/>
        <v>1095723.785508452</v>
      </c>
      <c r="AU939" s="350">
        <f t="shared" si="370"/>
        <v>3231332.0787924398</v>
      </c>
      <c r="AV939" s="350">
        <f t="shared" si="371"/>
        <v>5034212.7134743072</v>
      </c>
      <c r="AW939" s="350">
        <f t="shared" si="372"/>
        <v>6498331.273667302</v>
      </c>
      <c r="AX939" s="350">
        <f t="shared" si="373"/>
        <v>7619301.3205093667</v>
      </c>
      <c r="AY939" s="350">
        <f t="shared" si="374"/>
        <v>23478901.171951875</v>
      </c>
      <c r="AZ939" s="365"/>
      <c r="BA939" s="377">
        <f t="shared" si="375"/>
        <v>0</v>
      </c>
      <c r="BB939" s="377">
        <f t="shared" si="376"/>
        <v>0</v>
      </c>
      <c r="BC939" s="377">
        <f t="shared" si="377"/>
        <v>0</v>
      </c>
      <c r="BD939" s="377">
        <f t="shared" si="378"/>
        <v>0</v>
      </c>
      <c r="BE939" s="377">
        <f t="shared" si="379"/>
        <v>0</v>
      </c>
      <c r="BF939" s="377">
        <f t="shared" si="380"/>
        <v>0</v>
      </c>
      <c r="BG939" s="328"/>
    </row>
    <row r="940" spans="2:59">
      <c r="B940" s="332">
        <v>925</v>
      </c>
      <c r="C940" s="350">
        <v>7204671.707819242</v>
      </c>
      <c r="D940" s="350">
        <v>13461689.516986914</v>
      </c>
      <c r="E940" s="350">
        <v>19765774.445326362</v>
      </c>
      <c r="F940" s="350">
        <v>26117395.71862223</v>
      </c>
      <c r="G940" s="350">
        <v>32517582.583561875</v>
      </c>
      <c r="H940" s="348">
        <v>99067113.972316623</v>
      </c>
      <c r="I940" s="369"/>
      <c r="J940" s="350">
        <v>8200444.2984026745</v>
      </c>
      <c r="K940" s="350">
        <v>16399454.922092171</v>
      </c>
      <c r="L940" s="350">
        <v>24391347.491056271</v>
      </c>
      <c r="M940" s="350">
        <v>32170492.13727235</v>
      </c>
      <c r="N940" s="350">
        <v>39733263.753178254</v>
      </c>
      <c r="O940" s="348">
        <v>120895002.60200171</v>
      </c>
      <c r="P940" s="369"/>
      <c r="Q940" s="350">
        <f t="shared" si="381"/>
        <v>995772.59058343247</v>
      </c>
      <c r="R940" s="350">
        <f t="shared" si="382"/>
        <v>2937765.4051052574</v>
      </c>
      <c r="S940" s="350">
        <f t="shared" si="383"/>
        <v>4625573.0457299091</v>
      </c>
      <c r="T940" s="350">
        <f t="shared" si="384"/>
        <v>6053096.4186501205</v>
      </c>
      <c r="U940" s="350">
        <f t="shared" si="385"/>
        <v>7215681.1696163788</v>
      </c>
      <c r="V940" s="350">
        <f t="shared" si="386"/>
        <v>21827888.629685089</v>
      </c>
      <c r="W940" s="365"/>
      <c r="X940" s="377">
        <f t="shared" si="364"/>
        <v>0</v>
      </c>
      <c r="Y940" s="377">
        <f t="shared" si="365"/>
        <v>0</v>
      </c>
      <c r="Z940" s="377">
        <f t="shared" si="366"/>
        <v>0</v>
      </c>
      <c r="AA940" s="377">
        <f t="shared" si="367"/>
        <v>0</v>
      </c>
      <c r="AB940" s="377">
        <f t="shared" si="368"/>
        <v>0</v>
      </c>
      <c r="AC940" s="377">
        <f t="shared" si="369"/>
        <v>0</v>
      </c>
      <c r="AD940" s="376"/>
      <c r="AE940" s="332">
        <v>925</v>
      </c>
      <c r="AF940" s="350">
        <v>6446467.5015464257</v>
      </c>
      <c r="AG940" s="350">
        <v>12943560.224829569</v>
      </c>
      <c r="AH940" s="350">
        <v>19489823.293204121</v>
      </c>
      <c r="AI940" s="350">
        <v>26085473.762085367</v>
      </c>
      <c r="AJ940" s="350">
        <v>32731462.81702387</v>
      </c>
      <c r="AK940" s="348">
        <v>97696787.598689362</v>
      </c>
      <c r="AL940" s="369"/>
      <c r="AM940" s="350">
        <v>7768162.9359387299</v>
      </c>
      <c r="AN940" s="350">
        <v>16847204.592187405</v>
      </c>
      <c r="AO940" s="350">
        <v>25692425.287454035</v>
      </c>
      <c r="AP940" s="350">
        <v>34298616.642059684</v>
      </c>
      <c r="AQ940" s="350">
        <v>42663218.310758084</v>
      </c>
      <c r="AR940" s="348">
        <v>127269627.76839794</v>
      </c>
      <c r="AS940" s="369"/>
      <c r="AT940" s="350">
        <f t="shared" si="387"/>
        <v>1321695.4343923042</v>
      </c>
      <c r="AU940" s="350">
        <f t="shared" si="370"/>
        <v>3903644.3673578352</v>
      </c>
      <c r="AV940" s="350">
        <f t="shared" si="371"/>
        <v>6202601.9942499138</v>
      </c>
      <c r="AW940" s="350">
        <f t="shared" si="372"/>
        <v>8213142.8799743168</v>
      </c>
      <c r="AX940" s="350">
        <f t="shared" si="373"/>
        <v>9931755.4937342145</v>
      </c>
      <c r="AY940" s="350">
        <f t="shared" si="374"/>
        <v>29572840.16970858</v>
      </c>
      <c r="AZ940" s="365"/>
      <c r="BA940" s="377">
        <f t="shared" si="375"/>
        <v>0</v>
      </c>
      <c r="BB940" s="377">
        <f t="shared" si="376"/>
        <v>0</v>
      </c>
      <c r="BC940" s="377">
        <f t="shared" si="377"/>
        <v>0</v>
      </c>
      <c r="BD940" s="377">
        <f t="shared" si="378"/>
        <v>0</v>
      </c>
      <c r="BE940" s="377">
        <f t="shared" si="379"/>
        <v>0</v>
      </c>
      <c r="BF940" s="377">
        <f t="shared" si="380"/>
        <v>0</v>
      </c>
      <c r="BG940" s="328"/>
    </row>
    <row r="941" spans="2:59">
      <c r="B941" s="332">
        <v>926</v>
      </c>
      <c r="C941" s="350">
        <v>8510600.9017993882</v>
      </c>
      <c r="D941" s="350">
        <v>15722713.485553704</v>
      </c>
      <c r="E941" s="350">
        <v>22989018.443109959</v>
      </c>
      <c r="F941" s="350">
        <v>30310110.46440297</v>
      </c>
      <c r="G941" s="350">
        <v>37687199.329786941</v>
      </c>
      <c r="H941" s="348">
        <v>115219642.62465297</v>
      </c>
      <c r="I941" s="369"/>
      <c r="J941" s="350">
        <v>10050955.918645632</v>
      </c>
      <c r="K941" s="350">
        <v>20273206.345256563</v>
      </c>
      <c r="L941" s="350">
        <v>30275022.115234699</v>
      </c>
      <c r="M941" s="350">
        <v>40049601.108318135</v>
      </c>
      <c r="N941" s="350">
        <v>49592920.092528425</v>
      </c>
      <c r="O941" s="348">
        <v>150241705.57998344</v>
      </c>
      <c r="P941" s="369"/>
      <c r="Q941" s="350">
        <f t="shared" si="381"/>
        <v>1540355.0168462433</v>
      </c>
      <c r="R941" s="350">
        <f t="shared" si="382"/>
        <v>4550492.8597028591</v>
      </c>
      <c r="S941" s="350">
        <f t="shared" si="383"/>
        <v>7286003.6721247397</v>
      </c>
      <c r="T941" s="350">
        <f t="shared" si="384"/>
        <v>9739490.6439151652</v>
      </c>
      <c r="U941" s="350">
        <f t="shared" si="385"/>
        <v>11905720.762741484</v>
      </c>
      <c r="V941" s="350">
        <f t="shared" si="386"/>
        <v>35022062.955330476</v>
      </c>
      <c r="W941" s="365"/>
      <c r="X941" s="377">
        <f t="shared" si="364"/>
        <v>0</v>
      </c>
      <c r="Y941" s="377">
        <f t="shared" si="365"/>
        <v>0</v>
      </c>
      <c r="Z941" s="377">
        <f t="shared" si="366"/>
        <v>0</v>
      </c>
      <c r="AA941" s="377">
        <f t="shared" si="367"/>
        <v>0</v>
      </c>
      <c r="AB941" s="377">
        <f t="shared" si="368"/>
        <v>0</v>
      </c>
      <c r="AC941" s="377">
        <f t="shared" si="369"/>
        <v>0</v>
      </c>
      <c r="AD941" s="376"/>
      <c r="AE941" s="332">
        <v>926</v>
      </c>
      <c r="AF941" s="350">
        <v>7487212.7696782835</v>
      </c>
      <c r="AG941" s="350">
        <v>15033223.913282137</v>
      </c>
      <c r="AH941" s="350">
        <v>22636343.672661927</v>
      </c>
      <c r="AI941" s="350">
        <v>30296824.14558696</v>
      </c>
      <c r="AJ941" s="350">
        <v>38015770.081068814</v>
      </c>
      <c r="AK941" s="348">
        <v>113469374.58227813</v>
      </c>
      <c r="AL941" s="369"/>
      <c r="AM941" s="350">
        <v>8863825.5408095289</v>
      </c>
      <c r="AN941" s="350">
        <v>19097135.111494169</v>
      </c>
      <c r="AO941" s="350">
        <v>29054128.654269598</v>
      </c>
      <c r="AP941" s="350">
        <v>38728801.745543368</v>
      </c>
      <c r="AQ941" s="350">
        <v>48118020.201297373</v>
      </c>
      <c r="AR941" s="348">
        <v>143861911.25341403</v>
      </c>
      <c r="AS941" s="369"/>
      <c r="AT941" s="350">
        <f t="shared" si="387"/>
        <v>1376612.7711312454</v>
      </c>
      <c r="AU941" s="350">
        <f t="shared" si="370"/>
        <v>4063911.1982120313</v>
      </c>
      <c r="AV941" s="350">
        <f t="shared" si="371"/>
        <v>6417784.9816076718</v>
      </c>
      <c r="AW941" s="350">
        <f t="shared" si="372"/>
        <v>8431977.5999564081</v>
      </c>
      <c r="AX941" s="350">
        <f t="shared" si="373"/>
        <v>10102250.120228559</v>
      </c>
      <c r="AY941" s="350">
        <f t="shared" si="374"/>
        <v>30392536.671135902</v>
      </c>
      <c r="AZ941" s="365"/>
      <c r="BA941" s="377">
        <f t="shared" si="375"/>
        <v>0</v>
      </c>
      <c r="BB941" s="377">
        <f t="shared" si="376"/>
        <v>0</v>
      </c>
      <c r="BC941" s="377">
        <f t="shared" si="377"/>
        <v>0</v>
      </c>
      <c r="BD941" s="377">
        <f t="shared" si="378"/>
        <v>0</v>
      </c>
      <c r="BE941" s="377">
        <f t="shared" si="379"/>
        <v>0</v>
      </c>
      <c r="BF941" s="377">
        <f t="shared" si="380"/>
        <v>0</v>
      </c>
      <c r="BG941" s="328"/>
    </row>
    <row r="942" spans="2:59">
      <c r="B942" s="332">
        <v>927</v>
      </c>
      <c r="C942" s="350">
        <v>5711067.3653846588</v>
      </c>
      <c r="D942" s="350">
        <v>10643243.400355231</v>
      </c>
      <c r="E942" s="350">
        <v>15612511.542864762</v>
      </c>
      <c r="F942" s="350">
        <v>20619249.993860979</v>
      </c>
      <c r="G942" s="350">
        <v>25664273.693811502</v>
      </c>
      <c r="H942" s="348">
        <v>78250345.996277139</v>
      </c>
      <c r="I942" s="369"/>
      <c r="J942" s="350">
        <v>6624816.0021516299</v>
      </c>
      <c r="K942" s="350">
        <v>13341006.522954993</v>
      </c>
      <c r="L942" s="350">
        <v>19899271.372070499</v>
      </c>
      <c r="M942" s="350">
        <v>26295081.061612152</v>
      </c>
      <c r="N942" s="350">
        <v>32525646.195986442</v>
      </c>
      <c r="O942" s="348">
        <v>98685821.154775709</v>
      </c>
      <c r="P942" s="369"/>
      <c r="Q942" s="350">
        <f t="shared" si="381"/>
        <v>913748.63676697109</v>
      </c>
      <c r="R942" s="350">
        <f t="shared" si="382"/>
        <v>2697763.1225997619</v>
      </c>
      <c r="S942" s="350">
        <f t="shared" si="383"/>
        <v>4286759.8292057365</v>
      </c>
      <c r="T942" s="350">
        <f t="shared" si="384"/>
        <v>5675831.0677511729</v>
      </c>
      <c r="U942" s="350">
        <f t="shared" si="385"/>
        <v>6861372.50217494</v>
      </c>
      <c r="V942" s="350">
        <f t="shared" si="386"/>
        <v>20435475.15849857</v>
      </c>
      <c r="W942" s="365"/>
      <c r="X942" s="377">
        <f t="shared" si="364"/>
        <v>0</v>
      </c>
      <c r="Y942" s="377">
        <f t="shared" si="365"/>
        <v>0</v>
      </c>
      <c r="Z942" s="377">
        <f t="shared" si="366"/>
        <v>0</v>
      </c>
      <c r="AA942" s="377">
        <f t="shared" si="367"/>
        <v>0</v>
      </c>
      <c r="AB942" s="377">
        <f t="shared" si="368"/>
        <v>0</v>
      </c>
      <c r="AC942" s="377">
        <f t="shared" si="369"/>
        <v>0</v>
      </c>
      <c r="AD942" s="376"/>
      <c r="AE942" s="332">
        <v>927</v>
      </c>
      <c r="AF942" s="350">
        <v>4747383.4529442303</v>
      </c>
      <c r="AG942" s="350">
        <v>9532048.9273857959</v>
      </c>
      <c r="AH942" s="350">
        <v>14352925.005946053</v>
      </c>
      <c r="AI942" s="350">
        <v>19210171.535128012</v>
      </c>
      <c r="AJ942" s="350">
        <v>24104488.998187404</v>
      </c>
      <c r="AK942" s="348">
        <v>71947017.919591501</v>
      </c>
      <c r="AL942" s="369"/>
      <c r="AM942" s="350">
        <v>5627985.6431011725</v>
      </c>
      <c r="AN942" s="350">
        <v>12131787.971640646</v>
      </c>
      <c r="AO942" s="350">
        <v>18460619.63487443</v>
      </c>
      <c r="AP942" s="350">
        <v>24610671.245821983</v>
      </c>
      <c r="AQ942" s="350">
        <v>30579963.364763901</v>
      </c>
      <c r="AR942" s="348">
        <v>91411027.860202134</v>
      </c>
      <c r="AS942" s="369"/>
      <c r="AT942" s="350">
        <f t="shared" si="387"/>
        <v>880602.19015694223</v>
      </c>
      <c r="AU942" s="350">
        <f t="shared" si="370"/>
        <v>2599739.0442548506</v>
      </c>
      <c r="AV942" s="350">
        <f t="shared" si="371"/>
        <v>4107694.6289283764</v>
      </c>
      <c r="AW942" s="350">
        <f t="shared" si="372"/>
        <v>5400499.7106939703</v>
      </c>
      <c r="AX942" s="350">
        <f t="shared" si="373"/>
        <v>6475474.3665764965</v>
      </c>
      <c r="AY942" s="350">
        <f t="shared" si="374"/>
        <v>19464009.940610632</v>
      </c>
      <c r="AZ942" s="365"/>
      <c r="BA942" s="377">
        <f t="shared" si="375"/>
        <v>0</v>
      </c>
      <c r="BB942" s="377">
        <f t="shared" si="376"/>
        <v>0</v>
      </c>
      <c r="BC942" s="377">
        <f t="shared" si="377"/>
        <v>0</v>
      </c>
      <c r="BD942" s="377">
        <f t="shared" si="378"/>
        <v>0</v>
      </c>
      <c r="BE942" s="377">
        <f t="shared" si="379"/>
        <v>0</v>
      </c>
      <c r="BF942" s="377">
        <f t="shared" si="380"/>
        <v>0</v>
      </c>
      <c r="BG942" s="328"/>
    </row>
    <row r="943" spans="2:59">
      <c r="B943" s="332">
        <v>928</v>
      </c>
      <c r="C943" s="350">
        <v>7963522.4398143068</v>
      </c>
      <c r="D943" s="350">
        <v>14951905.172006112</v>
      </c>
      <c r="E943" s="350">
        <v>21992880.496345039</v>
      </c>
      <c r="F943" s="350">
        <v>29086950.737563871</v>
      </c>
      <c r="G943" s="350">
        <v>36235255.985752255</v>
      </c>
      <c r="H943" s="348">
        <v>110230514.83148158</v>
      </c>
      <c r="I943" s="369"/>
      <c r="J943" s="350">
        <v>9220931.117960427</v>
      </c>
      <c r="K943" s="350">
        <v>18663801.275316954</v>
      </c>
      <c r="L943" s="350">
        <v>27878114.361842558</v>
      </c>
      <c r="M943" s="350">
        <v>36857579.026738577</v>
      </c>
      <c r="N943" s="350">
        <v>45598345.882339425</v>
      </c>
      <c r="O943" s="348">
        <v>138218771.66419792</v>
      </c>
      <c r="P943" s="369"/>
      <c r="Q943" s="350">
        <f t="shared" si="381"/>
        <v>1257408.6781461202</v>
      </c>
      <c r="R943" s="350">
        <f t="shared" si="382"/>
        <v>3711896.1033108421</v>
      </c>
      <c r="S943" s="350">
        <f t="shared" si="383"/>
        <v>5885233.8654975183</v>
      </c>
      <c r="T943" s="350">
        <f t="shared" si="384"/>
        <v>7770628.2891747057</v>
      </c>
      <c r="U943" s="350">
        <f t="shared" si="385"/>
        <v>9363089.8965871707</v>
      </c>
      <c r="V943" s="350">
        <f t="shared" si="386"/>
        <v>27988256.832716346</v>
      </c>
      <c r="W943" s="365"/>
      <c r="X943" s="377">
        <f t="shared" si="364"/>
        <v>0</v>
      </c>
      <c r="Y943" s="377">
        <f t="shared" si="365"/>
        <v>0</v>
      </c>
      <c r="Z943" s="377">
        <f t="shared" si="366"/>
        <v>0</v>
      </c>
      <c r="AA943" s="377">
        <f t="shared" si="367"/>
        <v>0</v>
      </c>
      <c r="AB943" s="377">
        <f t="shared" si="368"/>
        <v>0</v>
      </c>
      <c r="AC943" s="377">
        <f t="shared" si="369"/>
        <v>0</v>
      </c>
      <c r="AD943" s="376"/>
      <c r="AE943" s="332">
        <v>928</v>
      </c>
      <c r="AF943" s="350">
        <v>7181425.3848024895</v>
      </c>
      <c r="AG943" s="350">
        <v>14419247.742428329</v>
      </c>
      <c r="AH943" s="350">
        <v>21711846.326620769</v>
      </c>
      <c r="AI943" s="350">
        <v>29059462.939152464</v>
      </c>
      <c r="AJ943" s="350">
        <v>36463157.209666602</v>
      </c>
      <c r="AK943" s="348">
        <v>108835139.60267067</v>
      </c>
      <c r="AL943" s="369"/>
      <c r="AM943" s="350">
        <v>8612226.5263115633</v>
      </c>
      <c r="AN943" s="350">
        <v>18644630.202964544</v>
      </c>
      <c r="AO943" s="350">
        <v>28415309.797531679</v>
      </c>
      <c r="AP943" s="350">
        <v>37918474.886463717</v>
      </c>
      <c r="AQ943" s="350">
        <v>47151231.110305786</v>
      </c>
      <c r="AR943" s="348">
        <v>140741872.52357727</v>
      </c>
      <c r="AS943" s="369"/>
      <c r="AT943" s="350">
        <f t="shared" si="387"/>
        <v>1430801.1415090738</v>
      </c>
      <c r="AU943" s="350">
        <f t="shared" si="370"/>
        <v>4225382.4605362155</v>
      </c>
      <c r="AV943" s="350">
        <f t="shared" si="371"/>
        <v>6703463.4709109105</v>
      </c>
      <c r="AW943" s="350">
        <f t="shared" si="372"/>
        <v>8859011.9473112524</v>
      </c>
      <c r="AX943" s="350">
        <f t="shared" si="373"/>
        <v>10688073.900639184</v>
      </c>
      <c r="AY943" s="350">
        <f t="shared" si="374"/>
        <v>31906732.920906603</v>
      </c>
      <c r="AZ943" s="365"/>
      <c r="BA943" s="377">
        <f t="shared" si="375"/>
        <v>0</v>
      </c>
      <c r="BB943" s="377">
        <f t="shared" si="376"/>
        <v>0</v>
      </c>
      <c r="BC943" s="377">
        <f t="shared" si="377"/>
        <v>0</v>
      </c>
      <c r="BD943" s="377">
        <f t="shared" si="378"/>
        <v>0</v>
      </c>
      <c r="BE943" s="377">
        <f t="shared" si="379"/>
        <v>0</v>
      </c>
      <c r="BF943" s="377">
        <f t="shared" si="380"/>
        <v>0</v>
      </c>
      <c r="BG943" s="328"/>
    </row>
    <row r="944" spans="2:59">
      <c r="B944" s="332">
        <v>929</v>
      </c>
      <c r="C944" s="350">
        <v>11987888.111482484</v>
      </c>
      <c r="D944" s="350">
        <v>22713340.412216738</v>
      </c>
      <c r="E944" s="350">
        <v>33519576.722869989</v>
      </c>
      <c r="F944" s="350">
        <v>44407306.841605924</v>
      </c>
      <c r="G944" s="350">
        <v>55378253.921947554</v>
      </c>
      <c r="H944" s="348">
        <v>168006366.01012272</v>
      </c>
      <c r="I944" s="369"/>
      <c r="J944" s="350">
        <v>12951296.284476742</v>
      </c>
      <c r="K944" s="350">
        <v>25544074.496107053</v>
      </c>
      <c r="L944" s="350">
        <v>37762469.908669338</v>
      </c>
      <c r="M944" s="350">
        <v>49596791.596738562</v>
      </c>
      <c r="N944" s="350">
        <v>61039870.11326462</v>
      </c>
      <c r="O944" s="348">
        <v>186894502.39925632</v>
      </c>
      <c r="P944" s="369"/>
      <c r="Q944" s="350">
        <f t="shared" si="381"/>
        <v>963408.17299425788</v>
      </c>
      <c r="R944" s="350">
        <f t="shared" si="382"/>
        <v>2830734.0838903151</v>
      </c>
      <c r="S944" s="350">
        <f t="shared" si="383"/>
        <v>4242893.1857993491</v>
      </c>
      <c r="T944" s="350">
        <f t="shared" si="384"/>
        <v>5189484.7551326379</v>
      </c>
      <c r="U944" s="350">
        <f t="shared" si="385"/>
        <v>5661616.1913170666</v>
      </c>
      <c r="V944" s="350">
        <f t="shared" si="386"/>
        <v>18888136.389133602</v>
      </c>
      <c r="W944" s="365"/>
      <c r="X944" s="377">
        <f t="shared" si="364"/>
        <v>0</v>
      </c>
      <c r="Y944" s="377">
        <f t="shared" si="365"/>
        <v>0</v>
      </c>
      <c r="Z944" s="377">
        <f t="shared" si="366"/>
        <v>0</v>
      </c>
      <c r="AA944" s="377">
        <f t="shared" si="367"/>
        <v>0</v>
      </c>
      <c r="AB944" s="377">
        <f t="shared" si="368"/>
        <v>0</v>
      </c>
      <c r="AC944" s="377">
        <f t="shared" si="369"/>
        <v>0</v>
      </c>
      <c r="AD944" s="376"/>
      <c r="AE944" s="332">
        <v>929</v>
      </c>
      <c r="AF944" s="350">
        <v>5653389.8226954285</v>
      </c>
      <c r="AG944" s="350">
        <v>11351176.691256583</v>
      </c>
      <c r="AH944" s="350">
        <v>17092084.715466395</v>
      </c>
      <c r="AI944" s="350">
        <v>22876304.247463524</v>
      </c>
      <c r="AJ944" s="350">
        <v>28704669.45304649</v>
      </c>
      <c r="AK944" s="348">
        <v>85677624.929928422</v>
      </c>
      <c r="AL944" s="369"/>
      <c r="AM944" s="350">
        <v>6663799.7555758171</v>
      </c>
      <c r="AN944" s="350">
        <v>14333622.365829483</v>
      </c>
      <c r="AO944" s="350">
        <v>21793936.751532942</v>
      </c>
      <c r="AP944" s="350">
        <v>29040217.34800607</v>
      </c>
      <c r="AQ944" s="350">
        <v>36070068.215134859</v>
      </c>
      <c r="AR944" s="348">
        <v>107901644.43607917</v>
      </c>
      <c r="AS944" s="369"/>
      <c r="AT944" s="350">
        <f t="shared" si="387"/>
        <v>1010409.9328803886</v>
      </c>
      <c r="AU944" s="350">
        <f t="shared" si="370"/>
        <v>2982445.6745728999</v>
      </c>
      <c r="AV944" s="350">
        <f t="shared" si="371"/>
        <v>4701852.036066547</v>
      </c>
      <c r="AW944" s="350">
        <f t="shared" si="372"/>
        <v>6163913.1005425453</v>
      </c>
      <c r="AX944" s="350">
        <f t="shared" si="373"/>
        <v>7365398.7620883696</v>
      </c>
      <c r="AY944" s="350">
        <f t="shared" si="374"/>
        <v>22224019.506150752</v>
      </c>
      <c r="AZ944" s="365"/>
      <c r="BA944" s="377">
        <f t="shared" si="375"/>
        <v>0</v>
      </c>
      <c r="BB944" s="377">
        <f t="shared" si="376"/>
        <v>0</v>
      </c>
      <c r="BC944" s="377">
        <f t="shared" si="377"/>
        <v>0</v>
      </c>
      <c r="BD944" s="377">
        <f t="shared" si="378"/>
        <v>0</v>
      </c>
      <c r="BE944" s="377">
        <f t="shared" si="379"/>
        <v>0</v>
      </c>
      <c r="BF944" s="377">
        <f t="shared" si="380"/>
        <v>0</v>
      </c>
      <c r="BG944" s="328"/>
    </row>
    <row r="945" spans="2:59">
      <c r="B945" s="332">
        <v>930</v>
      </c>
      <c r="C945" s="350">
        <v>6066003.9656464737</v>
      </c>
      <c r="D945" s="350">
        <v>11529007.887463693</v>
      </c>
      <c r="E945" s="350">
        <v>17033170.605878785</v>
      </c>
      <c r="F945" s="350">
        <v>22578843.20560535</v>
      </c>
      <c r="G945" s="350">
        <v>28166898.827002056</v>
      </c>
      <c r="H945" s="348">
        <v>85373924.491596356</v>
      </c>
      <c r="I945" s="369"/>
      <c r="J945" s="350">
        <v>7106650.0158016728</v>
      </c>
      <c r="K945" s="350">
        <v>14601789.098969251</v>
      </c>
      <c r="L945" s="350">
        <v>21919185.759730034</v>
      </c>
      <c r="M945" s="350">
        <v>29053881.932472218</v>
      </c>
      <c r="N945" s="350">
        <v>36002927.794804811</v>
      </c>
      <c r="O945" s="348">
        <v>108684434.60177799</v>
      </c>
      <c r="P945" s="369"/>
      <c r="Q945" s="350">
        <f t="shared" si="381"/>
        <v>1040646.0501551991</v>
      </c>
      <c r="R945" s="350">
        <f t="shared" si="382"/>
        <v>3072781.2115055583</v>
      </c>
      <c r="S945" s="350">
        <f t="shared" si="383"/>
        <v>4886015.1538512483</v>
      </c>
      <c r="T945" s="350">
        <f t="shared" si="384"/>
        <v>6475038.7268668674</v>
      </c>
      <c r="U945" s="350">
        <f t="shared" si="385"/>
        <v>7836028.9678027555</v>
      </c>
      <c r="V945" s="350">
        <f t="shared" si="386"/>
        <v>23310510.11018163</v>
      </c>
      <c r="W945" s="365"/>
      <c r="X945" s="377">
        <f t="shared" si="364"/>
        <v>0</v>
      </c>
      <c r="Y945" s="377">
        <f t="shared" si="365"/>
        <v>0</v>
      </c>
      <c r="Z945" s="377">
        <f t="shared" si="366"/>
        <v>0</v>
      </c>
      <c r="AA945" s="377">
        <f t="shared" si="367"/>
        <v>0</v>
      </c>
      <c r="AB945" s="377">
        <f t="shared" si="368"/>
        <v>0</v>
      </c>
      <c r="AC945" s="377">
        <f t="shared" si="369"/>
        <v>0</v>
      </c>
      <c r="AD945" s="376"/>
      <c r="AE945" s="332">
        <v>930</v>
      </c>
      <c r="AF945" s="350">
        <v>6199015.7147709355</v>
      </c>
      <c r="AG945" s="350">
        <v>12446713.369695049</v>
      </c>
      <c r="AH945" s="350">
        <v>18741693.934499532</v>
      </c>
      <c r="AI945" s="350">
        <v>25084166.132788435</v>
      </c>
      <c r="AJ945" s="350">
        <v>31475044.638245322</v>
      </c>
      <c r="AK945" s="348">
        <v>93946633.789999276</v>
      </c>
      <c r="AL945" s="369"/>
      <c r="AM945" s="350">
        <v>7205790.7114719376</v>
      </c>
      <c r="AN945" s="350">
        <v>15417014.826246392</v>
      </c>
      <c r="AO945" s="350">
        <v>23395480.884142138</v>
      </c>
      <c r="AP945" s="350">
        <v>31136255.154160902</v>
      </c>
      <c r="AQ945" s="350">
        <v>38636608.012750342</v>
      </c>
      <c r="AR945" s="348">
        <v>115791149.58877172</v>
      </c>
      <c r="AS945" s="369"/>
      <c r="AT945" s="350">
        <f t="shared" si="387"/>
        <v>1006774.9967010021</v>
      </c>
      <c r="AU945" s="350">
        <f t="shared" si="370"/>
        <v>2970301.4565513432</v>
      </c>
      <c r="AV945" s="350">
        <f t="shared" si="371"/>
        <v>4653786.9496426061</v>
      </c>
      <c r="AW945" s="350">
        <f t="shared" si="372"/>
        <v>6052089.0213724673</v>
      </c>
      <c r="AX945" s="350">
        <f t="shared" si="373"/>
        <v>7161563.3745050207</v>
      </c>
      <c r="AY945" s="350">
        <f t="shared" si="374"/>
        <v>21844515.798772439</v>
      </c>
      <c r="AZ945" s="365"/>
      <c r="BA945" s="377">
        <f t="shared" si="375"/>
        <v>0</v>
      </c>
      <c r="BB945" s="377">
        <f t="shared" si="376"/>
        <v>0</v>
      </c>
      <c r="BC945" s="377">
        <f t="shared" si="377"/>
        <v>0</v>
      </c>
      <c r="BD945" s="377">
        <f t="shared" si="378"/>
        <v>0</v>
      </c>
      <c r="BE945" s="377">
        <f t="shared" si="379"/>
        <v>0</v>
      </c>
      <c r="BF945" s="377">
        <f t="shared" si="380"/>
        <v>0</v>
      </c>
      <c r="BG945" s="328"/>
    </row>
    <row r="946" spans="2:59">
      <c r="B946" s="332">
        <v>931</v>
      </c>
      <c r="C946" s="350">
        <v>6070193.3580966471</v>
      </c>
      <c r="D946" s="350">
        <v>11368583.928719494</v>
      </c>
      <c r="E946" s="350">
        <v>16706839.355030227</v>
      </c>
      <c r="F946" s="350">
        <v>22085348.966620758</v>
      </c>
      <c r="G946" s="350">
        <v>27504980.837229751</v>
      </c>
      <c r="H946" s="348">
        <v>83735946.44569689</v>
      </c>
      <c r="I946" s="369"/>
      <c r="J946" s="350">
        <v>7063670.1684513297</v>
      </c>
      <c r="K946" s="350">
        <v>14301899.124931628</v>
      </c>
      <c r="L946" s="350">
        <v>21373596.743835889</v>
      </c>
      <c r="M946" s="350">
        <v>28273770.497481249</v>
      </c>
      <c r="N946" s="350">
        <v>34999317.91995915</v>
      </c>
      <c r="O946" s="348">
        <v>106012254.45465925</v>
      </c>
      <c r="P946" s="369"/>
      <c r="Q946" s="350">
        <f t="shared" si="381"/>
        <v>993476.81035468262</v>
      </c>
      <c r="R946" s="350">
        <f t="shared" si="382"/>
        <v>2933315.1962121334</v>
      </c>
      <c r="S946" s="350">
        <f t="shared" si="383"/>
        <v>4666757.3888056614</v>
      </c>
      <c r="T946" s="350">
        <f t="shared" si="384"/>
        <v>6188421.5308604911</v>
      </c>
      <c r="U946" s="350">
        <f t="shared" si="385"/>
        <v>7494337.0827293992</v>
      </c>
      <c r="V946" s="350">
        <f t="shared" si="386"/>
        <v>22276308.008962363</v>
      </c>
      <c r="W946" s="365"/>
      <c r="X946" s="377">
        <f t="shared" si="364"/>
        <v>0</v>
      </c>
      <c r="Y946" s="377">
        <f t="shared" si="365"/>
        <v>0</v>
      </c>
      <c r="Z946" s="377">
        <f t="shared" si="366"/>
        <v>0</v>
      </c>
      <c r="AA946" s="377">
        <f t="shared" si="367"/>
        <v>0</v>
      </c>
      <c r="AB946" s="377">
        <f t="shared" si="368"/>
        <v>0</v>
      </c>
      <c r="AC946" s="377">
        <f t="shared" si="369"/>
        <v>0</v>
      </c>
      <c r="AD946" s="376"/>
      <c r="AE946" s="332">
        <v>931</v>
      </c>
      <c r="AF946" s="350">
        <v>7375214.6221969044</v>
      </c>
      <c r="AG946" s="350">
        <v>14808348.077540031</v>
      </c>
      <c r="AH946" s="350">
        <v>22297735.884279426</v>
      </c>
      <c r="AI946" s="350">
        <v>29843626.36915718</v>
      </c>
      <c r="AJ946" s="350">
        <v>37447107.755697146</v>
      </c>
      <c r="AK946" s="348">
        <v>111772032.70887069</v>
      </c>
      <c r="AL946" s="369"/>
      <c r="AM946" s="350">
        <v>8586793.0590169914</v>
      </c>
      <c r="AN946" s="350">
        <v>18383095.898689225</v>
      </c>
      <c r="AO946" s="350">
        <v>27902889.920787372</v>
      </c>
      <c r="AP946" s="350">
        <v>37140301.373028181</v>
      </c>
      <c r="AQ946" s="350">
        <v>46092096.668333933</v>
      </c>
      <c r="AR946" s="348">
        <v>138105176.91985571</v>
      </c>
      <c r="AS946" s="369"/>
      <c r="AT946" s="350">
        <f t="shared" si="387"/>
        <v>1211578.436820087</v>
      </c>
      <c r="AU946" s="350">
        <f t="shared" si="370"/>
        <v>3574747.8211491946</v>
      </c>
      <c r="AV946" s="350">
        <f t="shared" si="371"/>
        <v>5605154.0365079455</v>
      </c>
      <c r="AW946" s="350">
        <f t="shared" si="372"/>
        <v>7296675.0038710013</v>
      </c>
      <c r="AX946" s="350">
        <f t="shared" si="373"/>
        <v>8644988.9126367867</v>
      </c>
      <c r="AY946" s="350">
        <f t="shared" si="374"/>
        <v>26333144.21098502</v>
      </c>
      <c r="AZ946" s="365"/>
      <c r="BA946" s="377">
        <f t="shared" si="375"/>
        <v>0</v>
      </c>
      <c r="BB946" s="377">
        <f t="shared" si="376"/>
        <v>0</v>
      </c>
      <c r="BC946" s="377">
        <f t="shared" si="377"/>
        <v>0</v>
      </c>
      <c r="BD946" s="377">
        <f t="shared" si="378"/>
        <v>0</v>
      </c>
      <c r="BE946" s="377">
        <f t="shared" si="379"/>
        <v>0</v>
      </c>
      <c r="BF946" s="377">
        <f t="shared" si="380"/>
        <v>0</v>
      </c>
      <c r="BG946" s="328"/>
    </row>
    <row r="947" spans="2:59">
      <c r="B947" s="332">
        <v>932</v>
      </c>
      <c r="C947" s="350">
        <v>9339135.7401295248</v>
      </c>
      <c r="D947" s="350">
        <v>17721830.053855494</v>
      </c>
      <c r="E947" s="350">
        <v>26167671.435439169</v>
      </c>
      <c r="F947" s="350">
        <v>34677206.745252751</v>
      </c>
      <c r="G947" s="350">
        <v>43251779.31294664</v>
      </c>
      <c r="H947" s="348">
        <v>131157623.28762358</v>
      </c>
      <c r="I947" s="369"/>
      <c r="J947" s="350">
        <v>10497342.865379039</v>
      </c>
      <c r="K947" s="350">
        <v>21136075.279547013</v>
      </c>
      <c r="L947" s="350">
        <v>31497488.545757852</v>
      </c>
      <c r="M947" s="350">
        <v>41573775.836686015</v>
      </c>
      <c r="N947" s="350">
        <v>51359625.90845897</v>
      </c>
      <c r="O947" s="348">
        <v>156064308.43582889</v>
      </c>
      <c r="P947" s="369"/>
      <c r="Q947" s="350">
        <f t="shared" si="381"/>
        <v>1158207.1252495144</v>
      </c>
      <c r="R947" s="350">
        <f t="shared" si="382"/>
        <v>3414245.2256915197</v>
      </c>
      <c r="S947" s="350">
        <f t="shared" si="383"/>
        <v>5329817.1103186831</v>
      </c>
      <c r="T947" s="350">
        <f t="shared" si="384"/>
        <v>6896569.0914332643</v>
      </c>
      <c r="U947" s="350">
        <f t="shared" si="385"/>
        <v>8107846.5955123305</v>
      </c>
      <c r="V947" s="350">
        <f t="shared" si="386"/>
        <v>24906685.14820531</v>
      </c>
      <c r="W947" s="365"/>
      <c r="X947" s="377">
        <f t="shared" si="364"/>
        <v>0</v>
      </c>
      <c r="Y947" s="377">
        <f t="shared" si="365"/>
        <v>0</v>
      </c>
      <c r="Z947" s="377">
        <f t="shared" si="366"/>
        <v>0</v>
      </c>
      <c r="AA947" s="377">
        <f t="shared" si="367"/>
        <v>0</v>
      </c>
      <c r="AB947" s="377">
        <f t="shared" si="368"/>
        <v>0</v>
      </c>
      <c r="AC947" s="377">
        <f t="shared" si="369"/>
        <v>0</v>
      </c>
      <c r="AD947" s="376"/>
      <c r="AE947" s="332">
        <v>932</v>
      </c>
      <c r="AF947" s="350">
        <v>6445848.5856902255</v>
      </c>
      <c r="AG947" s="350">
        <v>12942317.532664146</v>
      </c>
      <c r="AH947" s="350">
        <v>19487952.103957016</v>
      </c>
      <c r="AI947" s="350">
        <v>26082969.33414495</v>
      </c>
      <c r="AJ947" s="350">
        <v>32728320.317456588</v>
      </c>
      <c r="AK947" s="348">
        <v>97687407.87391293</v>
      </c>
      <c r="AL947" s="369"/>
      <c r="AM947" s="350">
        <v>7861938.8938231003</v>
      </c>
      <c r="AN947" s="350">
        <v>17125910.923312139</v>
      </c>
      <c r="AO947" s="350">
        <v>26158915.397381697</v>
      </c>
      <c r="AP947" s="350">
        <v>34955717.702139609</v>
      </c>
      <c r="AQ947" s="350">
        <v>43513853.466546312</v>
      </c>
      <c r="AR947" s="348">
        <v>129616336.38320287</v>
      </c>
      <c r="AS947" s="369"/>
      <c r="AT947" s="350">
        <f t="shared" si="387"/>
        <v>1416090.3081328748</v>
      </c>
      <c r="AU947" s="350">
        <f t="shared" si="370"/>
        <v>4183593.3906479925</v>
      </c>
      <c r="AV947" s="350">
        <f t="shared" si="371"/>
        <v>6670963.2934246808</v>
      </c>
      <c r="AW947" s="350">
        <f t="shared" si="372"/>
        <v>8872748.3679946586</v>
      </c>
      <c r="AX947" s="350">
        <f t="shared" si="373"/>
        <v>10785533.149089724</v>
      </c>
      <c r="AY947" s="350">
        <f t="shared" si="374"/>
        <v>31928928.509289935</v>
      </c>
      <c r="AZ947" s="365"/>
      <c r="BA947" s="377">
        <f t="shared" si="375"/>
        <v>0</v>
      </c>
      <c r="BB947" s="377">
        <f t="shared" si="376"/>
        <v>0</v>
      </c>
      <c r="BC947" s="377">
        <f t="shared" si="377"/>
        <v>0</v>
      </c>
      <c r="BD947" s="377">
        <f t="shared" si="378"/>
        <v>0</v>
      </c>
      <c r="BE947" s="377">
        <f t="shared" si="379"/>
        <v>0</v>
      </c>
      <c r="BF947" s="377">
        <f t="shared" si="380"/>
        <v>0</v>
      </c>
      <c r="BG947" s="328"/>
    </row>
    <row r="948" spans="2:59">
      <c r="B948" s="332">
        <v>933</v>
      </c>
      <c r="C948" s="350">
        <v>8167962.1184376683</v>
      </c>
      <c r="D948" s="350">
        <v>15408251.294452284</v>
      </c>
      <c r="E948" s="350">
        <v>22703052.5799716</v>
      </c>
      <c r="F948" s="350">
        <v>30052864.833063252</v>
      </c>
      <c r="G948" s="350">
        <v>37458859.853354588</v>
      </c>
      <c r="H948" s="348">
        <v>113790990.6792794</v>
      </c>
      <c r="I948" s="369"/>
      <c r="J948" s="350">
        <v>9149995.5888733994</v>
      </c>
      <c r="K948" s="350">
        <v>18302835.692679159</v>
      </c>
      <c r="L948" s="350">
        <v>27206560.909955017</v>
      </c>
      <c r="M948" s="350">
        <v>35854822.54930187</v>
      </c>
      <c r="N948" s="350">
        <v>44243402.687924474</v>
      </c>
      <c r="O948" s="348">
        <v>134757617.42873392</v>
      </c>
      <c r="P948" s="369"/>
      <c r="Q948" s="350">
        <f t="shared" si="381"/>
        <v>982033.47043573111</v>
      </c>
      <c r="R948" s="350">
        <f t="shared" si="382"/>
        <v>2894584.3982268758</v>
      </c>
      <c r="S948" s="350">
        <f t="shared" si="383"/>
        <v>4503508.3299834169</v>
      </c>
      <c r="T948" s="350">
        <f t="shared" si="384"/>
        <v>5801957.7162386179</v>
      </c>
      <c r="U948" s="350">
        <f t="shared" si="385"/>
        <v>6784542.8345698863</v>
      </c>
      <c r="V948" s="350">
        <f t="shared" si="386"/>
        <v>20966626.749454513</v>
      </c>
      <c r="W948" s="365"/>
      <c r="X948" s="377">
        <f t="shared" si="364"/>
        <v>0</v>
      </c>
      <c r="Y948" s="377">
        <f t="shared" si="365"/>
        <v>0</v>
      </c>
      <c r="Z948" s="377">
        <f t="shared" si="366"/>
        <v>0</v>
      </c>
      <c r="AA948" s="377">
        <f t="shared" si="367"/>
        <v>0</v>
      </c>
      <c r="AB948" s="377">
        <f t="shared" si="368"/>
        <v>0</v>
      </c>
      <c r="AC948" s="377">
        <f t="shared" si="369"/>
        <v>0</v>
      </c>
      <c r="AD948" s="376"/>
      <c r="AE948" s="332">
        <v>933</v>
      </c>
      <c r="AF948" s="350">
        <v>5782491.9952063207</v>
      </c>
      <c r="AG948" s="350">
        <v>11610394.897917861</v>
      </c>
      <c r="AH948" s="350">
        <v>17482403.681381054</v>
      </c>
      <c r="AI948" s="350">
        <v>23398713.044661872</v>
      </c>
      <c r="AJ948" s="350">
        <v>29360176.202770054</v>
      </c>
      <c r="AK948" s="348">
        <v>87634179.821937174</v>
      </c>
      <c r="AL948" s="369"/>
      <c r="AM948" s="350">
        <v>6997273.980656622</v>
      </c>
      <c r="AN948" s="350">
        <v>15198625.310134102</v>
      </c>
      <c r="AO948" s="350">
        <v>23191113.969662465</v>
      </c>
      <c r="AP948" s="350">
        <v>30970059.769851584</v>
      </c>
      <c r="AQ948" s="350">
        <v>38533195.668782264</v>
      </c>
      <c r="AR948" s="348">
        <v>114890268.69908704</v>
      </c>
      <c r="AS948" s="369"/>
      <c r="AT948" s="350">
        <f t="shared" si="387"/>
        <v>1214781.9854503013</v>
      </c>
      <c r="AU948" s="350">
        <f t="shared" si="370"/>
        <v>3588230.4122162405</v>
      </c>
      <c r="AV948" s="350">
        <f t="shared" si="371"/>
        <v>5708710.2882814109</v>
      </c>
      <c r="AW948" s="350">
        <f t="shared" si="372"/>
        <v>7571346.7251897119</v>
      </c>
      <c r="AX948" s="350">
        <f t="shared" si="373"/>
        <v>9173019.4660122097</v>
      </c>
      <c r="AY948" s="350">
        <f t="shared" si="374"/>
        <v>27256088.877149865</v>
      </c>
      <c r="AZ948" s="365"/>
      <c r="BA948" s="377">
        <f t="shared" si="375"/>
        <v>0</v>
      </c>
      <c r="BB948" s="377">
        <f t="shared" si="376"/>
        <v>0</v>
      </c>
      <c r="BC948" s="377">
        <f t="shared" si="377"/>
        <v>0</v>
      </c>
      <c r="BD948" s="377">
        <f t="shared" si="378"/>
        <v>0</v>
      </c>
      <c r="BE948" s="377">
        <f t="shared" si="379"/>
        <v>0</v>
      </c>
      <c r="BF948" s="377">
        <f t="shared" si="380"/>
        <v>0</v>
      </c>
      <c r="BG948" s="328"/>
    </row>
    <row r="949" spans="2:59">
      <c r="B949" s="332">
        <v>934</v>
      </c>
      <c r="C949" s="350">
        <v>6023065.8500503451</v>
      </c>
      <c r="D949" s="350">
        <v>11349449.627725761</v>
      </c>
      <c r="E949" s="350">
        <v>16715931.639050264</v>
      </c>
      <c r="F949" s="350">
        <v>22122882.589601103</v>
      </c>
      <c r="G949" s="350">
        <v>27571166.141194545</v>
      </c>
      <c r="H949" s="348">
        <v>83782495.847622007</v>
      </c>
      <c r="I949" s="369"/>
      <c r="J949" s="350">
        <v>6724337.8497753553</v>
      </c>
      <c r="K949" s="350">
        <v>13416063.631404061</v>
      </c>
      <c r="L949" s="350">
        <v>19929671.03247796</v>
      </c>
      <c r="M949" s="350">
        <v>26260242.094270267</v>
      </c>
      <c r="N949" s="350">
        <v>32404387.436769389</v>
      </c>
      <c r="O949" s="348">
        <v>98734702.044697031</v>
      </c>
      <c r="P949" s="369"/>
      <c r="Q949" s="350">
        <f t="shared" si="381"/>
        <v>701271.99972501025</v>
      </c>
      <c r="R949" s="350">
        <f t="shared" si="382"/>
        <v>2066614.0036782995</v>
      </c>
      <c r="S949" s="350">
        <f t="shared" si="383"/>
        <v>3213739.3934276961</v>
      </c>
      <c r="T949" s="350">
        <f t="shared" si="384"/>
        <v>4137359.5046691634</v>
      </c>
      <c r="U949" s="350">
        <f t="shared" si="385"/>
        <v>4833221.2955748439</v>
      </c>
      <c r="V949" s="350">
        <f t="shared" si="386"/>
        <v>14952206.197075024</v>
      </c>
      <c r="W949" s="365"/>
      <c r="X949" s="377">
        <f t="shared" si="364"/>
        <v>0</v>
      </c>
      <c r="Y949" s="377">
        <f t="shared" si="365"/>
        <v>0</v>
      </c>
      <c r="Z949" s="377">
        <f t="shared" si="366"/>
        <v>0</v>
      </c>
      <c r="AA949" s="377">
        <f t="shared" si="367"/>
        <v>0</v>
      </c>
      <c r="AB949" s="377">
        <f t="shared" si="368"/>
        <v>0</v>
      </c>
      <c r="AC949" s="377">
        <f t="shared" si="369"/>
        <v>0</v>
      </c>
      <c r="AD949" s="376"/>
      <c r="AE949" s="332">
        <v>934</v>
      </c>
      <c r="AF949" s="350">
        <v>5809767.6650085142</v>
      </c>
      <c r="AG949" s="350">
        <v>11665160.438064083</v>
      </c>
      <c r="AH949" s="350">
        <v>17564867.136679787</v>
      </c>
      <c r="AI949" s="350">
        <v>23509083.378305487</v>
      </c>
      <c r="AJ949" s="350">
        <v>29498666.402515221</v>
      </c>
      <c r="AK949" s="348">
        <v>88047545.020573094</v>
      </c>
      <c r="AL949" s="369"/>
      <c r="AM949" s="350">
        <v>6969700.8685710635</v>
      </c>
      <c r="AN949" s="350">
        <v>15090657.280638445</v>
      </c>
      <c r="AO949" s="350">
        <v>22999951.474755958</v>
      </c>
      <c r="AP949" s="350">
        <v>30692898.31930124</v>
      </c>
      <c r="AQ949" s="350">
        <v>38167158.726694353</v>
      </c>
      <c r="AR949" s="348">
        <v>113920366.66996107</v>
      </c>
      <c r="AS949" s="369"/>
      <c r="AT949" s="350">
        <f t="shared" si="387"/>
        <v>1159933.2035625493</v>
      </c>
      <c r="AU949" s="350">
        <f t="shared" si="370"/>
        <v>3425496.8425743617</v>
      </c>
      <c r="AV949" s="350">
        <f t="shared" si="371"/>
        <v>5435084.3380761705</v>
      </c>
      <c r="AW949" s="350">
        <f t="shared" si="372"/>
        <v>7183814.9409957528</v>
      </c>
      <c r="AX949" s="350">
        <f t="shared" si="373"/>
        <v>8668492.3241791315</v>
      </c>
      <c r="AY949" s="350">
        <f t="shared" si="374"/>
        <v>25872821.649387971</v>
      </c>
      <c r="AZ949" s="365"/>
      <c r="BA949" s="377">
        <f t="shared" si="375"/>
        <v>0</v>
      </c>
      <c r="BB949" s="377">
        <f t="shared" si="376"/>
        <v>0</v>
      </c>
      <c r="BC949" s="377">
        <f t="shared" si="377"/>
        <v>0</v>
      </c>
      <c r="BD949" s="377">
        <f t="shared" si="378"/>
        <v>0</v>
      </c>
      <c r="BE949" s="377">
        <f t="shared" si="379"/>
        <v>0</v>
      </c>
      <c r="BF949" s="377">
        <f t="shared" si="380"/>
        <v>0</v>
      </c>
      <c r="BG949" s="328"/>
    </row>
    <row r="950" spans="2:59">
      <c r="B950" s="332">
        <v>935</v>
      </c>
      <c r="C950" s="350">
        <v>8025674.6462827856</v>
      </c>
      <c r="D950" s="350">
        <v>15135346.007346924</v>
      </c>
      <c r="E950" s="350">
        <v>22298544.601145424</v>
      </c>
      <c r="F950" s="350">
        <v>29515761.609003738</v>
      </c>
      <c r="G950" s="350">
        <v>36788148.266374223</v>
      </c>
      <c r="H950" s="348">
        <v>111763475.13015309</v>
      </c>
      <c r="I950" s="369"/>
      <c r="J950" s="350">
        <v>9040706.5683000591</v>
      </c>
      <c r="K950" s="350">
        <v>18128109.211180709</v>
      </c>
      <c r="L950" s="350">
        <v>26982543.170948215</v>
      </c>
      <c r="M950" s="350">
        <v>35597351.380637802</v>
      </c>
      <c r="N950" s="350">
        <v>43968018.2540209</v>
      </c>
      <c r="O950" s="348">
        <v>133716728.58508769</v>
      </c>
      <c r="P950" s="369"/>
      <c r="Q950" s="350">
        <f t="shared" si="381"/>
        <v>1015031.9220172735</v>
      </c>
      <c r="R950" s="350">
        <f t="shared" si="382"/>
        <v>2992763.2038337849</v>
      </c>
      <c r="S950" s="350">
        <f t="shared" si="383"/>
        <v>4683998.5698027909</v>
      </c>
      <c r="T950" s="350">
        <f t="shared" si="384"/>
        <v>6081589.7716340646</v>
      </c>
      <c r="U950" s="350">
        <f t="shared" si="385"/>
        <v>7179869.9876466766</v>
      </c>
      <c r="V950" s="350">
        <f t="shared" si="386"/>
        <v>21953253.454934597</v>
      </c>
      <c r="W950" s="365"/>
      <c r="X950" s="377">
        <f t="shared" si="364"/>
        <v>0</v>
      </c>
      <c r="Y950" s="377">
        <f t="shared" si="365"/>
        <v>0</v>
      </c>
      <c r="Z950" s="377">
        <f t="shared" si="366"/>
        <v>0</v>
      </c>
      <c r="AA950" s="377">
        <f t="shared" si="367"/>
        <v>0</v>
      </c>
      <c r="AB950" s="377">
        <f t="shared" si="368"/>
        <v>0</v>
      </c>
      <c r="AC950" s="377">
        <f t="shared" si="369"/>
        <v>0</v>
      </c>
      <c r="AD950" s="376"/>
      <c r="AE950" s="332">
        <v>935</v>
      </c>
      <c r="AF950" s="350">
        <v>6177466.1648534592</v>
      </c>
      <c r="AG950" s="350">
        <v>12403445.037525857</v>
      </c>
      <c r="AH950" s="350">
        <v>18676542.451173365</v>
      </c>
      <c r="AI950" s="350">
        <v>24996966.403817151</v>
      </c>
      <c r="AJ950" s="350">
        <v>31365628.389473692</v>
      </c>
      <c r="AK950" s="348">
        <v>93620048.44684352</v>
      </c>
      <c r="AL950" s="369"/>
      <c r="AM950" s="350">
        <v>6932420.3544146512</v>
      </c>
      <c r="AN950" s="350">
        <v>14626973.802380737</v>
      </c>
      <c r="AO950" s="350">
        <v>22082141.035624228</v>
      </c>
      <c r="AP950" s="350">
        <v>29293075.70858689</v>
      </c>
      <c r="AQ950" s="350">
        <v>36256806.195740297</v>
      </c>
      <c r="AR950" s="348">
        <v>109191417.0967468</v>
      </c>
      <c r="AS950" s="369"/>
      <c r="AT950" s="350">
        <f t="shared" si="387"/>
        <v>754954.18956119195</v>
      </c>
      <c r="AU950" s="350">
        <f t="shared" si="370"/>
        <v>2223528.76485488</v>
      </c>
      <c r="AV950" s="350">
        <f t="shared" si="371"/>
        <v>3405598.5844508633</v>
      </c>
      <c r="AW950" s="350">
        <f t="shared" si="372"/>
        <v>4296109.3047697395</v>
      </c>
      <c r="AX950" s="350">
        <f t="shared" si="373"/>
        <v>4891177.8062666059</v>
      </c>
      <c r="AY950" s="350">
        <f t="shared" si="374"/>
        <v>15571368.649903283</v>
      </c>
      <c r="AZ950" s="365"/>
      <c r="BA950" s="377">
        <f t="shared" si="375"/>
        <v>0</v>
      </c>
      <c r="BB950" s="377">
        <f t="shared" si="376"/>
        <v>0</v>
      </c>
      <c r="BC950" s="377">
        <f t="shared" si="377"/>
        <v>0</v>
      </c>
      <c r="BD950" s="377">
        <f t="shared" si="378"/>
        <v>0</v>
      </c>
      <c r="BE950" s="377">
        <f t="shared" si="379"/>
        <v>0</v>
      </c>
      <c r="BF950" s="377">
        <f t="shared" si="380"/>
        <v>0</v>
      </c>
      <c r="BG950" s="328"/>
    </row>
    <row r="951" spans="2:59">
      <c r="B951" s="332">
        <v>936</v>
      </c>
      <c r="C951" s="350">
        <v>9808200.3478409015</v>
      </c>
      <c r="D951" s="350">
        <v>18312730.358208343</v>
      </c>
      <c r="E951" s="350">
        <v>26881229.443626292</v>
      </c>
      <c r="F951" s="350">
        <v>35514339.454086602</v>
      </c>
      <c r="G951" s="350">
        <v>44213461.115015931</v>
      </c>
      <c r="H951" s="348">
        <v>134729960.71877807</v>
      </c>
      <c r="I951" s="369"/>
      <c r="J951" s="350">
        <v>11329425.0644182</v>
      </c>
      <c r="K951" s="350">
        <v>22803278.98301664</v>
      </c>
      <c r="L951" s="350">
        <v>34005385.039861672</v>
      </c>
      <c r="M951" s="350">
        <v>44927840.227526173</v>
      </c>
      <c r="N951" s="350">
        <v>55565673.802160852</v>
      </c>
      <c r="O951" s="348">
        <v>168631603.11698353</v>
      </c>
      <c r="P951" s="369"/>
      <c r="Q951" s="350">
        <f t="shared" si="381"/>
        <v>1521224.7165772989</v>
      </c>
      <c r="R951" s="350">
        <f t="shared" si="382"/>
        <v>4490548.6248082966</v>
      </c>
      <c r="S951" s="350">
        <f t="shared" si="383"/>
        <v>7124155.5962353796</v>
      </c>
      <c r="T951" s="350">
        <f t="shared" si="384"/>
        <v>9413500.7734395713</v>
      </c>
      <c r="U951" s="350">
        <f t="shared" si="385"/>
        <v>11352212.68714492</v>
      </c>
      <c r="V951" s="350">
        <f t="shared" si="386"/>
        <v>33901642.398205459</v>
      </c>
      <c r="W951" s="365"/>
      <c r="X951" s="377">
        <f t="shared" si="364"/>
        <v>0</v>
      </c>
      <c r="Y951" s="377">
        <f t="shared" si="365"/>
        <v>0</v>
      </c>
      <c r="Z951" s="377">
        <f t="shared" si="366"/>
        <v>0</v>
      </c>
      <c r="AA951" s="377">
        <f t="shared" si="367"/>
        <v>0</v>
      </c>
      <c r="AB951" s="377">
        <f t="shared" si="368"/>
        <v>0</v>
      </c>
      <c r="AC951" s="377">
        <f t="shared" si="369"/>
        <v>0</v>
      </c>
      <c r="AD951" s="376"/>
      <c r="AE951" s="332">
        <v>936</v>
      </c>
      <c r="AF951" s="350">
        <v>6467665.6773612965</v>
      </c>
      <c r="AG951" s="350">
        <v>12986123.049392093</v>
      </c>
      <c r="AH951" s="350">
        <v>19553912.455318257</v>
      </c>
      <c r="AI951" s="350">
        <v>26171251.66430705</v>
      </c>
      <c r="AJ951" s="350">
        <v>32839094.989730358</v>
      </c>
      <c r="AK951" s="348">
        <v>98018047.836109057</v>
      </c>
      <c r="AL951" s="369"/>
      <c r="AM951" s="350">
        <v>7521524.8859229106</v>
      </c>
      <c r="AN951" s="350">
        <v>16095390.826907609</v>
      </c>
      <c r="AO951" s="350">
        <v>24426514.975121718</v>
      </c>
      <c r="AP951" s="350">
        <v>32509748.807245657</v>
      </c>
      <c r="AQ951" s="350">
        <v>40342247.901775606</v>
      </c>
      <c r="AR951" s="348">
        <v>120895427.39697349</v>
      </c>
      <c r="AS951" s="369"/>
      <c r="AT951" s="350">
        <f t="shared" si="387"/>
        <v>1053859.2085616142</v>
      </c>
      <c r="AU951" s="350">
        <f t="shared" si="370"/>
        <v>3109267.7775155157</v>
      </c>
      <c r="AV951" s="350">
        <f t="shared" si="371"/>
        <v>4872602.5198034607</v>
      </c>
      <c r="AW951" s="350">
        <f t="shared" si="372"/>
        <v>6338497.1429386064</v>
      </c>
      <c r="AX951" s="350">
        <f t="shared" si="373"/>
        <v>7503152.9120452479</v>
      </c>
      <c r="AY951" s="350">
        <f t="shared" si="374"/>
        <v>22877379.560864434</v>
      </c>
      <c r="AZ951" s="365"/>
      <c r="BA951" s="377">
        <f t="shared" si="375"/>
        <v>0</v>
      </c>
      <c r="BB951" s="377">
        <f t="shared" si="376"/>
        <v>0</v>
      </c>
      <c r="BC951" s="377">
        <f t="shared" si="377"/>
        <v>0</v>
      </c>
      <c r="BD951" s="377">
        <f t="shared" si="378"/>
        <v>0</v>
      </c>
      <c r="BE951" s="377">
        <f t="shared" si="379"/>
        <v>0</v>
      </c>
      <c r="BF951" s="377">
        <f t="shared" si="380"/>
        <v>0</v>
      </c>
      <c r="BG951" s="328"/>
    </row>
    <row r="952" spans="2:59">
      <c r="B952" s="332">
        <v>937</v>
      </c>
      <c r="C952" s="350">
        <v>8231199.5348329265</v>
      </c>
      <c r="D952" s="350">
        <v>15375987.105291527</v>
      </c>
      <c r="E952" s="350">
        <v>22574518.622876316</v>
      </c>
      <c r="F952" s="350">
        <v>29827331.012120321</v>
      </c>
      <c r="G952" s="350">
        <v>37135600.04188823</v>
      </c>
      <c r="H952" s="348">
        <v>113144636.31700933</v>
      </c>
      <c r="I952" s="369"/>
      <c r="J952" s="350">
        <v>9131563.4029213488</v>
      </c>
      <c r="K952" s="350">
        <v>18028596.528557546</v>
      </c>
      <c r="L952" s="350">
        <v>26687964.24374114</v>
      </c>
      <c r="M952" s="350">
        <v>35103055.115540072</v>
      </c>
      <c r="N952" s="350">
        <v>43269230.185793817</v>
      </c>
      <c r="O952" s="348">
        <v>132220409.47655392</v>
      </c>
      <c r="P952" s="369"/>
      <c r="Q952" s="350">
        <f t="shared" si="381"/>
        <v>900363.86808842234</v>
      </c>
      <c r="R952" s="350">
        <f t="shared" si="382"/>
        <v>2652609.4232660197</v>
      </c>
      <c r="S952" s="350">
        <f t="shared" si="383"/>
        <v>4113445.6208648235</v>
      </c>
      <c r="T952" s="350">
        <f t="shared" si="384"/>
        <v>5275724.1034197509</v>
      </c>
      <c r="U952" s="350">
        <f t="shared" si="385"/>
        <v>6133630.1439055875</v>
      </c>
      <c r="V952" s="350">
        <f t="shared" si="386"/>
        <v>19075773.159544587</v>
      </c>
      <c r="W952" s="365"/>
      <c r="X952" s="377">
        <f t="shared" si="364"/>
        <v>0</v>
      </c>
      <c r="Y952" s="377">
        <f t="shared" si="365"/>
        <v>0</v>
      </c>
      <c r="Z952" s="377">
        <f t="shared" si="366"/>
        <v>0</v>
      </c>
      <c r="AA952" s="377">
        <f t="shared" si="367"/>
        <v>0</v>
      </c>
      <c r="AB952" s="377">
        <f t="shared" si="368"/>
        <v>0</v>
      </c>
      <c r="AC952" s="377">
        <f t="shared" si="369"/>
        <v>0</v>
      </c>
      <c r="AD952" s="376"/>
      <c r="AE952" s="332">
        <v>937</v>
      </c>
      <c r="AF952" s="350">
        <v>7478076.6954067517</v>
      </c>
      <c r="AG952" s="350">
        <v>15014880.017571235</v>
      </c>
      <c r="AH952" s="350">
        <v>22608722.27022671</v>
      </c>
      <c r="AI952" s="350">
        <v>30259855.243526824</v>
      </c>
      <c r="AJ952" s="350">
        <v>37969382.338442251</v>
      </c>
      <c r="AK952" s="348">
        <v>113330916.56517376</v>
      </c>
      <c r="AL952" s="369"/>
      <c r="AM952" s="350">
        <v>8853215.9633469824</v>
      </c>
      <c r="AN952" s="350">
        <v>19074444.078205775</v>
      </c>
      <c r="AO952" s="350">
        <v>29019699.510434523</v>
      </c>
      <c r="AP952" s="350">
        <v>38682985.104839146</v>
      </c>
      <c r="AQ952" s="350">
        <v>48061170.710712552</v>
      </c>
      <c r="AR952" s="348">
        <v>143691515.36753899</v>
      </c>
      <c r="AS952" s="369"/>
      <c r="AT952" s="350">
        <f t="shared" si="387"/>
        <v>1375139.2679402307</v>
      </c>
      <c r="AU952" s="350">
        <f t="shared" si="370"/>
        <v>4059564.0606345404</v>
      </c>
      <c r="AV952" s="350">
        <f t="shared" si="371"/>
        <v>6410977.2402078137</v>
      </c>
      <c r="AW952" s="350">
        <f t="shared" si="372"/>
        <v>8423129.8613123223</v>
      </c>
      <c r="AX952" s="350">
        <f t="shared" si="373"/>
        <v>10091788.372270301</v>
      </c>
      <c r="AY952" s="350">
        <f t="shared" si="374"/>
        <v>30360598.802365229</v>
      </c>
      <c r="AZ952" s="365"/>
      <c r="BA952" s="377">
        <f t="shared" si="375"/>
        <v>0</v>
      </c>
      <c r="BB952" s="377">
        <f t="shared" si="376"/>
        <v>0</v>
      </c>
      <c r="BC952" s="377">
        <f t="shared" si="377"/>
        <v>0</v>
      </c>
      <c r="BD952" s="377">
        <f t="shared" si="378"/>
        <v>0</v>
      </c>
      <c r="BE952" s="377">
        <f t="shared" si="379"/>
        <v>0</v>
      </c>
      <c r="BF952" s="377">
        <f t="shared" si="380"/>
        <v>0</v>
      </c>
      <c r="BG952" s="328"/>
    </row>
    <row r="953" spans="2:59">
      <c r="B953" s="332">
        <v>938</v>
      </c>
      <c r="C953" s="350">
        <v>6539280.5991668357</v>
      </c>
      <c r="D953" s="350">
        <v>12332793.802773226</v>
      </c>
      <c r="E953" s="350">
        <v>18169925.349484496</v>
      </c>
      <c r="F953" s="350">
        <v>24051075.31883435</v>
      </c>
      <c r="G953" s="350">
        <v>29977181.751645684</v>
      </c>
      <c r="H953" s="348">
        <v>91070256.8219046</v>
      </c>
      <c r="I953" s="369"/>
      <c r="J953" s="350">
        <v>7631939.1917930851</v>
      </c>
      <c r="K953" s="350">
        <v>15559057.866896879</v>
      </c>
      <c r="L953" s="350">
        <v>23311526.603972375</v>
      </c>
      <c r="M953" s="350">
        <v>30883592.074314106</v>
      </c>
      <c r="N953" s="350">
        <v>38271579.491532981</v>
      </c>
      <c r="O953" s="348">
        <v>115657695.22850943</v>
      </c>
      <c r="P953" s="369"/>
      <c r="Q953" s="350">
        <f t="shared" si="381"/>
        <v>1092658.5926262494</v>
      </c>
      <c r="R953" s="350">
        <f t="shared" si="382"/>
        <v>3226264.0641236529</v>
      </c>
      <c r="S953" s="350">
        <f t="shared" si="383"/>
        <v>5141601.2544878796</v>
      </c>
      <c r="T953" s="350">
        <f t="shared" si="384"/>
        <v>6832516.7554797567</v>
      </c>
      <c r="U953" s="350">
        <f t="shared" si="385"/>
        <v>8294397.7398872972</v>
      </c>
      <c r="V953" s="350">
        <f t="shared" si="386"/>
        <v>24587438.406604826</v>
      </c>
      <c r="W953" s="365"/>
      <c r="X953" s="377">
        <f t="shared" si="364"/>
        <v>0</v>
      </c>
      <c r="Y953" s="377">
        <f t="shared" si="365"/>
        <v>0</v>
      </c>
      <c r="Z953" s="377">
        <f t="shared" si="366"/>
        <v>0</v>
      </c>
      <c r="AA953" s="377">
        <f t="shared" si="367"/>
        <v>0</v>
      </c>
      <c r="AB953" s="377">
        <f t="shared" si="368"/>
        <v>0</v>
      </c>
      <c r="AC953" s="377">
        <f t="shared" si="369"/>
        <v>0</v>
      </c>
      <c r="AD953" s="376"/>
      <c r="AE953" s="332">
        <v>938</v>
      </c>
      <c r="AF953" s="350">
        <v>5055743.5733106118</v>
      </c>
      <c r="AG953" s="350">
        <v>10151190.773356555</v>
      </c>
      <c r="AH953" s="350">
        <v>15285200.590236247</v>
      </c>
      <c r="AI953" s="350">
        <v>20457943.253074493</v>
      </c>
      <c r="AJ953" s="350">
        <v>25670164.744106241</v>
      </c>
      <c r="AK953" s="348">
        <v>76620242.934084147</v>
      </c>
      <c r="AL953" s="369"/>
      <c r="AM953" s="350">
        <v>5740233.930304721</v>
      </c>
      <c r="AN953" s="350">
        <v>12168548.809343643</v>
      </c>
      <c r="AO953" s="350">
        <v>18402941.310492039</v>
      </c>
      <c r="AP953" s="350">
        <v>24439426.258512218</v>
      </c>
      <c r="AQ953" s="350">
        <v>30275639.097899228</v>
      </c>
      <c r="AR953" s="348">
        <v>91026789.406551853</v>
      </c>
      <c r="AS953" s="369"/>
      <c r="AT953" s="350">
        <f t="shared" si="387"/>
        <v>684490.35699410923</v>
      </c>
      <c r="AU953" s="350">
        <f t="shared" si="370"/>
        <v>2017358.0359870885</v>
      </c>
      <c r="AV953" s="350">
        <f t="shared" si="371"/>
        <v>3117740.7202557921</v>
      </c>
      <c r="AW953" s="350">
        <f t="shared" si="372"/>
        <v>3981483.0054377243</v>
      </c>
      <c r="AX953" s="350">
        <f t="shared" si="373"/>
        <v>4605474.3537929878</v>
      </c>
      <c r="AY953" s="350">
        <f t="shared" si="374"/>
        <v>14406546.472467706</v>
      </c>
      <c r="AZ953" s="365"/>
      <c r="BA953" s="377">
        <f t="shared" si="375"/>
        <v>0</v>
      </c>
      <c r="BB953" s="377">
        <f t="shared" si="376"/>
        <v>0</v>
      </c>
      <c r="BC953" s="377">
        <f t="shared" si="377"/>
        <v>0</v>
      </c>
      <c r="BD953" s="377">
        <f t="shared" si="378"/>
        <v>0</v>
      </c>
      <c r="BE953" s="377">
        <f t="shared" si="379"/>
        <v>0</v>
      </c>
      <c r="BF953" s="377">
        <f t="shared" si="380"/>
        <v>0</v>
      </c>
      <c r="BG953" s="328"/>
    </row>
    <row r="954" spans="2:59">
      <c r="B954" s="332">
        <v>939</v>
      </c>
      <c r="C954" s="350">
        <v>9126678.3587522432</v>
      </c>
      <c r="D954" s="350">
        <v>17327004.250624944</v>
      </c>
      <c r="E954" s="350">
        <v>25589106.091036834</v>
      </c>
      <c r="F954" s="350">
        <v>33913516.419624045</v>
      </c>
      <c r="G954" s="350">
        <v>42301548.286931336</v>
      </c>
      <c r="H954" s="348">
        <v>128257853.4069694</v>
      </c>
      <c r="I954" s="369"/>
      <c r="J954" s="350">
        <v>10112205.43595491</v>
      </c>
      <c r="K954" s="350">
        <v>20229573.620815389</v>
      </c>
      <c r="L954" s="350">
        <v>30073962.031121578</v>
      </c>
      <c r="M954" s="350">
        <v>39637658.267072439</v>
      </c>
      <c r="N954" s="350">
        <v>48915197.18779356</v>
      </c>
      <c r="O954" s="348">
        <v>148968596.54275787</v>
      </c>
      <c r="P954" s="369"/>
      <c r="Q954" s="350">
        <f t="shared" si="381"/>
        <v>985527.07720266655</v>
      </c>
      <c r="R954" s="350">
        <f t="shared" si="382"/>
        <v>2902569.3701904453</v>
      </c>
      <c r="S954" s="350">
        <f t="shared" si="383"/>
        <v>4484855.9400847442</v>
      </c>
      <c r="T954" s="350">
        <f t="shared" si="384"/>
        <v>5724141.8474483937</v>
      </c>
      <c r="U954" s="350">
        <f t="shared" si="385"/>
        <v>6613648.9008622244</v>
      </c>
      <c r="V954" s="350">
        <f t="shared" si="386"/>
        <v>20710743.135788471</v>
      </c>
      <c r="W954" s="365"/>
      <c r="X954" s="377">
        <f t="shared" si="364"/>
        <v>0</v>
      </c>
      <c r="Y954" s="377">
        <f t="shared" si="365"/>
        <v>0</v>
      </c>
      <c r="Z954" s="377">
        <f t="shared" si="366"/>
        <v>0</v>
      </c>
      <c r="AA954" s="377">
        <f t="shared" si="367"/>
        <v>0</v>
      </c>
      <c r="AB954" s="377">
        <f t="shared" si="368"/>
        <v>0</v>
      </c>
      <c r="AC954" s="377">
        <f t="shared" si="369"/>
        <v>0</v>
      </c>
      <c r="AD954" s="376"/>
      <c r="AE954" s="332">
        <v>939</v>
      </c>
      <c r="AF954" s="350">
        <v>4532160.6224649344</v>
      </c>
      <c r="AG954" s="350">
        <v>9099913.0843991078</v>
      </c>
      <c r="AH954" s="350">
        <v>13702234.541176245</v>
      </c>
      <c r="AI954" s="350">
        <v>18339277.592651352</v>
      </c>
      <c r="AJ954" s="350">
        <v>23011710.965642013</v>
      </c>
      <c r="AK954" s="348">
        <v>68685296.806333661</v>
      </c>
      <c r="AL954" s="369"/>
      <c r="AM954" s="350">
        <v>5326140.4462695597</v>
      </c>
      <c r="AN954" s="350">
        <v>11443293.684208579</v>
      </c>
      <c r="AO954" s="350">
        <v>17392009.872808009</v>
      </c>
      <c r="AP954" s="350">
        <v>23168665.532364823</v>
      </c>
      <c r="AQ954" s="350">
        <v>28771323.664759815</v>
      </c>
      <c r="AR954" s="348">
        <v>86101433.200410783</v>
      </c>
      <c r="AS954" s="369"/>
      <c r="AT954" s="350">
        <f t="shared" si="387"/>
        <v>793979.82380462531</v>
      </c>
      <c r="AU954" s="350">
        <f t="shared" si="370"/>
        <v>2343380.5998094715</v>
      </c>
      <c r="AV954" s="350">
        <f t="shared" si="371"/>
        <v>3689775.3316317648</v>
      </c>
      <c r="AW954" s="350">
        <f t="shared" si="372"/>
        <v>4829387.9397134706</v>
      </c>
      <c r="AX954" s="350">
        <f t="shared" si="373"/>
        <v>5759612.6991178021</v>
      </c>
      <c r="AY954" s="350">
        <f t="shared" si="374"/>
        <v>17416136.394077122</v>
      </c>
      <c r="AZ954" s="365"/>
      <c r="BA954" s="377">
        <f t="shared" si="375"/>
        <v>0</v>
      </c>
      <c r="BB954" s="377">
        <f t="shared" si="376"/>
        <v>0</v>
      </c>
      <c r="BC954" s="377">
        <f t="shared" si="377"/>
        <v>0</v>
      </c>
      <c r="BD954" s="377">
        <f t="shared" si="378"/>
        <v>0</v>
      </c>
      <c r="BE954" s="377">
        <f t="shared" si="379"/>
        <v>0</v>
      </c>
      <c r="BF954" s="377">
        <f t="shared" si="380"/>
        <v>0</v>
      </c>
      <c r="BG954" s="328"/>
    </row>
    <row r="955" spans="2:59">
      <c r="B955" s="332">
        <v>940</v>
      </c>
      <c r="C955" s="350">
        <v>7891094.7845456339</v>
      </c>
      <c r="D955" s="350">
        <v>14781802.737690816</v>
      </c>
      <c r="E955" s="350">
        <v>21724357.038767919</v>
      </c>
      <c r="F955" s="350">
        <v>28719263.143390507</v>
      </c>
      <c r="G955" s="350">
        <v>35767649.623913005</v>
      </c>
      <c r="H955" s="348">
        <v>108884167.32830788</v>
      </c>
      <c r="I955" s="369"/>
      <c r="J955" s="350">
        <v>9101361.5564828441</v>
      </c>
      <c r="K955" s="350">
        <v>18354127.58998717</v>
      </c>
      <c r="L955" s="350">
        <v>27387427.410113297</v>
      </c>
      <c r="M955" s="350">
        <v>36194803.123624407</v>
      </c>
      <c r="N955" s="350">
        <v>44772150.061687514</v>
      </c>
      <c r="O955" s="348">
        <v>135809869.74189526</v>
      </c>
      <c r="P955" s="369"/>
      <c r="Q955" s="350">
        <f t="shared" si="381"/>
        <v>1210266.7719372101</v>
      </c>
      <c r="R955" s="350">
        <f t="shared" si="382"/>
        <v>3572324.8522963542</v>
      </c>
      <c r="S955" s="350">
        <f t="shared" si="383"/>
        <v>5663070.3713453785</v>
      </c>
      <c r="T955" s="350">
        <f t="shared" si="384"/>
        <v>7475539.9802339002</v>
      </c>
      <c r="U955" s="350">
        <f t="shared" si="385"/>
        <v>9004500.4377745092</v>
      </c>
      <c r="V955" s="350">
        <f t="shared" si="386"/>
        <v>26925702.413587376</v>
      </c>
      <c r="W955" s="365"/>
      <c r="X955" s="377">
        <f t="shared" si="364"/>
        <v>0</v>
      </c>
      <c r="Y955" s="377">
        <f t="shared" si="365"/>
        <v>0</v>
      </c>
      <c r="Z955" s="377">
        <f t="shared" si="366"/>
        <v>0</v>
      </c>
      <c r="AA955" s="377">
        <f t="shared" si="367"/>
        <v>0</v>
      </c>
      <c r="AB955" s="377">
        <f t="shared" si="368"/>
        <v>0</v>
      </c>
      <c r="AC955" s="377">
        <f t="shared" si="369"/>
        <v>0</v>
      </c>
      <c r="AD955" s="376"/>
      <c r="AE955" s="332">
        <v>940</v>
      </c>
      <c r="AF955" s="350">
        <v>6871858.5308859721</v>
      </c>
      <c r="AG955" s="350">
        <v>13797682.952670489</v>
      </c>
      <c r="AH955" s="350">
        <v>20775922.383962452</v>
      </c>
      <c r="AI955" s="350">
        <v>27806808.20328147</v>
      </c>
      <c r="AJ955" s="350">
        <v>34891354.363236241</v>
      </c>
      <c r="AK955" s="348">
        <v>104143626.43403664</v>
      </c>
      <c r="AL955" s="369"/>
      <c r="AM955" s="350">
        <v>8085884.0174577171</v>
      </c>
      <c r="AN955" s="350">
        <v>17380946.395023312</v>
      </c>
      <c r="AO955" s="350">
        <v>26420921.472314626</v>
      </c>
      <c r="AP955" s="350">
        <v>35200312.298931569</v>
      </c>
      <c r="AQ955" s="350">
        <v>43716192.202823043</v>
      </c>
      <c r="AR955" s="348">
        <v>130804256.38655026</v>
      </c>
      <c r="AS955" s="369"/>
      <c r="AT955" s="350">
        <f t="shared" si="387"/>
        <v>1214025.486571745</v>
      </c>
      <c r="AU955" s="350">
        <f t="shared" si="370"/>
        <v>3583263.4423528239</v>
      </c>
      <c r="AV955" s="350">
        <f t="shared" si="371"/>
        <v>5644999.0883521736</v>
      </c>
      <c r="AW955" s="350">
        <f t="shared" si="372"/>
        <v>7393504.0956500992</v>
      </c>
      <c r="AX955" s="350">
        <f t="shared" si="373"/>
        <v>8824837.8395868018</v>
      </c>
      <c r="AY955" s="350">
        <f t="shared" si="374"/>
        <v>26660629.95251362</v>
      </c>
      <c r="AZ955" s="365"/>
      <c r="BA955" s="377">
        <f t="shared" si="375"/>
        <v>0</v>
      </c>
      <c r="BB955" s="377">
        <f t="shared" si="376"/>
        <v>0</v>
      </c>
      <c r="BC955" s="377">
        <f t="shared" si="377"/>
        <v>0</v>
      </c>
      <c r="BD955" s="377">
        <f t="shared" si="378"/>
        <v>0</v>
      </c>
      <c r="BE955" s="377">
        <f t="shared" si="379"/>
        <v>0</v>
      </c>
      <c r="BF955" s="377">
        <f t="shared" si="380"/>
        <v>0</v>
      </c>
      <c r="BG955" s="328"/>
    </row>
    <row r="956" spans="2:59">
      <c r="B956" s="332">
        <v>941</v>
      </c>
      <c r="C956" s="350">
        <v>6642498.7685108799</v>
      </c>
      <c r="D956" s="350">
        <v>12444185.237656072</v>
      </c>
      <c r="E956" s="350">
        <v>18289524.575384304</v>
      </c>
      <c r="F956" s="350">
        <v>24178941.969861556</v>
      </c>
      <c r="G956" s="350">
        <v>30113387.46440313</v>
      </c>
      <c r="H956" s="348">
        <v>91668538.015815943</v>
      </c>
      <c r="I956" s="369"/>
      <c r="J956" s="350">
        <v>7621969.6725788033</v>
      </c>
      <c r="K956" s="350">
        <v>15334716.475796489</v>
      </c>
      <c r="L956" s="350">
        <v>22862949.159600578</v>
      </c>
      <c r="M956" s="350">
        <v>30201180.759067804</v>
      </c>
      <c r="N956" s="350">
        <v>37345852.343396455</v>
      </c>
      <c r="O956" s="348">
        <v>113366668.41044013</v>
      </c>
      <c r="P956" s="369"/>
      <c r="Q956" s="350">
        <f t="shared" si="381"/>
        <v>979470.90406792331</v>
      </c>
      <c r="R956" s="350">
        <f t="shared" si="382"/>
        <v>2890531.2381404173</v>
      </c>
      <c r="S956" s="350">
        <f t="shared" si="383"/>
        <v>4573424.5842162743</v>
      </c>
      <c r="T956" s="350">
        <f t="shared" si="384"/>
        <v>6022238.7892062478</v>
      </c>
      <c r="U956" s="350">
        <f t="shared" si="385"/>
        <v>7232464.8789933249</v>
      </c>
      <c r="V956" s="350">
        <f t="shared" si="386"/>
        <v>21698130.394624189</v>
      </c>
      <c r="W956" s="365"/>
      <c r="X956" s="377">
        <f t="shared" si="364"/>
        <v>0</v>
      </c>
      <c r="Y956" s="377">
        <f t="shared" si="365"/>
        <v>0</v>
      </c>
      <c r="Z956" s="377">
        <f t="shared" si="366"/>
        <v>0</v>
      </c>
      <c r="AA956" s="377">
        <f t="shared" si="367"/>
        <v>0</v>
      </c>
      <c r="AB956" s="377">
        <f t="shared" si="368"/>
        <v>0</v>
      </c>
      <c r="AC956" s="377">
        <f t="shared" si="369"/>
        <v>0</v>
      </c>
      <c r="AD956" s="376"/>
      <c r="AE956" s="332">
        <v>941</v>
      </c>
      <c r="AF956" s="350">
        <v>6342937.4923862517</v>
      </c>
      <c r="AG956" s="350">
        <v>12735687.167481434</v>
      </c>
      <c r="AH956" s="350">
        <v>19176817.51390072</v>
      </c>
      <c r="AI956" s="350">
        <v>25666542.10115815</v>
      </c>
      <c r="AJ956" s="350">
        <v>32205796.838802546</v>
      </c>
      <c r="AK956" s="348">
        <v>96127781.113729089</v>
      </c>
      <c r="AL956" s="369"/>
      <c r="AM956" s="350">
        <v>7834728.2637153286</v>
      </c>
      <c r="AN956" s="350">
        <v>17144043.179893233</v>
      </c>
      <c r="AO956" s="350">
        <v>26229022.435962953</v>
      </c>
      <c r="AP956" s="350">
        <v>35084487.185736865</v>
      </c>
      <c r="AQ956" s="350">
        <v>43708111.967053182</v>
      </c>
      <c r="AR956" s="348">
        <v>130000393.03236157</v>
      </c>
      <c r="AS956" s="369"/>
      <c r="AT956" s="350">
        <f t="shared" si="387"/>
        <v>1491790.771329077</v>
      </c>
      <c r="AU956" s="350">
        <f t="shared" si="370"/>
        <v>4408356.0124117993</v>
      </c>
      <c r="AV956" s="350">
        <f t="shared" si="371"/>
        <v>7052204.9220622331</v>
      </c>
      <c r="AW956" s="350">
        <f t="shared" si="372"/>
        <v>9417945.0845787153</v>
      </c>
      <c r="AX956" s="350">
        <f t="shared" si="373"/>
        <v>11502315.128250636</v>
      </c>
      <c r="AY956" s="350">
        <f t="shared" si="374"/>
        <v>33872611.918632478</v>
      </c>
      <c r="AZ956" s="365"/>
      <c r="BA956" s="377">
        <f t="shared" si="375"/>
        <v>0</v>
      </c>
      <c r="BB956" s="377">
        <f t="shared" si="376"/>
        <v>0</v>
      </c>
      <c r="BC956" s="377">
        <f t="shared" si="377"/>
        <v>0</v>
      </c>
      <c r="BD956" s="377">
        <f t="shared" si="378"/>
        <v>0</v>
      </c>
      <c r="BE956" s="377">
        <f t="shared" si="379"/>
        <v>0</v>
      </c>
      <c r="BF956" s="377">
        <f t="shared" si="380"/>
        <v>0</v>
      </c>
      <c r="BG956" s="328"/>
    </row>
    <row r="957" spans="2:59">
      <c r="B957" s="332">
        <v>942</v>
      </c>
      <c r="C957" s="350">
        <v>7603271.3345426749</v>
      </c>
      <c r="D957" s="350">
        <v>14233141.658435836</v>
      </c>
      <c r="E957" s="350">
        <v>20912892.635772742</v>
      </c>
      <c r="F957" s="350">
        <v>27643013.430581514</v>
      </c>
      <c r="G957" s="350">
        <v>34424591.131183356</v>
      </c>
      <c r="H957" s="348">
        <v>104816910.19051613</v>
      </c>
      <c r="I957" s="369"/>
      <c r="J957" s="350">
        <v>8855999.6943266019</v>
      </c>
      <c r="K957" s="350">
        <v>17932050.443574857</v>
      </c>
      <c r="L957" s="350">
        <v>26799249.490399741</v>
      </c>
      <c r="M957" s="350">
        <v>35451386.243692286</v>
      </c>
      <c r="N957" s="350">
        <v>43884627.736541763</v>
      </c>
      <c r="O957" s="348">
        <v>132923313.60853525</v>
      </c>
      <c r="P957" s="369"/>
      <c r="Q957" s="350">
        <f t="shared" si="381"/>
        <v>1252728.359783927</v>
      </c>
      <c r="R957" s="350">
        <f t="shared" si="382"/>
        <v>3698908.7851390205</v>
      </c>
      <c r="S957" s="350">
        <f t="shared" si="383"/>
        <v>5886356.8546269983</v>
      </c>
      <c r="T957" s="350">
        <f t="shared" si="384"/>
        <v>7808372.8131107725</v>
      </c>
      <c r="U957" s="350">
        <f t="shared" si="385"/>
        <v>9460036.6053584069</v>
      </c>
      <c r="V957" s="350">
        <f t="shared" si="386"/>
        <v>28106403.418019116</v>
      </c>
      <c r="W957" s="365"/>
      <c r="X957" s="377">
        <f t="shared" si="364"/>
        <v>0</v>
      </c>
      <c r="Y957" s="377">
        <f t="shared" si="365"/>
        <v>0</v>
      </c>
      <c r="Z957" s="377">
        <f t="shared" si="366"/>
        <v>0</v>
      </c>
      <c r="AA957" s="377">
        <f t="shared" si="367"/>
        <v>0</v>
      </c>
      <c r="AB957" s="377">
        <f t="shared" si="368"/>
        <v>0</v>
      </c>
      <c r="AC957" s="377">
        <f t="shared" si="369"/>
        <v>0</v>
      </c>
      <c r="AD957" s="376"/>
      <c r="AE957" s="332">
        <v>942</v>
      </c>
      <c r="AF957" s="350">
        <v>7020515.2938709352</v>
      </c>
      <c r="AG957" s="350">
        <v>14096163.905853376</v>
      </c>
      <c r="AH957" s="350">
        <v>21225361.404824905</v>
      </c>
      <c r="AI957" s="350">
        <v>28408344.174644165</v>
      </c>
      <c r="AJ957" s="350">
        <v>35646148.102439024</v>
      </c>
      <c r="AK957" s="348">
        <v>106396532.88163239</v>
      </c>
      <c r="AL957" s="369"/>
      <c r="AM957" s="350">
        <v>8190932.2738224771</v>
      </c>
      <c r="AN957" s="350">
        <v>17549725.681513384</v>
      </c>
      <c r="AO957" s="350">
        <v>26645820.902599283</v>
      </c>
      <c r="AP957" s="350">
        <v>35473621.835024074</v>
      </c>
      <c r="AQ957" s="350">
        <v>44030067.731872581</v>
      </c>
      <c r="AR957" s="348">
        <v>131890168.42483181</v>
      </c>
      <c r="AS957" s="369"/>
      <c r="AT957" s="350">
        <f t="shared" si="387"/>
        <v>1170416.9799515419</v>
      </c>
      <c r="AU957" s="350">
        <f t="shared" si="370"/>
        <v>3453561.7756600082</v>
      </c>
      <c r="AV957" s="350">
        <f t="shared" si="371"/>
        <v>5420459.4977743775</v>
      </c>
      <c r="AW957" s="350">
        <f t="shared" si="372"/>
        <v>7065277.660379909</v>
      </c>
      <c r="AX957" s="350">
        <f t="shared" si="373"/>
        <v>8383919.6294335574</v>
      </c>
      <c r="AY957" s="350">
        <f t="shared" si="374"/>
        <v>25493635.54319942</v>
      </c>
      <c r="AZ957" s="365"/>
      <c r="BA957" s="377">
        <f t="shared" si="375"/>
        <v>0</v>
      </c>
      <c r="BB957" s="377">
        <f t="shared" si="376"/>
        <v>0</v>
      </c>
      <c r="BC957" s="377">
        <f t="shared" si="377"/>
        <v>0</v>
      </c>
      <c r="BD957" s="377">
        <f t="shared" si="378"/>
        <v>0</v>
      </c>
      <c r="BE957" s="377">
        <f t="shared" si="379"/>
        <v>0</v>
      </c>
      <c r="BF957" s="377">
        <f t="shared" si="380"/>
        <v>0</v>
      </c>
      <c r="BG957" s="328"/>
    </row>
    <row r="958" spans="2:59">
      <c r="B958" s="332">
        <v>943</v>
      </c>
      <c r="C958" s="350">
        <v>7119259.9130163006</v>
      </c>
      <c r="D958" s="350">
        <v>13301617.351051569</v>
      </c>
      <c r="E958" s="350">
        <v>19530480.131259151</v>
      </c>
      <c r="F958" s="350">
        <v>25806312.025746707</v>
      </c>
      <c r="G958" s="350">
        <v>32130130.063158195</v>
      </c>
      <c r="H958" s="348">
        <v>97887799.484231919</v>
      </c>
      <c r="I958" s="369"/>
      <c r="J958" s="350">
        <v>8006640.7690752875</v>
      </c>
      <c r="K958" s="350">
        <v>15918126.787499139</v>
      </c>
      <c r="L958" s="350">
        <v>23625410.374580063</v>
      </c>
      <c r="M958" s="350">
        <v>31122839.846313078</v>
      </c>
      <c r="N958" s="350">
        <v>38406614.347334385</v>
      </c>
      <c r="O958" s="348">
        <v>117079632.12480195</v>
      </c>
      <c r="P958" s="369"/>
      <c r="Q958" s="350">
        <f t="shared" si="381"/>
        <v>887380.85605898686</v>
      </c>
      <c r="R958" s="350">
        <f t="shared" si="382"/>
        <v>2616509.4364475701</v>
      </c>
      <c r="S958" s="350">
        <f t="shared" si="383"/>
        <v>4094930.2433209121</v>
      </c>
      <c r="T958" s="350">
        <f t="shared" si="384"/>
        <v>5316527.8205663711</v>
      </c>
      <c r="U958" s="350">
        <f t="shared" si="385"/>
        <v>6276484.2841761895</v>
      </c>
      <c r="V958" s="350">
        <f t="shared" si="386"/>
        <v>19191832.64057003</v>
      </c>
      <c r="W958" s="365"/>
      <c r="X958" s="377">
        <f t="shared" si="364"/>
        <v>0</v>
      </c>
      <c r="Y958" s="377">
        <f t="shared" si="365"/>
        <v>0</v>
      </c>
      <c r="Z958" s="377">
        <f t="shared" si="366"/>
        <v>0</v>
      </c>
      <c r="AA958" s="377">
        <f t="shared" si="367"/>
        <v>0</v>
      </c>
      <c r="AB958" s="377">
        <f t="shared" si="368"/>
        <v>0</v>
      </c>
      <c r="AC958" s="377">
        <f t="shared" si="369"/>
        <v>0</v>
      </c>
      <c r="AD958" s="376"/>
      <c r="AE958" s="332">
        <v>943</v>
      </c>
      <c r="AF958" s="350">
        <v>5612864.3602138571</v>
      </c>
      <c r="AG958" s="350">
        <v>11269807.512843218</v>
      </c>
      <c r="AH958" s="350">
        <v>16969562.713695388</v>
      </c>
      <c r="AI958" s="350">
        <v>22712318.950398766</v>
      </c>
      <c r="AJ958" s="350">
        <v>28498904.409161597</v>
      </c>
      <c r="AK958" s="348">
        <v>85063457.946312815</v>
      </c>
      <c r="AL958" s="369"/>
      <c r="AM958" s="350">
        <v>6622996.5214633057</v>
      </c>
      <c r="AN958" s="350">
        <v>14251530.711983941</v>
      </c>
      <c r="AO958" s="350">
        <v>21672267.115571901</v>
      </c>
      <c r="AP958" s="350">
        <v>28880710.638350755</v>
      </c>
      <c r="AQ958" s="350">
        <v>35874489.569250211</v>
      </c>
      <c r="AR958" s="348">
        <v>107301994.55662011</v>
      </c>
      <c r="AS958" s="369"/>
      <c r="AT958" s="350">
        <f t="shared" si="387"/>
        <v>1010132.1612494485</v>
      </c>
      <c r="AU958" s="350">
        <f t="shared" si="370"/>
        <v>2981723.1991407238</v>
      </c>
      <c r="AV958" s="350">
        <f t="shared" si="371"/>
        <v>4702704.4018765129</v>
      </c>
      <c r="AW958" s="350">
        <f t="shared" si="372"/>
        <v>6168391.6879519895</v>
      </c>
      <c r="AX958" s="350">
        <f t="shared" si="373"/>
        <v>7375585.1600886136</v>
      </c>
      <c r="AY958" s="350">
        <f t="shared" si="374"/>
        <v>22238536.610307291</v>
      </c>
      <c r="AZ958" s="365"/>
      <c r="BA958" s="377">
        <f t="shared" si="375"/>
        <v>0</v>
      </c>
      <c r="BB958" s="377">
        <f t="shared" si="376"/>
        <v>0</v>
      </c>
      <c r="BC958" s="377">
        <f t="shared" si="377"/>
        <v>0</v>
      </c>
      <c r="BD958" s="377">
        <f t="shared" si="378"/>
        <v>0</v>
      </c>
      <c r="BE958" s="377">
        <f t="shared" si="379"/>
        <v>0</v>
      </c>
      <c r="BF958" s="377">
        <f t="shared" si="380"/>
        <v>0</v>
      </c>
      <c r="BG958" s="328"/>
    </row>
    <row r="959" spans="2:59">
      <c r="B959" s="332">
        <v>944</v>
      </c>
      <c r="C959" s="350">
        <v>6136246.2279952569</v>
      </c>
      <c r="D959" s="350">
        <v>11436690.644650273</v>
      </c>
      <c r="E959" s="350">
        <v>16776997.065367201</v>
      </c>
      <c r="F959" s="350">
        <v>22157571.604511715</v>
      </c>
      <c r="G959" s="350">
        <v>27579289.909677256</v>
      </c>
      <c r="H959" s="348">
        <v>84086795.452201709</v>
      </c>
      <c r="I959" s="369"/>
      <c r="J959" s="350">
        <v>7148556.8801867189</v>
      </c>
      <c r="K959" s="350">
        <v>14425867.425095938</v>
      </c>
      <c r="L959" s="350">
        <v>21536425.092210576</v>
      </c>
      <c r="M959" s="350">
        <v>28475284.539891481</v>
      </c>
      <c r="N959" s="350">
        <v>35239406.969080813</v>
      </c>
      <c r="O959" s="348">
        <v>106825540.90646553</v>
      </c>
      <c r="P959" s="369"/>
      <c r="Q959" s="350">
        <f t="shared" si="381"/>
        <v>1012310.652191462</v>
      </c>
      <c r="R959" s="350">
        <f t="shared" si="382"/>
        <v>2989176.7804456651</v>
      </c>
      <c r="S959" s="350">
        <f t="shared" si="383"/>
        <v>4759428.0268433746</v>
      </c>
      <c r="T959" s="350">
        <f t="shared" si="384"/>
        <v>6317712.9353797659</v>
      </c>
      <c r="U959" s="350">
        <f t="shared" si="385"/>
        <v>7660117.0594035573</v>
      </c>
      <c r="V959" s="350">
        <f t="shared" si="386"/>
        <v>22738745.454263821</v>
      </c>
      <c r="W959" s="365"/>
      <c r="X959" s="377">
        <f t="shared" si="364"/>
        <v>0</v>
      </c>
      <c r="Y959" s="377">
        <f t="shared" si="365"/>
        <v>0</v>
      </c>
      <c r="Z959" s="377">
        <f t="shared" si="366"/>
        <v>0</v>
      </c>
      <c r="AA959" s="377">
        <f t="shared" si="367"/>
        <v>0</v>
      </c>
      <c r="AB959" s="377">
        <f t="shared" si="368"/>
        <v>0</v>
      </c>
      <c r="AC959" s="377">
        <f t="shared" si="369"/>
        <v>0</v>
      </c>
      <c r="AD959" s="376"/>
      <c r="AE959" s="332">
        <v>944</v>
      </c>
      <c r="AF959" s="350">
        <v>8928723.6553961579</v>
      </c>
      <c r="AG959" s="350">
        <v>17927566.118460529</v>
      </c>
      <c r="AH959" s="350">
        <v>26994512.302400917</v>
      </c>
      <c r="AI959" s="350">
        <v>36129862.841296464</v>
      </c>
      <c r="AJ959" s="350">
        <v>45334935.181162976</v>
      </c>
      <c r="AK959" s="348">
        <v>135315600.09871703</v>
      </c>
      <c r="AL959" s="369"/>
      <c r="AM959" s="350">
        <v>10132208.495836288</v>
      </c>
      <c r="AN959" s="350">
        <v>21474426.93688773</v>
      </c>
      <c r="AO959" s="350">
        <v>32474007.072548028</v>
      </c>
      <c r="AP959" s="350">
        <v>43123912.379125871</v>
      </c>
      <c r="AQ959" s="350">
        <v>53419961.488837928</v>
      </c>
      <c r="AR959" s="348">
        <v>160624516.37323585</v>
      </c>
      <c r="AS959" s="369"/>
      <c r="AT959" s="350">
        <f t="shared" si="387"/>
        <v>1203484.8404401299</v>
      </c>
      <c r="AU959" s="350">
        <f t="shared" si="370"/>
        <v>3546860.8184272014</v>
      </c>
      <c r="AV959" s="350">
        <f t="shared" si="371"/>
        <v>5479494.7701471113</v>
      </c>
      <c r="AW959" s="350">
        <f t="shared" si="372"/>
        <v>6994049.5378294066</v>
      </c>
      <c r="AX959" s="350">
        <f t="shared" si="373"/>
        <v>8085026.3076749519</v>
      </c>
      <c r="AY959" s="350">
        <f t="shared" si="374"/>
        <v>25308916.274518818</v>
      </c>
      <c r="AZ959" s="365"/>
      <c r="BA959" s="377">
        <f t="shared" si="375"/>
        <v>0</v>
      </c>
      <c r="BB959" s="377">
        <f t="shared" si="376"/>
        <v>0</v>
      </c>
      <c r="BC959" s="377">
        <f t="shared" si="377"/>
        <v>0</v>
      </c>
      <c r="BD959" s="377">
        <f t="shared" si="378"/>
        <v>0</v>
      </c>
      <c r="BE959" s="377">
        <f t="shared" si="379"/>
        <v>0</v>
      </c>
      <c r="BF959" s="377">
        <f t="shared" si="380"/>
        <v>0</v>
      </c>
      <c r="BG959" s="328"/>
    </row>
    <row r="960" spans="2:59">
      <c r="B960" s="332">
        <v>945</v>
      </c>
      <c r="C960" s="350">
        <v>7881624.2044089548</v>
      </c>
      <c r="D960" s="350">
        <v>15005872.348141948</v>
      </c>
      <c r="E960" s="350">
        <v>22183803.592673648</v>
      </c>
      <c r="F960" s="350">
        <v>29415868.213855892</v>
      </c>
      <c r="G960" s="350">
        <v>36703201.571429849</v>
      </c>
      <c r="H960" s="348">
        <v>111190369.9305103</v>
      </c>
      <c r="I960" s="369"/>
      <c r="J960" s="350">
        <v>8856789.0154662728</v>
      </c>
      <c r="K960" s="350">
        <v>17880349.259967532</v>
      </c>
      <c r="L960" s="350">
        <v>26662759.295528203</v>
      </c>
      <c r="M960" s="350">
        <v>35197561.861968517</v>
      </c>
      <c r="N960" s="350">
        <v>43480424.704526</v>
      </c>
      <c r="O960" s="348">
        <v>132077884.13745654</v>
      </c>
      <c r="P960" s="369"/>
      <c r="Q960" s="350">
        <f t="shared" si="381"/>
        <v>975164.811057318</v>
      </c>
      <c r="R960" s="350">
        <f t="shared" si="382"/>
        <v>2874476.9118255842</v>
      </c>
      <c r="S960" s="350">
        <f t="shared" si="383"/>
        <v>4478955.7028545551</v>
      </c>
      <c r="T960" s="350">
        <f t="shared" si="384"/>
        <v>5781693.6481126249</v>
      </c>
      <c r="U960" s="350">
        <f t="shared" si="385"/>
        <v>6777223.1330961511</v>
      </c>
      <c r="V960" s="350">
        <f t="shared" si="386"/>
        <v>20887514.206946239</v>
      </c>
      <c r="W960" s="365"/>
      <c r="X960" s="377">
        <f t="shared" si="364"/>
        <v>0</v>
      </c>
      <c r="Y960" s="377">
        <f t="shared" si="365"/>
        <v>0</v>
      </c>
      <c r="Z960" s="377">
        <f t="shared" si="366"/>
        <v>0</v>
      </c>
      <c r="AA960" s="377">
        <f t="shared" si="367"/>
        <v>0</v>
      </c>
      <c r="AB960" s="377">
        <f t="shared" si="368"/>
        <v>0</v>
      </c>
      <c r="AC960" s="377">
        <f t="shared" si="369"/>
        <v>0</v>
      </c>
      <c r="AD960" s="376"/>
      <c r="AE960" s="332">
        <v>945</v>
      </c>
      <c r="AF960" s="350">
        <v>5639635.7987183742</v>
      </c>
      <c r="AG960" s="350">
        <v>11323560.630578693</v>
      </c>
      <c r="AH960" s="350">
        <v>17050501.709452793</v>
      </c>
      <c r="AI960" s="350">
        <v>22820648.924375258</v>
      </c>
      <c r="AJ960" s="350">
        <v>28634834.411718592</v>
      </c>
      <c r="AK960" s="348">
        <v>85469181.474843711</v>
      </c>
      <c r="AL960" s="369"/>
      <c r="AM960" s="350">
        <v>6517931.6682764823</v>
      </c>
      <c r="AN960" s="350">
        <v>13914229.174335234</v>
      </c>
      <c r="AO960" s="350">
        <v>21097644.930607121</v>
      </c>
      <c r="AP960" s="350">
        <v>28063701.054057356</v>
      </c>
      <c r="AQ960" s="350">
        <v>34809876.122621998</v>
      </c>
      <c r="AR960" s="348">
        <v>104403382.9498982</v>
      </c>
      <c r="AS960" s="369"/>
      <c r="AT960" s="350">
        <f t="shared" si="387"/>
        <v>878295.86955810804</v>
      </c>
      <c r="AU960" s="350">
        <f t="shared" si="370"/>
        <v>2590668.5437565409</v>
      </c>
      <c r="AV960" s="350">
        <f t="shared" si="371"/>
        <v>4047143.2211543284</v>
      </c>
      <c r="AW960" s="350">
        <f t="shared" si="372"/>
        <v>5243052.1296820976</v>
      </c>
      <c r="AX960" s="350">
        <f t="shared" si="373"/>
        <v>6175041.7109034061</v>
      </c>
      <c r="AY960" s="350">
        <f t="shared" si="374"/>
        <v>18934201.475054488</v>
      </c>
      <c r="AZ960" s="365"/>
      <c r="BA960" s="377">
        <f t="shared" si="375"/>
        <v>0</v>
      </c>
      <c r="BB960" s="377">
        <f t="shared" si="376"/>
        <v>0</v>
      </c>
      <c r="BC960" s="377">
        <f t="shared" si="377"/>
        <v>0</v>
      </c>
      <c r="BD960" s="377">
        <f t="shared" si="378"/>
        <v>0</v>
      </c>
      <c r="BE960" s="377">
        <f t="shared" si="379"/>
        <v>0</v>
      </c>
      <c r="BF960" s="377">
        <f t="shared" si="380"/>
        <v>0</v>
      </c>
      <c r="BG960" s="328"/>
    </row>
    <row r="961" spans="2:59">
      <c r="B961" s="332">
        <v>946</v>
      </c>
      <c r="C961" s="350">
        <v>8780247.3982844315</v>
      </c>
      <c r="D961" s="350">
        <v>16597843.470193079</v>
      </c>
      <c r="E961" s="350">
        <v>24474309.397092782</v>
      </c>
      <c r="F961" s="350">
        <v>32410173.632278666</v>
      </c>
      <c r="G961" s="350">
        <v>40406696.979313612</v>
      </c>
      <c r="H961" s="348">
        <v>122669270.87716258</v>
      </c>
      <c r="I961" s="369"/>
      <c r="J961" s="350">
        <v>10407574.546922198</v>
      </c>
      <c r="K961" s="350">
        <v>21404760.104198996</v>
      </c>
      <c r="L961" s="350">
        <v>32154158.563483648</v>
      </c>
      <c r="M961" s="350">
        <v>42648579.745213658</v>
      </c>
      <c r="N961" s="350">
        <v>52883868.020234063</v>
      </c>
      <c r="O961" s="348">
        <v>159498940.98005256</v>
      </c>
      <c r="P961" s="369"/>
      <c r="Q961" s="350">
        <f t="shared" si="381"/>
        <v>1627327.148637766</v>
      </c>
      <c r="R961" s="350">
        <f t="shared" si="382"/>
        <v>4806916.6340059172</v>
      </c>
      <c r="S961" s="350">
        <f t="shared" si="383"/>
        <v>7679849.166390866</v>
      </c>
      <c r="T961" s="350">
        <f t="shared" si="384"/>
        <v>10238406.112934992</v>
      </c>
      <c r="U961" s="350">
        <f t="shared" si="385"/>
        <v>12477171.040920451</v>
      </c>
      <c r="V961" s="350">
        <f t="shared" si="386"/>
        <v>36829670.102889985</v>
      </c>
      <c r="W961" s="365"/>
      <c r="X961" s="377">
        <f t="shared" si="364"/>
        <v>0</v>
      </c>
      <c r="Y961" s="377">
        <f t="shared" si="365"/>
        <v>0</v>
      </c>
      <c r="Z961" s="377">
        <f t="shared" si="366"/>
        <v>0</v>
      </c>
      <c r="AA961" s="377">
        <f t="shared" si="367"/>
        <v>0</v>
      </c>
      <c r="AB961" s="377">
        <f t="shared" si="368"/>
        <v>0</v>
      </c>
      <c r="AC961" s="377">
        <f t="shared" si="369"/>
        <v>0</v>
      </c>
      <c r="AD961" s="376"/>
      <c r="AE961" s="332">
        <v>946</v>
      </c>
      <c r="AF961" s="350">
        <v>7423737.2475761268</v>
      </c>
      <c r="AG961" s="350">
        <v>14905774.384848978</v>
      </c>
      <c r="AH961" s="350">
        <v>22444435.979197536</v>
      </c>
      <c r="AI961" s="350">
        <v>30039971.991142172</v>
      </c>
      <c r="AJ961" s="350">
        <v>37693477.803789899</v>
      </c>
      <c r="AK961" s="348">
        <v>112507397.40655471</v>
      </c>
      <c r="AL961" s="369"/>
      <c r="AM961" s="350">
        <v>8688621.8560138829</v>
      </c>
      <c r="AN961" s="350">
        <v>18638491.350836039</v>
      </c>
      <c r="AO961" s="350">
        <v>28311390.633864142</v>
      </c>
      <c r="AP961" s="350">
        <v>37701394.486107036</v>
      </c>
      <c r="AQ961" s="350">
        <v>46805293.959985942</v>
      </c>
      <c r="AR961" s="348">
        <v>140145192.28680706</v>
      </c>
      <c r="AS961" s="369"/>
      <c r="AT961" s="350">
        <f t="shared" si="387"/>
        <v>1264884.6084377561</v>
      </c>
      <c r="AU961" s="350">
        <f t="shared" si="370"/>
        <v>3732716.9659870602</v>
      </c>
      <c r="AV961" s="350">
        <f t="shared" si="371"/>
        <v>5866954.6546666063</v>
      </c>
      <c r="AW961" s="350">
        <f t="shared" si="372"/>
        <v>7661422.4949648641</v>
      </c>
      <c r="AX961" s="350">
        <f t="shared" si="373"/>
        <v>9111816.1561960429</v>
      </c>
      <c r="AY961" s="350">
        <f t="shared" si="374"/>
        <v>27637794.880252346</v>
      </c>
      <c r="AZ961" s="365"/>
      <c r="BA961" s="377">
        <f t="shared" si="375"/>
        <v>0</v>
      </c>
      <c r="BB961" s="377">
        <f t="shared" si="376"/>
        <v>0</v>
      </c>
      <c r="BC961" s="377">
        <f t="shared" si="377"/>
        <v>0</v>
      </c>
      <c r="BD961" s="377">
        <f t="shared" si="378"/>
        <v>0</v>
      </c>
      <c r="BE961" s="377">
        <f t="shared" si="379"/>
        <v>0</v>
      </c>
      <c r="BF961" s="377">
        <f t="shared" si="380"/>
        <v>0</v>
      </c>
      <c r="BG961" s="328"/>
    </row>
    <row r="962" spans="2:59">
      <c r="B962" s="332">
        <v>947</v>
      </c>
      <c r="C962" s="350">
        <v>8050340.0316357724</v>
      </c>
      <c r="D962" s="350">
        <v>14931391.778988108</v>
      </c>
      <c r="E962" s="350">
        <v>21864168.281995595</v>
      </c>
      <c r="F962" s="350">
        <v>28849218.759039946</v>
      </c>
      <c r="G962" s="350">
        <v>35887689.550246499</v>
      </c>
      <c r="H962" s="348">
        <v>109582808.40190592</v>
      </c>
      <c r="I962" s="369"/>
      <c r="J962" s="350">
        <v>9332849.4912378099</v>
      </c>
      <c r="K962" s="350">
        <v>18718002.535421256</v>
      </c>
      <c r="L962" s="350">
        <v>27884912.830887072</v>
      </c>
      <c r="M962" s="350">
        <v>36827215.96698533</v>
      </c>
      <c r="N962" s="350">
        <v>45540970.255861014</v>
      </c>
      <c r="O962" s="348">
        <v>138303951.08039248</v>
      </c>
      <c r="P962" s="369"/>
      <c r="Q962" s="350">
        <f t="shared" si="381"/>
        <v>1282509.4596020374</v>
      </c>
      <c r="R962" s="350">
        <f t="shared" si="382"/>
        <v>3786610.7564331479</v>
      </c>
      <c r="S962" s="350">
        <f t="shared" si="383"/>
        <v>6020744.5488914773</v>
      </c>
      <c r="T962" s="350">
        <f t="shared" si="384"/>
        <v>7977997.2079453841</v>
      </c>
      <c r="U962" s="350">
        <f t="shared" si="385"/>
        <v>9653280.7056145146</v>
      </c>
      <c r="V962" s="350">
        <f t="shared" si="386"/>
        <v>28721142.678486556</v>
      </c>
      <c r="W962" s="365"/>
      <c r="X962" s="377">
        <f t="shared" si="364"/>
        <v>0</v>
      </c>
      <c r="Y962" s="377">
        <f t="shared" si="365"/>
        <v>0</v>
      </c>
      <c r="Z962" s="377">
        <f t="shared" si="366"/>
        <v>0</v>
      </c>
      <c r="AA962" s="377">
        <f t="shared" si="367"/>
        <v>0</v>
      </c>
      <c r="AB962" s="377">
        <f t="shared" si="368"/>
        <v>0</v>
      </c>
      <c r="AC962" s="377">
        <f t="shared" si="369"/>
        <v>0</v>
      </c>
      <c r="AD962" s="376"/>
      <c r="AE962" s="332">
        <v>947</v>
      </c>
      <c r="AF962" s="350">
        <v>6670382.1534439046</v>
      </c>
      <c r="AG962" s="350">
        <v>13393147.969026145</v>
      </c>
      <c r="AH962" s="350">
        <v>20166792.035727732</v>
      </c>
      <c r="AI962" s="350">
        <v>26991538.948269434</v>
      </c>
      <c r="AJ962" s="350">
        <v>33868372.931130715</v>
      </c>
      <c r="AK962" s="348">
        <v>101090234.03759792</v>
      </c>
      <c r="AL962" s="369"/>
      <c r="AM962" s="350">
        <v>7900673.3095084513</v>
      </c>
      <c r="AN962" s="350">
        <v>17025154.301545225</v>
      </c>
      <c r="AO962" s="350">
        <v>25903580.126866899</v>
      </c>
      <c r="AP962" s="350">
        <v>34530600.332588084</v>
      </c>
      <c r="AQ962" s="350">
        <v>42903426.575672559</v>
      </c>
      <c r="AR962" s="348">
        <v>128263434.64618123</v>
      </c>
      <c r="AS962" s="369"/>
      <c r="AT962" s="350">
        <f t="shared" si="387"/>
        <v>1230291.1560645467</v>
      </c>
      <c r="AU962" s="350">
        <f t="shared" si="370"/>
        <v>3632006.3325190805</v>
      </c>
      <c r="AV962" s="350">
        <f t="shared" si="371"/>
        <v>5736788.0911391675</v>
      </c>
      <c r="AW962" s="350">
        <f t="shared" si="372"/>
        <v>7539061.3843186498</v>
      </c>
      <c r="AX962" s="350">
        <f t="shared" si="373"/>
        <v>9035053.6445418447</v>
      </c>
      <c r="AY962" s="350">
        <f t="shared" si="374"/>
        <v>27173200.608583301</v>
      </c>
      <c r="AZ962" s="365"/>
      <c r="BA962" s="377">
        <f t="shared" si="375"/>
        <v>0</v>
      </c>
      <c r="BB962" s="377">
        <f t="shared" si="376"/>
        <v>0</v>
      </c>
      <c r="BC962" s="377">
        <f t="shared" si="377"/>
        <v>0</v>
      </c>
      <c r="BD962" s="377">
        <f t="shared" si="378"/>
        <v>0</v>
      </c>
      <c r="BE962" s="377">
        <f t="shared" si="379"/>
        <v>0</v>
      </c>
      <c r="BF962" s="377">
        <f t="shared" si="380"/>
        <v>0</v>
      </c>
      <c r="BG962" s="328"/>
    </row>
    <row r="963" spans="2:59">
      <c r="B963" s="332">
        <v>948</v>
      </c>
      <c r="C963" s="350">
        <v>7853931.1764567578</v>
      </c>
      <c r="D963" s="350">
        <v>14675629.650760099</v>
      </c>
      <c r="E963" s="350">
        <v>21548643.208916496</v>
      </c>
      <c r="F963" s="350">
        <v>28473483.176520601</v>
      </c>
      <c r="G963" s="350">
        <v>35451271.579945229</v>
      </c>
      <c r="H963" s="348">
        <v>108002958.79259917</v>
      </c>
      <c r="I963" s="369"/>
      <c r="J963" s="350">
        <v>9088084.7596168648</v>
      </c>
      <c r="K963" s="350">
        <v>18318980.000093922</v>
      </c>
      <c r="L963" s="350">
        <v>27331801.24496796</v>
      </c>
      <c r="M963" s="350">
        <v>36120243.639192194</v>
      </c>
      <c r="N963" s="350">
        <v>44680375.581375793</v>
      </c>
      <c r="O963" s="348">
        <v>135539485.22524673</v>
      </c>
      <c r="P963" s="369"/>
      <c r="Q963" s="350">
        <f t="shared" si="381"/>
        <v>1234153.583160107</v>
      </c>
      <c r="R963" s="350">
        <f t="shared" si="382"/>
        <v>3643350.3493338227</v>
      </c>
      <c r="S963" s="350">
        <f t="shared" si="383"/>
        <v>5783158.0360514633</v>
      </c>
      <c r="T963" s="350">
        <f t="shared" si="384"/>
        <v>7646760.4626715928</v>
      </c>
      <c r="U963" s="350">
        <f t="shared" si="385"/>
        <v>9229104.0014305636</v>
      </c>
      <c r="V963" s="350">
        <f t="shared" si="386"/>
        <v>27536526.432647556</v>
      </c>
      <c r="W963" s="365"/>
      <c r="X963" s="377">
        <f t="shared" si="364"/>
        <v>0</v>
      </c>
      <c r="Y963" s="377">
        <f t="shared" si="365"/>
        <v>0</v>
      </c>
      <c r="Z963" s="377">
        <f t="shared" si="366"/>
        <v>0</v>
      </c>
      <c r="AA963" s="377">
        <f t="shared" si="367"/>
        <v>0</v>
      </c>
      <c r="AB963" s="377">
        <f t="shared" si="368"/>
        <v>0</v>
      </c>
      <c r="AC963" s="377">
        <f t="shared" si="369"/>
        <v>0</v>
      </c>
      <c r="AD963" s="376"/>
      <c r="AE963" s="332">
        <v>948</v>
      </c>
      <c r="AF963" s="350">
        <v>8764249.0284626316</v>
      </c>
      <c r="AG963" s="350">
        <v>17597325.216965288</v>
      </c>
      <c r="AH963" s="350">
        <v>26497250.598315522</v>
      </c>
      <c r="AI963" s="350">
        <v>35464320.268658951</v>
      </c>
      <c r="AJ963" s="350">
        <v>44499827.405543655</v>
      </c>
      <c r="AK963" s="348">
        <v>132822972.51794605</v>
      </c>
      <c r="AL963" s="369"/>
      <c r="AM963" s="350">
        <v>10500588.063263662</v>
      </c>
      <c r="AN963" s="350">
        <v>22724886.287207138</v>
      </c>
      <c r="AO963" s="350">
        <v>34629481.018495038</v>
      </c>
      <c r="AP963" s="350">
        <v>46207308.370936677</v>
      </c>
      <c r="AQ963" s="350">
        <v>57454826.109662376</v>
      </c>
      <c r="AR963" s="348">
        <v>171517089.84956488</v>
      </c>
      <c r="AS963" s="369"/>
      <c r="AT963" s="350">
        <f t="shared" si="387"/>
        <v>1736339.0348010305</v>
      </c>
      <c r="AU963" s="350">
        <f t="shared" si="370"/>
        <v>5127561.0702418499</v>
      </c>
      <c r="AV963" s="350">
        <f t="shared" si="371"/>
        <v>8132230.4201795161</v>
      </c>
      <c r="AW963" s="350">
        <f t="shared" si="372"/>
        <v>10742988.102277726</v>
      </c>
      <c r="AX963" s="350">
        <f t="shared" si="373"/>
        <v>12954998.704118721</v>
      </c>
      <c r="AY963" s="350">
        <f t="shared" si="374"/>
        <v>38694117.331618831</v>
      </c>
      <c r="AZ963" s="365"/>
      <c r="BA963" s="377">
        <f t="shared" si="375"/>
        <v>0</v>
      </c>
      <c r="BB963" s="377">
        <f t="shared" si="376"/>
        <v>0</v>
      </c>
      <c r="BC963" s="377">
        <f t="shared" si="377"/>
        <v>0</v>
      </c>
      <c r="BD963" s="377">
        <f t="shared" si="378"/>
        <v>0</v>
      </c>
      <c r="BE963" s="377">
        <f t="shared" si="379"/>
        <v>0</v>
      </c>
      <c r="BF963" s="377">
        <f t="shared" si="380"/>
        <v>0</v>
      </c>
      <c r="BG963" s="328"/>
    </row>
    <row r="964" spans="2:59">
      <c r="B964" s="332">
        <v>949</v>
      </c>
      <c r="C964" s="350">
        <v>8258400.4064940922</v>
      </c>
      <c r="D964" s="350">
        <v>15552439.252911199</v>
      </c>
      <c r="E964" s="350">
        <v>22901386.326087125</v>
      </c>
      <c r="F964" s="350">
        <v>30305751.969577722</v>
      </c>
      <c r="G964" s="350">
        <v>37766720.068074122</v>
      </c>
      <c r="H964" s="348">
        <v>114784698.02314426</v>
      </c>
      <c r="I964" s="369"/>
      <c r="J964" s="350">
        <v>9702809.3771080896</v>
      </c>
      <c r="K964" s="350">
        <v>19818175.709337294</v>
      </c>
      <c r="L964" s="350">
        <v>29704725.85777849</v>
      </c>
      <c r="M964" s="350">
        <v>39355616.486896545</v>
      </c>
      <c r="N964" s="350">
        <v>48766723.070937403</v>
      </c>
      <c r="O964" s="348">
        <v>147348050.50205782</v>
      </c>
      <c r="P964" s="369"/>
      <c r="Q964" s="350">
        <f t="shared" si="381"/>
        <v>1444408.9706139974</v>
      </c>
      <c r="R964" s="350">
        <f t="shared" si="382"/>
        <v>4265736.4564260952</v>
      </c>
      <c r="S964" s="350">
        <f t="shared" si="383"/>
        <v>6803339.5316913649</v>
      </c>
      <c r="T964" s="350">
        <f t="shared" si="384"/>
        <v>9049864.5173188224</v>
      </c>
      <c r="U964" s="350">
        <f t="shared" si="385"/>
        <v>11000003.00286328</v>
      </c>
      <c r="V964" s="350">
        <f t="shared" si="386"/>
        <v>32563352.478913561</v>
      </c>
      <c r="W964" s="365"/>
      <c r="X964" s="377">
        <f t="shared" si="364"/>
        <v>0</v>
      </c>
      <c r="Y964" s="377">
        <f t="shared" si="365"/>
        <v>0</v>
      </c>
      <c r="Z964" s="377">
        <f t="shared" si="366"/>
        <v>0</v>
      </c>
      <c r="AA964" s="377">
        <f t="shared" si="367"/>
        <v>0</v>
      </c>
      <c r="AB964" s="377">
        <f t="shared" si="368"/>
        <v>0</v>
      </c>
      <c r="AC964" s="377">
        <f t="shared" si="369"/>
        <v>0</v>
      </c>
      <c r="AD964" s="376"/>
      <c r="AE964" s="332">
        <v>949</v>
      </c>
      <c r="AF964" s="350">
        <v>7858019.437513506</v>
      </c>
      <c r="AG964" s="350">
        <v>15777749.257704057</v>
      </c>
      <c r="AH964" s="350">
        <v>23757416.016595505</v>
      </c>
      <c r="AI964" s="350">
        <v>31797284.297181863</v>
      </c>
      <c r="AJ964" s="350">
        <v>39898513.561531805</v>
      </c>
      <c r="AK964" s="348">
        <v>119088982.57052675</v>
      </c>
      <c r="AL964" s="369"/>
      <c r="AM964" s="350">
        <v>9161297.3012868967</v>
      </c>
      <c r="AN964" s="350">
        <v>19623243.639175508</v>
      </c>
      <c r="AO964" s="350">
        <v>29790950.975039721</v>
      </c>
      <c r="AP964" s="350">
        <v>39658157.539112404</v>
      </c>
      <c r="AQ964" s="350">
        <v>49221430.60729555</v>
      </c>
      <c r="AR964" s="348">
        <v>147455080.06191006</v>
      </c>
      <c r="AS964" s="369"/>
      <c r="AT964" s="350">
        <f t="shared" si="387"/>
        <v>1303277.8637733907</v>
      </c>
      <c r="AU964" s="350">
        <f t="shared" si="370"/>
        <v>3845494.3814714514</v>
      </c>
      <c r="AV964" s="350">
        <f t="shared" si="371"/>
        <v>6033534.9584442154</v>
      </c>
      <c r="AW964" s="350">
        <f t="shared" si="372"/>
        <v>7860873.2419305407</v>
      </c>
      <c r="AX964" s="350">
        <f t="shared" si="373"/>
        <v>9322917.0457637459</v>
      </c>
      <c r="AY964" s="350">
        <f t="shared" si="374"/>
        <v>28366097.491383314</v>
      </c>
      <c r="AZ964" s="365"/>
      <c r="BA964" s="377">
        <f t="shared" si="375"/>
        <v>0</v>
      </c>
      <c r="BB964" s="377">
        <f t="shared" si="376"/>
        <v>0</v>
      </c>
      <c r="BC964" s="377">
        <f t="shared" si="377"/>
        <v>0</v>
      </c>
      <c r="BD964" s="377">
        <f t="shared" si="378"/>
        <v>0</v>
      </c>
      <c r="BE964" s="377">
        <f t="shared" si="379"/>
        <v>0</v>
      </c>
      <c r="BF964" s="377">
        <f t="shared" si="380"/>
        <v>0</v>
      </c>
      <c r="BG964" s="328"/>
    </row>
    <row r="965" spans="2:59">
      <c r="B965" s="332">
        <v>950</v>
      </c>
      <c r="C965" s="350">
        <v>6202313.7909175521</v>
      </c>
      <c r="D965" s="350">
        <v>11713335.613515653</v>
      </c>
      <c r="E965" s="350">
        <v>17265854.155827783</v>
      </c>
      <c r="F965" s="350">
        <v>22860245.260008499</v>
      </c>
      <c r="G965" s="350">
        <v>28497399.170255996</v>
      </c>
      <c r="H965" s="348">
        <v>86539147.990525484</v>
      </c>
      <c r="I965" s="369"/>
      <c r="J965" s="350">
        <v>7192881.1867301688</v>
      </c>
      <c r="K965" s="350">
        <v>14637495.155310117</v>
      </c>
      <c r="L965" s="350">
        <v>21910585.859941952</v>
      </c>
      <c r="M965" s="350">
        <v>29006822.474643715</v>
      </c>
      <c r="N965" s="350">
        <v>35922796.487185627</v>
      </c>
      <c r="O965" s="348">
        <v>108670581.16381158</v>
      </c>
      <c r="P965" s="369"/>
      <c r="Q965" s="350">
        <f t="shared" si="381"/>
        <v>990567.39581261668</v>
      </c>
      <c r="R965" s="350">
        <f t="shared" si="382"/>
        <v>2924159.541794464</v>
      </c>
      <c r="S965" s="350">
        <f t="shared" si="383"/>
        <v>4644731.7041141689</v>
      </c>
      <c r="T965" s="350">
        <f t="shared" si="384"/>
        <v>6146577.2146352157</v>
      </c>
      <c r="U965" s="350">
        <f t="shared" si="385"/>
        <v>7425397.3169296309</v>
      </c>
      <c r="V965" s="350">
        <f t="shared" si="386"/>
        <v>22131433.173286095</v>
      </c>
      <c r="W965" s="365"/>
      <c r="X965" s="377">
        <f t="shared" si="364"/>
        <v>0</v>
      </c>
      <c r="Y965" s="377">
        <f t="shared" si="365"/>
        <v>0</v>
      </c>
      <c r="Z965" s="377">
        <f t="shared" si="366"/>
        <v>0</v>
      </c>
      <c r="AA965" s="377">
        <f t="shared" si="367"/>
        <v>0</v>
      </c>
      <c r="AB965" s="377">
        <f t="shared" si="368"/>
        <v>0</v>
      </c>
      <c r="AC965" s="377">
        <f t="shared" si="369"/>
        <v>0</v>
      </c>
      <c r="AD965" s="376"/>
      <c r="AE965" s="332">
        <v>950</v>
      </c>
      <c r="AF965" s="350">
        <v>4164468.6989139058</v>
      </c>
      <c r="AG965" s="350">
        <v>8361641.6891699415</v>
      </c>
      <c r="AH965" s="350">
        <v>12590579.10901456</v>
      </c>
      <c r="AI965" s="350">
        <v>16851421.177952889</v>
      </c>
      <c r="AJ965" s="350">
        <v>21144782.369330406</v>
      </c>
      <c r="AK965" s="348">
        <v>63112893.044381708</v>
      </c>
      <c r="AL965" s="369"/>
      <c r="AM965" s="350">
        <v>5007630.7955329958</v>
      </c>
      <c r="AN965" s="350">
        <v>10851801.697342252</v>
      </c>
      <c r="AO965" s="350">
        <v>16544603.043058228</v>
      </c>
      <c r="AP965" s="350">
        <v>22082673.19449807</v>
      </c>
      <c r="AQ965" s="350">
        <v>27464347.34882538</v>
      </c>
      <c r="AR965" s="348">
        <v>81951056.079256922</v>
      </c>
      <c r="AS965" s="369"/>
      <c r="AT965" s="350">
        <f t="shared" si="387"/>
        <v>843162.09661909007</v>
      </c>
      <c r="AU965" s="350">
        <f t="shared" si="370"/>
        <v>2490160.0081723109</v>
      </c>
      <c r="AV965" s="350">
        <f t="shared" si="371"/>
        <v>3954023.9340436682</v>
      </c>
      <c r="AW965" s="350">
        <f t="shared" si="372"/>
        <v>5231252.0165451802</v>
      </c>
      <c r="AX965" s="350">
        <f t="shared" si="373"/>
        <v>6319564.979494974</v>
      </c>
      <c r="AY965" s="350">
        <f t="shared" si="374"/>
        <v>18838163.034875214</v>
      </c>
      <c r="AZ965" s="365"/>
      <c r="BA965" s="377">
        <f t="shared" si="375"/>
        <v>0</v>
      </c>
      <c r="BB965" s="377">
        <f t="shared" si="376"/>
        <v>0</v>
      </c>
      <c r="BC965" s="377">
        <f t="shared" si="377"/>
        <v>0</v>
      </c>
      <c r="BD965" s="377">
        <f t="shared" si="378"/>
        <v>0</v>
      </c>
      <c r="BE965" s="377">
        <f t="shared" si="379"/>
        <v>0</v>
      </c>
      <c r="BF965" s="377">
        <f t="shared" si="380"/>
        <v>0</v>
      </c>
      <c r="BG965" s="328"/>
    </row>
    <row r="966" spans="2:59">
      <c r="B966" s="332">
        <v>951</v>
      </c>
      <c r="C966" s="350">
        <v>7259393.3035238441</v>
      </c>
      <c r="D966" s="350">
        <v>13528036.730402064</v>
      </c>
      <c r="E966" s="350">
        <v>19843822.849735312</v>
      </c>
      <c r="F966" s="350">
        <v>26207232.552947845</v>
      </c>
      <c r="G966" s="350">
        <v>32619301.695447009</v>
      </c>
      <c r="H966" s="348">
        <v>99457787.132056072</v>
      </c>
      <c r="I966" s="369"/>
      <c r="J966" s="350">
        <v>8309687.7134566531</v>
      </c>
      <c r="K966" s="350">
        <v>16627456.569780953</v>
      </c>
      <c r="L966" s="350">
        <v>24742791.059489809</v>
      </c>
      <c r="M966" s="350">
        <v>32649895.95025447</v>
      </c>
      <c r="N966" s="350">
        <v>40345041.021455273</v>
      </c>
      <c r="O966" s="348">
        <v>122674872.31443717</v>
      </c>
      <c r="P966" s="369"/>
      <c r="Q966" s="350">
        <f t="shared" si="381"/>
        <v>1050294.409932809</v>
      </c>
      <c r="R966" s="350">
        <f t="shared" si="382"/>
        <v>3099419.8393788897</v>
      </c>
      <c r="S966" s="350">
        <f t="shared" si="383"/>
        <v>4898968.2097544968</v>
      </c>
      <c r="T966" s="350">
        <f t="shared" si="384"/>
        <v>6442663.3973066248</v>
      </c>
      <c r="U966" s="350">
        <f t="shared" si="385"/>
        <v>7725739.326008264</v>
      </c>
      <c r="V966" s="350">
        <f t="shared" si="386"/>
        <v>23217085.182381094</v>
      </c>
      <c r="W966" s="365"/>
      <c r="X966" s="377">
        <f t="shared" si="364"/>
        <v>0</v>
      </c>
      <c r="Y966" s="377">
        <f t="shared" si="365"/>
        <v>0</v>
      </c>
      <c r="Z966" s="377">
        <f t="shared" si="366"/>
        <v>0</v>
      </c>
      <c r="AA966" s="377">
        <f t="shared" si="367"/>
        <v>0</v>
      </c>
      <c r="AB966" s="377">
        <f t="shared" si="368"/>
        <v>0</v>
      </c>
      <c r="AC966" s="377">
        <f t="shared" si="369"/>
        <v>0</v>
      </c>
      <c r="AD966" s="376"/>
      <c r="AE966" s="332">
        <v>951</v>
      </c>
      <c r="AF966" s="350">
        <v>4975755.4444809686</v>
      </c>
      <c r="AG966" s="350">
        <v>9990586.3551182635</v>
      </c>
      <c r="AH966" s="350">
        <v>15043369.774200981</v>
      </c>
      <c r="AI966" s="350">
        <v>20134273.237618212</v>
      </c>
      <c r="AJ966" s="350">
        <v>25264030.925241455</v>
      </c>
      <c r="AK966" s="348">
        <v>75408015.736659884</v>
      </c>
      <c r="AL966" s="369"/>
      <c r="AM966" s="350">
        <v>6293259.3115248764</v>
      </c>
      <c r="AN966" s="350">
        <v>13885476.544737564</v>
      </c>
      <c r="AO966" s="350">
        <v>21306122.793189332</v>
      </c>
      <c r="AP966" s="350">
        <v>28551093.829371791</v>
      </c>
      <c r="AQ966" s="350">
        <v>35618714.569995016</v>
      </c>
      <c r="AR966" s="348">
        <v>105654667.04881859</v>
      </c>
      <c r="AS966" s="369"/>
      <c r="AT966" s="350">
        <f t="shared" si="387"/>
        <v>1317503.8670439078</v>
      </c>
      <c r="AU966" s="350">
        <f t="shared" si="370"/>
        <v>3894890.1896193009</v>
      </c>
      <c r="AV966" s="350">
        <f t="shared" si="371"/>
        <v>6262753.0189883504</v>
      </c>
      <c r="AW966" s="350">
        <f t="shared" si="372"/>
        <v>8416820.5917535797</v>
      </c>
      <c r="AX966" s="350">
        <f t="shared" si="373"/>
        <v>10354683.64475356</v>
      </c>
      <c r="AY966" s="350">
        <f t="shared" si="374"/>
        <v>30246651.312158704</v>
      </c>
      <c r="AZ966" s="365"/>
      <c r="BA966" s="377">
        <f t="shared" si="375"/>
        <v>0</v>
      </c>
      <c r="BB966" s="377">
        <f t="shared" si="376"/>
        <v>0</v>
      </c>
      <c r="BC966" s="377">
        <f t="shared" si="377"/>
        <v>0</v>
      </c>
      <c r="BD966" s="377">
        <f t="shared" si="378"/>
        <v>0</v>
      </c>
      <c r="BE966" s="377">
        <f t="shared" si="379"/>
        <v>0</v>
      </c>
      <c r="BF966" s="377">
        <f t="shared" si="380"/>
        <v>0</v>
      </c>
      <c r="BG966" s="328"/>
    </row>
    <row r="967" spans="2:59">
      <c r="B967" s="332">
        <v>952</v>
      </c>
      <c r="C967" s="350">
        <v>7439856.9453053102</v>
      </c>
      <c r="D967" s="350">
        <v>14122711.817528583</v>
      </c>
      <c r="E967" s="350">
        <v>20855910.3984605</v>
      </c>
      <c r="F967" s="350">
        <v>27639887.222083706</v>
      </c>
      <c r="G967" s="350">
        <v>34475712.594149321</v>
      </c>
      <c r="H967" s="348">
        <v>104534078.97752742</v>
      </c>
      <c r="I967" s="369"/>
      <c r="J967" s="350">
        <v>8518176.3662691824</v>
      </c>
      <c r="K967" s="350">
        <v>17304198.582448054</v>
      </c>
      <c r="L967" s="350">
        <v>25861535.270017248</v>
      </c>
      <c r="M967" s="350">
        <v>34184383.87170101</v>
      </c>
      <c r="N967" s="350">
        <v>42269151.565725818</v>
      </c>
      <c r="O967" s="348">
        <v>128137445.65616132</v>
      </c>
      <c r="P967" s="369"/>
      <c r="Q967" s="350">
        <f t="shared" si="381"/>
        <v>1078319.4209638722</v>
      </c>
      <c r="R967" s="350">
        <f t="shared" si="382"/>
        <v>3181486.764919471</v>
      </c>
      <c r="S967" s="350">
        <f t="shared" si="383"/>
        <v>5005624.8715567477</v>
      </c>
      <c r="T967" s="350">
        <f t="shared" si="384"/>
        <v>6544496.6496173032</v>
      </c>
      <c r="U967" s="350">
        <f t="shared" si="385"/>
        <v>7793438.971576497</v>
      </c>
      <c r="V967" s="350">
        <f t="shared" si="386"/>
        <v>23603366.678633898</v>
      </c>
      <c r="W967" s="365"/>
      <c r="X967" s="377">
        <f t="shared" si="364"/>
        <v>0</v>
      </c>
      <c r="Y967" s="377">
        <f t="shared" si="365"/>
        <v>0</v>
      </c>
      <c r="Z967" s="377">
        <f t="shared" si="366"/>
        <v>0</v>
      </c>
      <c r="AA967" s="377">
        <f t="shared" si="367"/>
        <v>0</v>
      </c>
      <c r="AB967" s="377">
        <f t="shared" si="368"/>
        <v>0</v>
      </c>
      <c r="AC967" s="377">
        <f t="shared" si="369"/>
        <v>0</v>
      </c>
      <c r="AD967" s="376"/>
      <c r="AE967" s="332">
        <v>952</v>
      </c>
      <c r="AF967" s="350">
        <v>11510289.238572897</v>
      </c>
      <c r="AG967" s="350">
        <v>23110970.764831536</v>
      </c>
      <c r="AH967" s="350">
        <v>34799446.869101584</v>
      </c>
      <c r="AI967" s="350">
        <v>46576105.107918486</v>
      </c>
      <c r="AJ967" s="350">
        <v>58442643.841012418</v>
      </c>
      <c r="AK967" s="348">
        <v>174439455.82143694</v>
      </c>
      <c r="AL967" s="369"/>
      <c r="AM967" s="350">
        <v>13165358.332219787</v>
      </c>
      <c r="AN967" s="350">
        <v>27990643.954398613</v>
      </c>
      <c r="AO967" s="350">
        <v>42377327.572572485</v>
      </c>
      <c r="AP967" s="350">
        <v>56316308.882398523</v>
      </c>
      <c r="AQ967" s="350">
        <v>69802302.498438761</v>
      </c>
      <c r="AR967" s="348">
        <v>209651941.24002814</v>
      </c>
      <c r="AS967" s="369"/>
      <c r="AT967" s="350">
        <f t="shared" si="387"/>
        <v>1655069.0936468896</v>
      </c>
      <c r="AU967" s="350">
        <f t="shared" si="370"/>
        <v>4879673.1895670779</v>
      </c>
      <c r="AV967" s="350">
        <f t="shared" si="371"/>
        <v>7577880.7034709007</v>
      </c>
      <c r="AW967" s="350">
        <f t="shared" si="372"/>
        <v>9740203.7744800374</v>
      </c>
      <c r="AX967" s="350">
        <f t="shared" si="373"/>
        <v>11359658.657426342</v>
      </c>
      <c r="AY967" s="350">
        <f t="shared" si="374"/>
        <v>35212485.418591201</v>
      </c>
      <c r="AZ967" s="365"/>
      <c r="BA967" s="377">
        <f t="shared" si="375"/>
        <v>0</v>
      </c>
      <c r="BB967" s="377">
        <f t="shared" si="376"/>
        <v>0</v>
      </c>
      <c r="BC967" s="377">
        <f t="shared" si="377"/>
        <v>0</v>
      </c>
      <c r="BD967" s="377">
        <f t="shared" si="378"/>
        <v>0</v>
      </c>
      <c r="BE967" s="377">
        <f t="shared" si="379"/>
        <v>0</v>
      </c>
      <c r="BF967" s="377">
        <f t="shared" si="380"/>
        <v>0</v>
      </c>
      <c r="BG967" s="328"/>
    </row>
    <row r="968" spans="2:59">
      <c r="B968" s="332">
        <v>953</v>
      </c>
      <c r="C968" s="350">
        <v>9658261.0785765853</v>
      </c>
      <c r="D968" s="350">
        <v>18302517.530906752</v>
      </c>
      <c r="E968" s="350">
        <v>27011883.440425694</v>
      </c>
      <c r="F968" s="350">
        <v>35786929.969399899</v>
      </c>
      <c r="G968" s="350">
        <v>44629045.512320891</v>
      </c>
      <c r="H968" s="348">
        <v>135388637.5316298</v>
      </c>
      <c r="I968" s="369"/>
      <c r="J968" s="350">
        <v>11211900.617716704</v>
      </c>
      <c r="K968" s="350">
        <v>22888849.976167381</v>
      </c>
      <c r="L968" s="350">
        <v>34282439.215404339</v>
      </c>
      <c r="M968" s="350">
        <v>45384843.871597156</v>
      </c>
      <c r="N968" s="350">
        <v>56191286.892044038</v>
      </c>
      <c r="O968" s="348">
        <v>169959320.57292962</v>
      </c>
      <c r="P968" s="369"/>
      <c r="Q968" s="350">
        <f t="shared" si="381"/>
        <v>1553639.5391401183</v>
      </c>
      <c r="R968" s="350">
        <f t="shared" si="382"/>
        <v>4586332.4452606291</v>
      </c>
      <c r="S968" s="350">
        <f t="shared" si="383"/>
        <v>7270555.7749786451</v>
      </c>
      <c r="T968" s="350">
        <f t="shared" si="384"/>
        <v>9597913.9021972567</v>
      </c>
      <c r="U968" s="350">
        <f t="shared" si="385"/>
        <v>11562241.379723147</v>
      </c>
      <c r="V968" s="350">
        <f t="shared" si="386"/>
        <v>34570683.04129982</v>
      </c>
      <c r="W968" s="365"/>
      <c r="X968" s="377">
        <f t="shared" si="364"/>
        <v>0</v>
      </c>
      <c r="Y968" s="377">
        <f t="shared" si="365"/>
        <v>0</v>
      </c>
      <c r="Z968" s="377">
        <f t="shared" si="366"/>
        <v>0</v>
      </c>
      <c r="AA968" s="377">
        <f t="shared" si="367"/>
        <v>0</v>
      </c>
      <c r="AB968" s="377">
        <f t="shared" si="368"/>
        <v>0</v>
      </c>
      <c r="AC968" s="377">
        <f t="shared" si="369"/>
        <v>0</v>
      </c>
      <c r="AD968" s="376"/>
      <c r="AE968" s="332">
        <v>953</v>
      </c>
      <c r="AF968" s="350">
        <v>7226103.8646939229</v>
      </c>
      <c r="AG968" s="350">
        <v>14508955.570023812</v>
      </c>
      <c r="AH968" s="350">
        <v>21846924.286431182</v>
      </c>
      <c r="AI968" s="350">
        <v>29240253.320032895</v>
      </c>
      <c r="AJ968" s="350">
        <v>36690008.892846093</v>
      </c>
      <c r="AK968" s="348">
        <v>109512245.93402791</v>
      </c>
      <c r="AL968" s="369"/>
      <c r="AM968" s="350">
        <v>8747596.9645327497</v>
      </c>
      <c r="AN968" s="350">
        <v>19003192.050631456</v>
      </c>
      <c r="AO968" s="350">
        <v>28997884.413577091</v>
      </c>
      <c r="AP968" s="350">
        <v>38725824.471958175</v>
      </c>
      <c r="AQ968" s="350">
        <v>48184182.693848692</v>
      </c>
      <c r="AR968" s="348">
        <v>143658680.59454817</v>
      </c>
      <c r="AS968" s="369"/>
      <c r="AT968" s="350">
        <f t="shared" si="387"/>
        <v>1521493.0998388268</v>
      </c>
      <c r="AU968" s="350">
        <f t="shared" si="370"/>
        <v>4494236.4806076437</v>
      </c>
      <c r="AV968" s="350">
        <f t="shared" si="371"/>
        <v>7150960.1271459088</v>
      </c>
      <c r="AW968" s="350">
        <f t="shared" si="372"/>
        <v>9485571.1519252807</v>
      </c>
      <c r="AX968" s="350">
        <f t="shared" si="373"/>
        <v>11494173.801002599</v>
      </c>
      <c r="AY968" s="350">
        <f t="shared" si="374"/>
        <v>34146434.660520256</v>
      </c>
      <c r="AZ968" s="365"/>
      <c r="BA968" s="377">
        <f t="shared" si="375"/>
        <v>0</v>
      </c>
      <c r="BB968" s="377">
        <f t="shared" si="376"/>
        <v>0</v>
      </c>
      <c r="BC968" s="377">
        <f t="shared" si="377"/>
        <v>0</v>
      </c>
      <c r="BD968" s="377">
        <f t="shared" si="378"/>
        <v>0</v>
      </c>
      <c r="BE968" s="377">
        <f t="shared" si="379"/>
        <v>0</v>
      </c>
      <c r="BF968" s="377">
        <f t="shared" si="380"/>
        <v>0</v>
      </c>
      <c r="BG968" s="328"/>
    </row>
    <row r="969" spans="2:59">
      <c r="B969" s="332">
        <v>954</v>
      </c>
      <c r="C969" s="350">
        <v>7386502.6588240946</v>
      </c>
      <c r="D969" s="350">
        <v>13927158.034123534</v>
      </c>
      <c r="E969" s="350">
        <v>20517055.732734662</v>
      </c>
      <c r="F969" s="350">
        <v>27156648.448724061</v>
      </c>
      <c r="G969" s="350">
        <v>33846995.637991518</v>
      </c>
      <c r="H969" s="348">
        <v>102834360.51239787</v>
      </c>
      <c r="I969" s="369"/>
      <c r="J969" s="350">
        <v>8355660.6188467685</v>
      </c>
      <c r="K969" s="350">
        <v>16785271.885881953</v>
      </c>
      <c r="L969" s="350">
        <v>24991891.245655835</v>
      </c>
      <c r="M969" s="350">
        <v>32969770.057965096</v>
      </c>
      <c r="N969" s="350">
        <v>40715190.148935094</v>
      </c>
      <c r="O969" s="348">
        <v>123817783.95728475</v>
      </c>
      <c r="P969" s="369"/>
      <c r="Q969" s="350">
        <f t="shared" si="381"/>
        <v>969157.96002267394</v>
      </c>
      <c r="R969" s="350">
        <f t="shared" si="382"/>
        <v>2858113.8517584186</v>
      </c>
      <c r="S969" s="350">
        <f t="shared" si="383"/>
        <v>4474835.5129211731</v>
      </c>
      <c r="T969" s="350">
        <f t="shared" si="384"/>
        <v>5813121.6092410348</v>
      </c>
      <c r="U969" s="350">
        <f t="shared" si="385"/>
        <v>6868194.5109435767</v>
      </c>
      <c r="V969" s="350">
        <f t="shared" si="386"/>
        <v>20983423.444886878</v>
      </c>
      <c r="W969" s="365"/>
      <c r="X969" s="377">
        <f t="shared" si="364"/>
        <v>0</v>
      </c>
      <c r="Y969" s="377">
        <f t="shared" si="365"/>
        <v>0</v>
      </c>
      <c r="Z969" s="377">
        <f t="shared" si="366"/>
        <v>0</v>
      </c>
      <c r="AA969" s="377">
        <f t="shared" si="367"/>
        <v>0</v>
      </c>
      <c r="AB969" s="377">
        <f t="shared" si="368"/>
        <v>0</v>
      </c>
      <c r="AC969" s="377">
        <f t="shared" si="369"/>
        <v>0</v>
      </c>
      <c r="AD969" s="376"/>
      <c r="AE969" s="332">
        <v>954</v>
      </c>
      <c r="AF969" s="350">
        <v>5781987.2176674902</v>
      </c>
      <c r="AG969" s="350">
        <v>11609381.37873508</v>
      </c>
      <c r="AH969" s="350">
        <v>17480877.570370357</v>
      </c>
      <c r="AI969" s="350">
        <v>23396670.474643219</v>
      </c>
      <c r="AJ969" s="350">
        <v>29357613.232082751</v>
      </c>
      <c r="AK969" s="348">
        <v>87626529.873498902</v>
      </c>
      <c r="AL969" s="369"/>
      <c r="AM969" s="350">
        <v>6907880.2077732198</v>
      </c>
      <c r="AN969" s="350">
        <v>14933994.395389196</v>
      </c>
      <c r="AO969" s="350">
        <v>22748605.068124086</v>
      </c>
      <c r="AP969" s="350">
        <v>30347057.556252893</v>
      </c>
      <c r="AQ969" s="350">
        <v>37726995.099439114</v>
      </c>
      <c r="AR969" s="348">
        <v>112664532.3269785</v>
      </c>
      <c r="AS969" s="369"/>
      <c r="AT969" s="350">
        <f t="shared" si="387"/>
        <v>1125892.9901057296</v>
      </c>
      <c r="AU969" s="350">
        <f t="shared" si="370"/>
        <v>3324613.0166541152</v>
      </c>
      <c r="AV969" s="350">
        <f t="shared" si="371"/>
        <v>5267727.4977537282</v>
      </c>
      <c r="AW969" s="350">
        <f t="shared" si="372"/>
        <v>6950387.0816096738</v>
      </c>
      <c r="AX969" s="350">
        <f t="shared" si="373"/>
        <v>8369381.8673563637</v>
      </c>
      <c r="AY969" s="350">
        <f t="shared" si="374"/>
        <v>25038002.453479603</v>
      </c>
      <c r="AZ969" s="365"/>
      <c r="BA969" s="377">
        <f t="shared" si="375"/>
        <v>0</v>
      </c>
      <c r="BB969" s="377">
        <f t="shared" si="376"/>
        <v>0</v>
      </c>
      <c r="BC969" s="377">
        <f t="shared" si="377"/>
        <v>0</v>
      </c>
      <c r="BD969" s="377">
        <f t="shared" si="378"/>
        <v>0</v>
      </c>
      <c r="BE969" s="377">
        <f t="shared" si="379"/>
        <v>0</v>
      </c>
      <c r="BF969" s="377">
        <f t="shared" si="380"/>
        <v>0</v>
      </c>
      <c r="BG969" s="328"/>
    </row>
    <row r="970" spans="2:59">
      <c r="B970" s="332">
        <v>955</v>
      </c>
      <c r="C970" s="350">
        <v>7464347.5394277591</v>
      </c>
      <c r="D970" s="350">
        <v>14116800.473836301</v>
      </c>
      <c r="E970" s="350">
        <v>20819351.3277166</v>
      </c>
      <c r="F970" s="350">
        <v>27572447.891535349</v>
      </c>
      <c r="G970" s="350">
        <v>34377162.229934394</v>
      </c>
      <c r="H970" s="348">
        <v>104350109.46245041</v>
      </c>
      <c r="I970" s="369"/>
      <c r="J970" s="350">
        <v>8576299.6077489816</v>
      </c>
      <c r="K970" s="350">
        <v>17398132.343915068</v>
      </c>
      <c r="L970" s="350">
        <v>26003638.144500345</v>
      </c>
      <c r="M970" s="350">
        <v>34386662.698283851</v>
      </c>
      <c r="N970" s="350">
        <v>42543277.317008406</v>
      </c>
      <c r="O970" s="348">
        <v>128908010.11145665</v>
      </c>
      <c r="P970" s="369"/>
      <c r="Q970" s="350">
        <f t="shared" si="381"/>
        <v>1111952.0683212224</v>
      </c>
      <c r="R970" s="350">
        <f t="shared" si="382"/>
        <v>3281331.8700787667</v>
      </c>
      <c r="S970" s="350">
        <f t="shared" si="383"/>
        <v>5184286.8167837448</v>
      </c>
      <c r="T970" s="350">
        <f t="shared" si="384"/>
        <v>6814214.806748502</v>
      </c>
      <c r="U970" s="350">
        <f t="shared" si="385"/>
        <v>8166115.0870740116</v>
      </c>
      <c r="V970" s="350">
        <f t="shared" si="386"/>
        <v>24557900.649006233</v>
      </c>
      <c r="W970" s="365"/>
      <c r="X970" s="377">
        <f t="shared" si="364"/>
        <v>0</v>
      </c>
      <c r="Y970" s="377">
        <f t="shared" si="365"/>
        <v>0</v>
      </c>
      <c r="Z970" s="377">
        <f t="shared" si="366"/>
        <v>0</v>
      </c>
      <c r="AA970" s="377">
        <f t="shared" si="367"/>
        <v>0</v>
      </c>
      <c r="AB970" s="377">
        <f t="shared" si="368"/>
        <v>0</v>
      </c>
      <c r="AC970" s="377">
        <f t="shared" si="369"/>
        <v>0</v>
      </c>
      <c r="AD970" s="376"/>
      <c r="AE970" s="332">
        <v>955</v>
      </c>
      <c r="AF970" s="350">
        <v>5226196.3886483693</v>
      </c>
      <c r="AG970" s="350">
        <v>10493434.999405436</v>
      </c>
      <c r="AH970" s="350">
        <v>15800536.353577197</v>
      </c>
      <c r="AI970" s="350">
        <v>21147676.419510227</v>
      </c>
      <c r="AJ970" s="350">
        <v>26535626.329997502</v>
      </c>
      <c r="AK970" s="348">
        <v>79203470.491138726</v>
      </c>
      <c r="AL970" s="369"/>
      <c r="AM970" s="350">
        <v>5982145.2100719595</v>
      </c>
      <c r="AN970" s="350">
        <v>12722291.724726211</v>
      </c>
      <c r="AO970" s="350">
        <v>19263426.857874237</v>
      </c>
      <c r="AP970" s="350">
        <v>25601417.391374327</v>
      </c>
      <c r="AQ970" s="350">
        <v>31733868.048169114</v>
      </c>
      <c r="AR970" s="348">
        <v>95303149.232215852</v>
      </c>
      <c r="AS970" s="369"/>
      <c r="AT970" s="350">
        <f t="shared" si="387"/>
        <v>755948.82142359018</v>
      </c>
      <c r="AU970" s="350">
        <f t="shared" si="370"/>
        <v>2228856.7253207751</v>
      </c>
      <c r="AV970" s="350">
        <f t="shared" si="371"/>
        <v>3462890.5042970404</v>
      </c>
      <c r="AW970" s="350">
        <f t="shared" si="372"/>
        <v>4453740.9718641005</v>
      </c>
      <c r="AX970" s="350">
        <f t="shared" si="373"/>
        <v>5198241.7181716114</v>
      </c>
      <c r="AY970" s="350">
        <f t="shared" si="374"/>
        <v>16099678.741077125</v>
      </c>
      <c r="AZ970" s="365"/>
      <c r="BA970" s="377">
        <f t="shared" si="375"/>
        <v>0</v>
      </c>
      <c r="BB970" s="377">
        <f t="shared" si="376"/>
        <v>0</v>
      </c>
      <c r="BC970" s="377">
        <f t="shared" si="377"/>
        <v>0</v>
      </c>
      <c r="BD970" s="377">
        <f t="shared" si="378"/>
        <v>0</v>
      </c>
      <c r="BE970" s="377">
        <f t="shared" si="379"/>
        <v>0</v>
      </c>
      <c r="BF970" s="377">
        <f t="shared" si="380"/>
        <v>0</v>
      </c>
      <c r="BG970" s="328"/>
    </row>
    <row r="971" spans="2:59">
      <c r="B971" s="332">
        <v>956</v>
      </c>
      <c r="C971" s="350">
        <v>6921254.5917965537</v>
      </c>
      <c r="D971" s="350">
        <v>12903821.625908364</v>
      </c>
      <c r="E971" s="350">
        <v>18931381.912124429</v>
      </c>
      <c r="F971" s="350">
        <v>25004392.607558761</v>
      </c>
      <c r="G971" s="350">
        <v>31123841.517137431</v>
      </c>
      <c r="H971" s="348">
        <v>94884692.254525542</v>
      </c>
      <c r="I971" s="369"/>
      <c r="J971" s="350">
        <v>8085906.3417312559</v>
      </c>
      <c r="K971" s="350">
        <v>16343102.037451491</v>
      </c>
      <c r="L971" s="350">
        <v>24413143.751538508</v>
      </c>
      <c r="M971" s="350">
        <v>32290410.895053905</v>
      </c>
      <c r="N971" s="350">
        <v>39971463.177919641</v>
      </c>
      <c r="O971" s="348">
        <v>121104026.20369481</v>
      </c>
      <c r="P971" s="369"/>
      <c r="Q971" s="350">
        <f t="shared" si="381"/>
        <v>1164651.7499347022</v>
      </c>
      <c r="R971" s="350">
        <f t="shared" si="382"/>
        <v>3439280.4115431271</v>
      </c>
      <c r="S971" s="350">
        <f t="shared" si="383"/>
        <v>5481761.8394140787</v>
      </c>
      <c r="T971" s="350">
        <f t="shared" si="384"/>
        <v>7286018.2874951437</v>
      </c>
      <c r="U971" s="350">
        <f t="shared" si="385"/>
        <v>8847621.6607822105</v>
      </c>
      <c r="V971" s="350">
        <f t="shared" si="386"/>
        <v>26219333.949169263</v>
      </c>
      <c r="W971" s="365"/>
      <c r="X971" s="377">
        <f t="shared" si="364"/>
        <v>0</v>
      </c>
      <c r="Y971" s="377">
        <f t="shared" si="365"/>
        <v>0</v>
      </c>
      <c r="Z971" s="377">
        <f t="shared" si="366"/>
        <v>0</v>
      </c>
      <c r="AA971" s="377">
        <f t="shared" si="367"/>
        <v>0</v>
      </c>
      <c r="AB971" s="377">
        <f t="shared" si="368"/>
        <v>0</v>
      </c>
      <c r="AC971" s="377">
        <f t="shared" si="369"/>
        <v>0</v>
      </c>
      <c r="AD971" s="376"/>
      <c r="AE971" s="332">
        <v>956</v>
      </c>
      <c r="AF971" s="350">
        <v>7411442.7281203791</v>
      </c>
      <c r="AG971" s="350">
        <v>14881088.794954572</v>
      </c>
      <c r="AH971" s="350">
        <v>22407265.54258091</v>
      </c>
      <c r="AI971" s="350">
        <v>29990222.517557859</v>
      </c>
      <c r="AJ971" s="350">
        <v>37631053.288918398</v>
      </c>
      <c r="AK971" s="348">
        <v>112321072.87213212</v>
      </c>
      <c r="AL971" s="369"/>
      <c r="AM971" s="350">
        <v>8806666.2708563916</v>
      </c>
      <c r="AN971" s="350">
        <v>19000383.501706593</v>
      </c>
      <c r="AO971" s="350">
        <v>28921555.645397004</v>
      </c>
      <c r="AP971" s="350">
        <v>38564229.838577248</v>
      </c>
      <c r="AQ971" s="350">
        <v>47925336.572348922</v>
      </c>
      <c r="AR971" s="348">
        <v>143218171.82888615</v>
      </c>
      <c r="AS971" s="369"/>
      <c r="AT971" s="350">
        <f t="shared" si="387"/>
        <v>1395223.5427360125</v>
      </c>
      <c r="AU971" s="350">
        <f t="shared" si="370"/>
        <v>4119294.7067520209</v>
      </c>
      <c r="AV971" s="350">
        <f t="shared" si="371"/>
        <v>6514290.1028160937</v>
      </c>
      <c r="AW971" s="350">
        <f t="shared" si="372"/>
        <v>8574007.3210193887</v>
      </c>
      <c r="AX971" s="350">
        <f t="shared" si="373"/>
        <v>10294283.283430524</v>
      </c>
      <c r="AY971" s="350">
        <f t="shared" si="374"/>
        <v>30897098.956754029</v>
      </c>
      <c r="AZ971" s="365"/>
      <c r="BA971" s="377">
        <f t="shared" si="375"/>
        <v>0</v>
      </c>
      <c r="BB971" s="377">
        <f t="shared" si="376"/>
        <v>0</v>
      </c>
      <c r="BC971" s="377">
        <f t="shared" si="377"/>
        <v>0</v>
      </c>
      <c r="BD971" s="377">
        <f t="shared" si="378"/>
        <v>0</v>
      </c>
      <c r="BE971" s="377">
        <f t="shared" si="379"/>
        <v>0</v>
      </c>
      <c r="BF971" s="377">
        <f t="shared" si="380"/>
        <v>0</v>
      </c>
      <c r="BG971" s="328"/>
    </row>
    <row r="972" spans="2:59">
      <c r="B972" s="332">
        <v>957</v>
      </c>
      <c r="C972" s="350">
        <v>7228527.3845146643</v>
      </c>
      <c r="D972" s="350">
        <v>13656989.765223982</v>
      </c>
      <c r="E972" s="350">
        <v>20133858.793786917</v>
      </c>
      <c r="F972" s="350">
        <v>26659571.232771371</v>
      </c>
      <c r="G972" s="350">
        <v>33235164.81187962</v>
      </c>
      <c r="H972" s="348">
        <v>100914111.98817655</v>
      </c>
      <c r="I972" s="369"/>
      <c r="J972" s="350">
        <v>8438373.9478260782</v>
      </c>
      <c r="K972" s="350">
        <v>17229199.424171206</v>
      </c>
      <c r="L972" s="350">
        <v>25819382.039023764</v>
      </c>
      <c r="M972" s="350">
        <v>34202766.737128019</v>
      </c>
      <c r="N972" s="350">
        <v>42375515.451867074</v>
      </c>
      <c r="O972" s="348">
        <v>128065237.60001615</v>
      </c>
      <c r="P972" s="369"/>
      <c r="Q972" s="350">
        <f t="shared" si="381"/>
        <v>1209846.5633114139</v>
      </c>
      <c r="R972" s="350">
        <f t="shared" si="382"/>
        <v>3572209.6589472238</v>
      </c>
      <c r="S972" s="350">
        <f t="shared" si="383"/>
        <v>5685523.2452368475</v>
      </c>
      <c r="T972" s="350">
        <f t="shared" si="384"/>
        <v>7543195.5043566488</v>
      </c>
      <c r="U972" s="350">
        <f t="shared" si="385"/>
        <v>9140350.6399874538</v>
      </c>
      <c r="V972" s="350">
        <f t="shared" si="386"/>
        <v>27151125.611839592</v>
      </c>
      <c r="W972" s="365"/>
      <c r="X972" s="377">
        <f t="shared" si="364"/>
        <v>0</v>
      </c>
      <c r="Y972" s="377">
        <f t="shared" si="365"/>
        <v>0</v>
      </c>
      <c r="Z972" s="377">
        <f t="shared" si="366"/>
        <v>0</v>
      </c>
      <c r="AA972" s="377">
        <f t="shared" si="367"/>
        <v>0</v>
      </c>
      <c r="AB972" s="377">
        <f t="shared" si="368"/>
        <v>0</v>
      </c>
      <c r="AC972" s="377">
        <f t="shared" si="369"/>
        <v>0</v>
      </c>
      <c r="AD972" s="376"/>
      <c r="AE972" s="332">
        <v>957</v>
      </c>
      <c r="AF972" s="350">
        <v>4943744.9530105479</v>
      </c>
      <c r="AG972" s="350">
        <v>9926313.9882639535</v>
      </c>
      <c r="AH972" s="350">
        <v>14946591.37236502</v>
      </c>
      <c r="AI972" s="350">
        <v>20004743.563395418</v>
      </c>
      <c r="AJ972" s="350">
        <v>25101500.018032599</v>
      </c>
      <c r="AK972" s="348">
        <v>74922893.895067543</v>
      </c>
      <c r="AL972" s="369"/>
      <c r="AM972" s="350">
        <v>5890846.0877052788</v>
      </c>
      <c r="AN972" s="350">
        <v>12722778.470529059</v>
      </c>
      <c r="AO972" s="350">
        <v>19373403.811831236</v>
      </c>
      <c r="AP972" s="350">
        <v>25838746.654137287</v>
      </c>
      <c r="AQ972" s="350">
        <v>32116776.143412899</v>
      </c>
      <c r="AR972" s="348">
        <v>95942551.167615756</v>
      </c>
      <c r="AS972" s="369"/>
      <c r="AT972" s="350">
        <f t="shared" si="387"/>
        <v>947101.13469473086</v>
      </c>
      <c r="AU972" s="350">
        <f t="shared" si="370"/>
        <v>2796464.4822651055</v>
      </c>
      <c r="AV972" s="350">
        <f t="shared" si="371"/>
        <v>4426812.4394662157</v>
      </c>
      <c r="AW972" s="350">
        <f t="shared" si="372"/>
        <v>5834003.0907418691</v>
      </c>
      <c r="AX972" s="350">
        <f t="shared" si="373"/>
        <v>7015276.1253803</v>
      </c>
      <c r="AY972" s="350">
        <f t="shared" si="374"/>
        <v>21019657.272548214</v>
      </c>
      <c r="AZ972" s="365"/>
      <c r="BA972" s="377">
        <f t="shared" si="375"/>
        <v>0</v>
      </c>
      <c r="BB972" s="377">
        <f t="shared" si="376"/>
        <v>0</v>
      </c>
      <c r="BC972" s="377">
        <f t="shared" si="377"/>
        <v>0</v>
      </c>
      <c r="BD972" s="377">
        <f t="shared" si="378"/>
        <v>0</v>
      </c>
      <c r="BE972" s="377">
        <f t="shared" si="379"/>
        <v>0</v>
      </c>
      <c r="BF972" s="377">
        <f t="shared" si="380"/>
        <v>0</v>
      </c>
      <c r="BG972" s="328"/>
    </row>
    <row r="973" spans="2:59">
      <c r="B973" s="332">
        <v>958</v>
      </c>
      <c r="C973" s="350">
        <v>9421134.9390636124</v>
      </c>
      <c r="D973" s="350">
        <v>17668054.772309173</v>
      </c>
      <c r="E973" s="350">
        <v>25977031.849845469</v>
      </c>
      <c r="F973" s="350">
        <v>34348665.08676827</v>
      </c>
      <c r="G973" s="350">
        <v>42784302.557609253</v>
      </c>
      <c r="H973" s="348">
        <v>130199189.20559579</v>
      </c>
      <c r="I973" s="369"/>
      <c r="J973" s="350">
        <v>10674083.879845819</v>
      </c>
      <c r="K973" s="350">
        <v>21363610.572507698</v>
      </c>
      <c r="L973" s="350">
        <v>31774853.140864927</v>
      </c>
      <c r="M973" s="350">
        <v>41900510.850217178</v>
      </c>
      <c r="N973" s="350">
        <v>51735864.400301918</v>
      </c>
      <c r="O973" s="348">
        <v>157448922.84373754</v>
      </c>
      <c r="P973" s="369"/>
      <c r="Q973" s="350">
        <f t="shared" si="381"/>
        <v>1252948.9407822061</v>
      </c>
      <c r="R973" s="350">
        <f t="shared" si="382"/>
        <v>3695555.8001985252</v>
      </c>
      <c r="S973" s="350">
        <f t="shared" si="383"/>
        <v>5797821.2910194583</v>
      </c>
      <c r="T973" s="350">
        <f t="shared" si="384"/>
        <v>7551845.7634489089</v>
      </c>
      <c r="U973" s="350">
        <f t="shared" si="385"/>
        <v>8951561.8426926658</v>
      </c>
      <c r="V973" s="350">
        <f t="shared" si="386"/>
        <v>27249733.638141751</v>
      </c>
      <c r="W973" s="365"/>
      <c r="X973" s="377">
        <f t="shared" si="364"/>
        <v>0</v>
      </c>
      <c r="Y973" s="377">
        <f t="shared" si="365"/>
        <v>0</v>
      </c>
      <c r="Z973" s="377">
        <f t="shared" si="366"/>
        <v>0</v>
      </c>
      <c r="AA973" s="377">
        <f t="shared" si="367"/>
        <v>0</v>
      </c>
      <c r="AB973" s="377">
        <f t="shared" si="368"/>
        <v>0</v>
      </c>
      <c r="AC973" s="377">
        <f t="shared" si="369"/>
        <v>0</v>
      </c>
      <c r="AD973" s="376"/>
      <c r="AE973" s="332">
        <v>958</v>
      </c>
      <c r="AF973" s="350">
        <v>5083301.4699452138</v>
      </c>
      <c r="AG973" s="350">
        <v>10206522.983543612</v>
      </c>
      <c r="AH973" s="350">
        <v>15368517.311465653</v>
      </c>
      <c r="AI973" s="350">
        <v>20569455.610722728</v>
      </c>
      <c r="AJ973" s="350">
        <v>25810087.929757059</v>
      </c>
      <c r="AK973" s="348">
        <v>77037885.305434257</v>
      </c>
      <c r="AL973" s="369"/>
      <c r="AM973" s="350">
        <v>6132685.8312063189</v>
      </c>
      <c r="AN973" s="350">
        <v>13305980.588545041</v>
      </c>
      <c r="AO973" s="350">
        <v>20295112.879079353</v>
      </c>
      <c r="AP973" s="350">
        <v>27095973.654852405</v>
      </c>
      <c r="AQ973" s="350">
        <v>33706551.245044559</v>
      </c>
      <c r="AR973" s="348">
        <v>100536304.19872768</v>
      </c>
      <c r="AS973" s="369"/>
      <c r="AT973" s="350">
        <f t="shared" si="387"/>
        <v>1049384.3612611052</v>
      </c>
      <c r="AU973" s="350">
        <f t="shared" si="370"/>
        <v>3099457.6050014291</v>
      </c>
      <c r="AV973" s="350">
        <f t="shared" si="371"/>
        <v>4926595.5676137004</v>
      </c>
      <c r="AW973" s="350">
        <f t="shared" si="372"/>
        <v>6526518.0441296771</v>
      </c>
      <c r="AX973" s="350">
        <f t="shared" si="373"/>
        <v>7896463.3152875006</v>
      </c>
      <c r="AY973" s="350">
        <f t="shared" si="374"/>
        <v>23498418.893293425</v>
      </c>
      <c r="AZ973" s="365"/>
      <c r="BA973" s="377">
        <f t="shared" si="375"/>
        <v>0</v>
      </c>
      <c r="BB973" s="377">
        <f t="shared" si="376"/>
        <v>0</v>
      </c>
      <c r="BC973" s="377">
        <f t="shared" si="377"/>
        <v>0</v>
      </c>
      <c r="BD973" s="377">
        <f t="shared" si="378"/>
        <v>0</v>
      </c>
      <c r="BE973" s="377">
        <f t="shared" si="379"/>
        <v>0</v>
      </c>
      <c r="BF973" s="377">
        <f t="shared" si="380"/>
        <v>0</v>
      </c>
      <c r="BG973" s="328"/>
    </row>
    <row r="974" spans="2:59">
      <c r="B974" s="332">
        <v>959</v>
      </c>
      <c r="C974" s="350">
        <v>9748593.4264213908</v>
      </c>
      <c r="D974" s="350">
        <v>18605682.33765281</v>
      </c>
      <c r="E974" s="350">
        <v>27529526.158360422</v>
      </c>
      <c r="F974" s="350">
        <v>36520671.605896905</v>
      </c>
      <c r="G974" s="350">
        <v>45580524.504168943</v>
      </c>
      <c r="H974" s="348">
        <v>137984998.03250045</v>
      </c>
      <c r="I974" s="369"/>
      <c r="J974" s="350">
        <v>10856279.610133179</v>
      </c>
      <c r="K974" s="350">
        <v>21868896.077909131</v>
      </c>
      <c r="L974" s="350">
        <v>32578546.975643568</v>
      </c>
      <c r="M974" s="350">
        <v>42977215.38086924</v>
      </c>
      <c r="N974" s="350">
        <v>53059397.964201137</v>
      </c>
      <c r="O974" s="348">
        <v>161340336.00875625</v>
      </c>
      <c r="P974" s="369"/>
      <c r="Q974" s="350">
        <f t="shared" si="381"/>
        <v>1107686.1837117877</v>
      </c>
      <c r="R974" s="350">
        <f t="shared" si="382"/>
        <v>3263213.7402563207</v>
      </c>
      <c r="S974" s="350">
        <f t="shared" si="383"/>
        <v>5049020.8172831461</v>
      </c>
      <c r="T974" s="350">
        <f t="shared" si="384"/>
        <v>6456543.7749723345</v>
      </c>
      <c r="U974" s="350">
        <f t="shared" si="385"/>
        <v>7478873.4600321949</v>
      </c>
      <c r="V974" s="350">
        <f t="shared" si="386"/>
        <v>23355337.976255804</v>
      </c>
      <c r="W974" s="365"/>
      <c r="X974" s="377">
        <f t="shared" si="364"/>
        <v>0</v>
      </c>
      <c r="Y974" s="377">
        <f t="shared" si="365"/>
        <v>0</v>
      </c>
      <c r="Z974" s="377">
        <f t="shared" si="366"/>
        <v>0</v>
      </c>
      <c r="AA974" s="377">
        <f t="shared" si="367"/>
        <v>0</v>
      </c>
      <c r="AB974" s="377">
        <f t="shared" si="368"/>
        <v>0</v>
      </c>
      <c r="AC974" s="377">
        <f t="shared" si="369"/>
        <v>0</v>
      </c>
      <c r="AD974" s="376"/>
      <c r="AE974" s="332">
        <v>959</v>
      </c>
      <c r="AF974" s="350">
        <v>7869513.4622256532</v>
      </c>
      <c r="AG974" s="350">
        <v>15800827.571687907</v>
      </c>
      <c r="AH974" s="350">
        <v>23792166.290371612</v>
      </c>
      <c r="AI974" s="350">
        <v>31843794.588279679</v>
      </c>
      <c r="AJ974" s="350">
        <v>39956873.623440661</v>
      </c>
      <c r="AK974" s="348">
        <v>119263175.5360055</v>
      </c>
      <c r="AL974" s="369"/>
      <c r="AM974" s="350">
        <v>9217926.4475001879</v>
      </c>
      <c r="AN974" s="350">
        <v>19780150.734321907</v>
      </c>
      <c r="AO974" s="350">
        <v>30049000.348205604</v>
      </c>
      <c r="AP974" s="350">
        <v>40018192.133505791</v>
      </c>
      <c r="AQ974" s="350">
        <v>49684332.125675961</v>
      </c>
      <c r="AR974" s="348">
        <v>148749601.78920946</v>
      </c>
      <c r="AS974" s="369"/>
      <c r="AT974" s="350">
        <f t="shared" si="387"/>
        <v>1348412.9852745347</v>
      </c>
      <c r="AU974" s="350">
        <f t="shared" si="370"/>
        <v>3979323.1626340002</v>
      </c>
      <c r="AV974" s="350">
        <f t="shared" si="371"/>
        <v>6256834.0578339919</v>
      </c>
      <c r="AW974" s="350">
        <f t="shared" si="372"/>
        <v>8174397.545226112</v>
      </c>
      <c r="AX974" s="350">
        <f t="shared" si="373"/>
        <v>9727458.5022353008</v>
      </c>
      <c r="AY974" s="350">
        <f t="shared" si="374"/>
        <v>29486426.253203958</v>
      </c>
      <c r="AZ974" s="365"/>
      <c r="BA974" s="377">
        <f t="shared" si="375"/>
        <v>0</v>
      </c>
      <c r="BB974" s="377">
        <f t="shared" si="376"/>
        <v>0</v>
      </c>
      <c r="BC974" s="377">
        <f t="shared" si="377"/>
        <v>0</v>
      </c>
      <c r="BD974" s="377">
        <f t="shared" si="378"/>
        <v>0</v>
      </c>
      <c r="BE974" s="377">
        <f t="shared" si="379"/>
        <v>0</v>
      </c>
      <c r="BF974" s="377">
        <f t="shared" si="380"/>
        <v>0</v>
      </c>
      <c r="BG974" s="328"/>
    </row>
    <row r="975" spans="2:59">
      <c r="B975" s="332">
        <v>960</v>
      </c>
      <c r="C975" s="350">
        <v>7827807.5528909126</v>
      </c>
      <c r="D975" s="350">
        <v>14855458.105066385</v>
      </c>
      <c r="E975" s="350">
        <v>21936048.625140212</v>
      </c>
      <c r="F975" s="350">
        <v>29070037.136605583</v>
      </c>
      <c r="G975" s="350">
        <v>36258549.632256344</v>
      </c>
      <c r="H975" s="348">
        <v>109947901.05195944</v>
      </c>
      <c r="I975" s="369"/>
      <c r="J975" s="350">
        <v>8685220.9097961728</v>
      </c>
      <c r="K975" s="350">
        <v>17380975.349648751</v>
      </c>
      <c r="L975" s="350">
        <v>25833063.728442252</v>
      </c>
      <c r="M975" s="350">
        <v>34035281.600252926</v>
      </c>
      <c r="N975" s="350">
        <v>41983381.829289921</v>
      </c>
      <c r="O975" s="348">
        <v>127917923.41743001</v>
      </c>
      <c r="P975" s="369"/>
      <c r="Q975" s="350">
        <f t="shared" si="381"/>
        <v>857413.35690526012</v>
      </c>
      <c r="R975" s="350">
        <f t="shared" si="382"/>
        <v>2525517.2445823662</v>
      </c>
      <c r="S975" s="350">
        <f t="shared" si="383"/>
        <v>3897015.1033020392</v>
      </c>
      <c r="T975" s="350">
        <f t="shared" si="384"/>
        <v>4965244.4636473432</v>
      </c>
      <c r="U975" s="350">
        <f t="shared" si="385"/>
        <v>5724832.1970335767</v>
      </c>
      <c r="V975" s="350">
        <f t="shared" si="386"/>
        <v>17970022.365470573</v>
      </c>
      <c r="W975" s="365"/>
      <c r="X975" s="377">
        <f t="shared" si="364"/>
        <v>0</v>
      </c>
      <c r="Y975" s="377">
        <f t="shared" si="365"/>
        <v>0</v>
      </c>
      <c r="Z975" s="377">
        <f t="shared" si="366"/>
        <v>0</v>
      </c>
      <c r="AA975" s="377">
        <f t="shared" si="367"/>
        <v>0</v>
      </c>
      <c r="AB975" s="377">
        <f t="shared" si="368"/>
        <v>0</v>
      </c>
      <c r="AC975" s="377">
        <f t="shared" si="369"/>
        <v>0</v>
      </c>
      <c r="AD975" s="376"/>
      <c r="AE975" s="332">
        <v>960</v>
      </c>
      <c r="AF975" s="350">
        <v>6194501.7308127005</v>
      </c>
      <c r="AG975" s="350">
        <v>12437649.95268359</v>
      </c>
      <c r="AH975" s="350">
        <v>18728046.654082268</v>
      </c>
      <c r="AI975" s="350">
        <v>25065900.406624954</v>
      </c>
      <c r="AJ975" s="350">
        <v>31452125.217950381</v>
      </c>
      <c r="AK975" s="348">
        <v>93878223.962153882</v>
      </c>
      <c r="AL975" s="369"/>
      <c r="AM975" s="350">
        <v>7395693.5685172435</v>
      </c>
      <c r="AN975" s="350">
        <v>15984545.953159913</v>
      </c>
      <c r="AO975" s="350">
        <v>24346654.572720308</v>
      </c>
      <c r="AP975" s="350">
        <v>32477034.093186963</v>
      </c>
      <c r="AQ975" s="350">
        <v>40373154.519809775</v>
      </c>
      <c r="AR975" s="348">
        <v>120577082.70739421</v>
      </c>
      <c r="AS975" s="369"/>
      <c r="AT975" s="350">
        <f t="shared" si="387"/>
        <v>1201191.837704543</v>
      </c>
      <c r="AU975" s="350">
        <f t="shared" si="370"/>
        <v>3546896.0004763231</v>
      </c>
      <c r="AV975" s="350">
        <f t="shared" si="371"/>
        <v>5618607.9186380394</v>
      </c>
      <c r="AW975" s="350">
        <f t="shared" si="372"/>
        <v>7411133.6865620092</v>
      </c>
      <c r="AX975" s="350">
        <f t="shared" si="373"/>
        <v>8921029.3018593937</v>
      </c>
      <c r="AY975" s="350">
        <f t="shared" si="374"/>
        <v>26698858.745240331</v>
      </c>
      <c r="AZ975" s="365"/>
      <c r="BA975" s="377">
        <f t="shared" si="375"/>
        <v>0</v>
      </c>
      <c r="BB975" s="377">
        <f t="shared" si="376"/>
        <v>0</v>
      </c>
      <c r="BC975" s="377">
        <f t="shared" si="377"/>
        <v>0</v>
      </c>
      <c r="BD975" s="377">
        <f t="shared" si="378"/>
        <v>0</v>
      </c>
      <c r="BE975" s="377">
        <f t="shared" si="379"/>
        <v>0</v>
      </c>
      <c r="BF975" s="377">
        <f t="shared" si="380"/>
        <v>0</v>
      </c>
      <c r="BG975" s="328"/>
    </row>
    <row r="976" spans="2:59">
      <c r="B976" s="332">
        <v>961</v>
      </c>
      <c r="C976" s="350">
        <v>6403770.221751187</v>
      </c>
      <c r="D976" s="350">
        <v>11830054.428174146</v>
      </c>
      <c r="E976" s="350">
        <v>17297112.005032614</v>
      </c>
      <c r="F976" s="350">
        <v>22805390.524613023</v>
      </c>
      <c r="G976" s="350">
        <v>28355800.266750302</v>
      </c>
      <c r="H976" s="348">
        <v>86692127.446321279</v>
      </c>
      <c r="I976" s="369"/>
      <c r="J976" s="350">
        <v>7731515.8631025832</v>
      </c>
      <c r="K976" s="350">
        <v>15754403.52814631</v>
      </c>
      <c r="L976" s="350">
        <v>23619118.767870247</v>
      </c>
      <c r="M976" s="350">
        <v>31320390.348474003</v>
      </c>
      <c r="N976" s="350">
        <v>38855252.370750219</v>
      </c>
      <c r="O976" s="348">
        <v>117280680.87834337</v>
      </c>
      <c r="P976" s="369"/>
      <c r="Q976" s="350">
        <f t="shared" si="381"/>
        <v>1327745.6413513962</v>
      </c>
      <c r="R976" s="350">
        <f t="shared" si="382"/>
        <v>3924349.0999721643</v>
      </c>
      <c r="S976" s="350">
        <f t="shared" si="383"/>
        <v>6322006.7628376335</v>
      </c>
      <c r="T976" s="350">
        <f t="shared" si="384"/>
        <v>8514999.8238609806</v>
      </c>
      <c r="U976" s="350">
        <f t="shared" si="385"/>
        <v>10499452.103999916</v>
      </c>
      <c r="V976" s="350">
        <f t="shared" si="386"/>
        <v>30588553.432022095</v>
      </c>
      <c r="W976" s="365"/>
      <c r="X976" s="377">
        <f t="shared" ref="X976:X1015" si="388">IF(Q976&lt;Q$8,1,0)</f>
        <v>0</v>
      </c>
      <c r="Y976" s="377">
        <f t="shared" ref="Y976:Y1015" si="389">IF(R976&lt;R$8,1,0)</f>
        <v>0</v>
      </c>
      <c r="Z976" s="377">
        <f t="shared" ref="Z976:Z1015" si="390">IF(S976&lt;S$8,1,0)</f>
        <v>0</v>
      </c>
      <c r="AA976" s="377">
        <f t="shared" ref="AA976:AA1015" si="391">IF(T976&lt;T$8,1,0)</f>
        <v>0</v>
      </c>
      <c r="AB976" s="377">
        <f t="shared" ref="AB976:AB1015" si="392">IF(U976&lt;U$8,1,0)</f>
        <v>0</v>
      </c>
      <c r="AC976" s="377">
        <f t="shared" ref="AC976:AC1015" si="393">IF(V976&lt;V$8,1,0)</f>
        <v>0</v>
      </c>
      <c r="AD976" s="376"/>
      <c r="AE976" s="332">
        <v>961</v>
      </c>
      <c r="AF976" s="350">
        <v>6473193.1009274777</v>
      </c>
      <c r="AG976" s="350">
        <v>12997221.30433557</v>
      </c>
      <c r="AH976" s="350">
        <v>19570623.701988738</v>
      </c>
      <c r="AI976" s="350">
        <v>26193618.249165032</v>
      </c>
      <c r="AJ976" s="350">
        <v>32867160.074815642</v>
      </c>
      <c r="AK976" s="348">
        <v>98101816.431232467</v>
      </c>
      <c r="AL976" s="369"/>
      <c r="AM976" s="350">
        <v>7463219.1519811563</v>
      </c>
      <c r="AN976" s="350">
        <v>15917164.863040954</v>
      </c>
      <c r="AO976" s="350">
        <v>24126222.530262664</v>
      </c>
      <c r="AP976" s="350">
        <v>32085257.539397083</v>
      </c>
      <c r="AQ976" s="350">
        <v>39791357.477854095</v>
      </c>
      <c r="AR976" s="348">
        <v>119383221.56253597</v>
      </c>
      <c r="AS976" s="369"/>
      <c r="AT976" s="350">
        <f t="shared" si="387"/>
        <v>990026.05105367862</v>
      </c>
      <c r="AU976" s="350">
        <f t="shared" ref="AU976:AU1015" si="394">AN976-AG976</f>
        <v>2919943.5587053839</v>
      </c>
      <c r="AV976" s="350">
        <f t="shared" ref="AV976:AV1015" si="395">AO976-AH976</f>
        <v>4555598.8282739259</v>
      </c>
      <c r="AW976" s="350">
        <f t="shared" ref="AW976:AW1015" si="396">AP976-AI976</f>
        <v>5891639.2902320512</v>
      </c>
      <c r="AX976" s="350">
        <f t="shared" ref="AX976:AX1015" si="397">AQ976-AJ976</f>
        <v>6924197.4030384533</v>
      </c>
      <c r="AY976" s="350">
        <f t="shared" ref="AY976:AY1015" si="398">AR976-AK976</f>
        <v>21281405.131303504</v>
      </c>
      <c r="AZ976" s="365"/>
      <c r="BA976" s="377">
        <f t="shared" ref="BA976:BA1015" si="399">IF(AT976&lt;AT$8,1,0)</f>
        <v>0</v>
      </c>
      <c r="BB976" s="377">
        <f t="shared" ref="BB976:BB1015" si="400">IF(AU976&lt;AU$8,1,0)</f>
        <v>0</v>
      </c>
      <c r="BC976" s="377">
        <f t="shared" ref="BC976:BC1015" si="401">IF(AV976&lt;AV$8,1,0)</f>
        <v>0</v>
      </c>
      <c r="BD976" s="377">
        <f t="shared" ref="BD976:BD1015" si="402">IF(AW976&lt;AW$8,1,0)</f>
        <v>0</v>
      </c>
      <c r="BE976" s="377">
        <f t="shared" ref="BE976:BE1015" si="403">IF(AX976&lt;AX$8,1,0)</f>
        <v>0</v>
      </c>
      <c r="BF976" s="377">
        <f t="shared" ref="BF976:BF1015" si="404">IF(AY976&lt;AY$8,1,0)</f>
        <v>0</v>
      </c>
      <c r="BG976" s="328"/>
    </row>
    <row r="977" spans="2:59">
      <c r="B977" s="332">
        <v>962</v>
      </c>
      <c r="C977" s="350">
        <v>9759271.9991915077</v>
      </c>
      <c r="D977" s="350">
        <v>18099224.949305579</v>
      </c>
      <c r="E977" s="350">
        <v>26501868.582377255</v>
      </c>
      <c r="F977" s="350">
        <v>34967869.114521474</v>
      </c>
      <c r="G977" s="350">
        <v>43498616.170711011</v>
      </c>
      <c r="H977" s="348">
        <v>132826850.81610683</v>
      </c>
      <c r="I977" s="369"/>
      <c r="J977" s="350">
        <v>10933762.401243128</v>
      </c>
      <c r="K977" s="350">
        <v>21561883.013772123</v>
      </c>
      <c r="L977" s="350">
        <v>31911221.684899036</v>
      </c>
      <c r="M977" s="350">
        <v>41974279.44852379</v>
      </c>
      <c r="N977" s="350">
        <v>51746005.500490412</v>
      </c>
      <c r="O977" s="348">
        <v>158127152.0489285</v>
      </c>
      <c r="P977" s="369"/>
      <c r="Q977" s="350">
        <f t="shared" ref="Q977:Q1015" si="405">J977-C977</f>
        <v>1174490.4020516202</v>
      </c>
      <c r="R977" s="350">
        <f t="shared" ref="R977:R1015" si="406">K977-D977</f>
        <v>3462658.0644665435</v>
      </c>
      <c r="S977" s="350">
        <f t="shared" ref="S977:S1015" si="407">L977-E977</f>
        <v>5409353.1025217809</v>
      </c>
      <c r="T977" s="350">
        <f t="shared" ref="T977:T1015" si="408">M977-F977</f>
        <v>7006410.334002316</v>
      </c>
      <c r="U977" s="350">
        <f t="shared" ref="U977:U1015" si="409">N977-G977</f>
        <v>8247389.3297794014</v>
      </c>
      <c r="V977" s="350">
        <f t="shared" ref="V977:V1015" si="410">O977-H977</f>
        <v>25300301.232821673</v>
      </c>
      <c r="W977" s="365"/>
      <c r="X977" s="377">
        <f t="shared" si="388"/>
        <v>0</v>
      </c>
      <c r="Y977" s="377">
        <f t="shared" si="389"/>
        <v>0</v>
      </c>
      <c r="Z977" s="377">
        <f t="shared" si="390"/>
        <v>0</v>
      </c>
      <c r="AA977" s="377">
        <f t="shared" si="391"/>
        <v>0</v>
      </c>
      <c r="AB977" s="377">
        <f t="shared" si="392"/>
        <v>0</v>
      </c>
      <c r="AC977" s="377">
        <f t="shared" si="393"/>
        <v>0</v>
      </c>
      <c r="AD977" s="376"/>
      <c r="AE977" s="332">
        <v>962</v>
      </c>
      <c r="AF977" s="350">
        <v>7602988.027364986</v>
      </c>
      <c r="AG977" s="350">
        <v>15265683.631733134</v>
      </c>
      <c r="AH977" s="350">
        <v>22986370.926114719</v>
      </c>
      <c r="AI977" s="350">
        <v>30765305.90648324</v>
      </c>
      <c r="AJ977" s="350">
        <v>38603610.404656045</v>
      </c>
      <c r="AK977" s="348">
        <v>115223958.89635214</v>
      </c>
      <c r="AL977" s="369"/>
      <c r="AM977" s="350">
        <v>8975720.3141806815</v>
      </c>
      <c r="AN977" s="350">
        <v>19317797.014844134</v>
      </c>
      <c r="AO977" s="350">
        <v>29378531.231207021</v>
      </c>
      <c r="AP977" s="350">
        <v>39151832.811084546</v>
      </c>
      <c r="AQ977" s="350">
        <v>48634493.617957577</v>
      </c>
      <c r="AR977" s="348">
        <v>145458374.98927397</v>
      </c>
      <c r="AS977" s="369"/>
      <c r="AT977" s="350">
        <f t="shared" ref="AT977:AT1015" si="411">AM977-AF977</f>
        <v>1372732.2868156955</v>
      </c>
      <c r="AU977" s="350">
        <f t="shared" si="394"/>
        <v>4052113.3831110001</v>
      </c>
      <c r="AV977" s="350">
        <f t="shared" si="395"/>
        <v>6392160.3050923012</v>
      </c>
      <c r="AW977" s="350">
        <f t="shared" si="396"/>
        <v>8386526.9046013057</v>
      </c>
      <c r="AX977" s="350">
        <f t="shared" si="397"/>
        <v>10030883.213301532</v>
      </c>
      <c r="AY977" s="350">
        <f t="shared" si="398"/>
        <v>30234416.092921823</v>
      </c>
      <c r="AZ977" s="365"/>
      <c r="BA977" s="377">
        <f t="shared" si="399"/>
        <v>0</v>
      </c>
      <c r="BB977" s="377">
        <f t="shared" si="400"/>
        <v>0</v>
      </c>
      <c r="BC977" s="377">
        <f t="shared" si="401"/>
        <v>0</v>
      </c>
      <c r="BD977" s="377">
        <f t="shared" si="402"/>
        <v>0</v>
      </c>
      <c r="BE977" s="377">
        <f t="shared" si="403"/>
        <v>0</v>
      </c>
      <c r="BF977" s="377">
        <f t="shared" si="404"/>
        <v>0</v>
      </c>
      <c r="BG977" s="328"/>
    </row>
    <row r="978" spans="2:59">
      <c r="B978" s="332">
        <v>963</v>
      </c>
      <c r="C978" s="350">
        <v>6746154.7898614872</v>
      </c>
      <c r="D978" s="350">
        <v>12723513.971530145</v>
      </c>
      <c r="E978" s="350">
        <v>18745875.823501669</v>
      </c>
      <c r="F978" s="350">
        <v>24813652.95465114</v>
      </c>
      <c r="G978" s="350">
        <v>30927813.100314051</v>
      </c>
      <c r="H978" s="348">
        <v>93957010.639858484</v>
      </c>
      <c r="I978" s="369"/>
      <c r="J978" s="350">
        <v>7871391.0851615788</v>
      </c>
      <c r="K978" s="350">
        <v>16045913.747922968</v>
      </c>
      <c r="L978" s="350">
        <v>24032020.593099341</v>
      </c>
      <c r="M978" s="350">
        <v>31824075.895945929</v>
      </c>
      <c r="N978" s="350">
        <v>39418598.028059378</v>
      </c>
      <c r="O978" s="348">
        <v>119191999.35018919</v>
      </c>
      <c r="P978" s="369"/>
      <c r="Q978" s="350">
        <f t="shared" si="405"/>
        <v>1125236.2953000916</v>
      </c>
      <c r="R978" s="350">
        <f t="shared" si="406"/>
        <v>3322399.7763928231</v>
      </c>
      <c r="S978" s="350">
        <f t="shared" si="407"/>
        <v>5286144.7695976719</v>
      </c>
      <c r="T978" s="350">
        <f t="shared" si="408"/>
        <v>7010422.9412947893</v>
      </c>
      <c r="U978" s="350">
        <f t="shared" si="409"/>
        <v>8490784.9277453274</v>
      </c>
      <c r="V978" s="350">
        <f t="shared" si="410"/>
        <v>25234988.71033071</v>
      </c>
      <c r="W978" s="365"/>
      <c r="X978" s="377">
        <f t="shared" si="388"/>
        <v>0</v>
      </c>
      <c r="Y978" s="377">
        <f t="shared" si="389"/>
        <v>0</v>
      </c>
      <c r="Z978" s="377">
        <f t="shared" si="390"/>
        <v>0</v>
      </c>
      <c r="AA978" s="377">
        <f t="shared" si="391"/>
        <v>0</v>
      </c>
      <c r="AB978" s="377">
        <f t="shared" si="392"/>
        <v>0</v>
      </c>
      <c r="AC978" s="377">
        <f t="shared" si="393"/>
        <v>0</v>
      </c>
      <c r="AD978" s="376"/>
      <c r="AE978" s="332">
        <v>963</v>
      </c>
      <c r="AF978" s="350">
        <v>4568951.3283141702</v>
      </c>
      <c r="AG978" s="350">
        <v>9173783.4198594745</v>
      </c>
      <c r="AH978" s="350">
        <v>13813465.126867067</v>
      </c>
      <c r="AI978" s="350">
        <v>18488150.28795132</v>
      </c>
      <c r="AJ978" s="350">
        <v>23198513.058451362</v>
      </c>
      <c r="AK978" s="348">
        <v>69242863.221443385</v>
      </c>
      <c r="AL978" s="369"/>
      <c r="AM978" s="350">
        <v>5574210.0651580039</v>
      </c>
      <c r="AN978" s="350">
        <v>12143663.255897688</v>
      </c>
      <c r="AO978" s="350">
        <v>18549446.908087097</v>
      </c>
      <c r="AP978" s="350">
        <v>24787850.193166215</v>
      </c>
      <c r="AQ978" s="350">
        <v>30857127.837495279</v>
      </c>
      <c r="AR978" s="348">
        <v>91912298.259804279</v>
      </c>
      <c r="AS978" s="369"/>
      <c r="AT978" s="350">
        <f t="shared" si="411"/>
        <v>1005258.7368438337</v>
      </c>
      <c r="AU978" s="350">
        <f t="shared" si="394"/>
        <v>2969879.8360382132</v>
      </c>
      <c r="AV978" s="350">
        <f t="shared" si="395"/>
        <v>4735981.78122003</v>
      </c>
      <c r="AW978" s="350">
        <f t="shared" si="396"/>
        <v>6299699.9052148946</v>
      </c>
      <c r="AX978" s="350">
        <f t="shared" si="397"/>
        <v>7658614.7790439166</v>
      </c>
      <c r="AY978" s="350">
        <f t="shared" si="398"/>
        <v>22669435.038360894</v>
      </c>
      <c r="AZ978" s="365"/>
      <c r="BA978" s="377">
        <f t="shared" si="399"/>
        <v>0</v>
      </c>
      <c r="BB978" s="377">
        <f t="shared" si="400"/>
        <v>0</v>
      </c>
      <c r="BC978" s="377">
        <f t="shared" si="401"/>
        <v>0</v>
      </c>
      <c r="BD978" s="377">
        <f t="shared" si="402"/>
        <v>0</v>
      </c>
      <c r="BE978" s="377">
        <f t="shared" si="403"/>
        <v>0</v>
      </c>
      <c r="BF978" s="377">
        <f t="shared" si="404"/>
        <v>0</v>
      </c>
      <c r="BG978" s="328"/>
    </row>
    <row r="979" spans="2:59">
      <c r="B979" s="332">
        <v>964</v>
      </c>
      <c r="C979" s="350">
        <v>7820066.6907625198</v>
      </c>
      <c r="D979" s="350">
        <v>14642029.870432571</v>
      </c>
      <c r="E979" s="350">
        <v>21515319.943969995</v>
      </c>
      <c r="F979" s="350">
        <v>28440439.334241204</v>
      </c>
      <c r="G979" s="350">
        <v>35418506.22896488</v>
      </c>
      <c r="H979" s="348">
        <v>107836362.06837116</v>
      </c>
      <c r="I979" s="369"/>
      <c r="J979" s="350">
        <v>9012247.3970150389</v>
      </c>
      <c r="K979" s="350">
        <v>18160861.282288849</v>
      </c>
      <c r="L979" s="350">
        <v>27090030.041604102</v>
      </c>
      <c r="M979" s="350">
        <v>35793420.786144793</v>
      </c>
      <c r="N979" s="350">
        <v>44267024.151766658</v>
      </c>
      <c r="O979" s="348">
        <v>134323583.65881944</v>
      </c>
      <c r="P979" s="369"/>
      <c r="Q979" s="350">
        <f t="shared" si="405"/>
        <v>1192180.706252519</v>
      </c>
      <c r="R979" s="350">
        <f t="shared" si="406"/>
        <v>3518831.4118562788</v>
      </c>
      <c r="S979" s="350">
        <f t="shared" si="407"/>
        <v>5574710.0976341069</v>
      </c>
      <c r="T979" s="350">
        <f t="shared" si="408"/>
        <v>7352981.4519035891</v>
      </c>
      <c r="U979" s="350">
        <f t="shared" si="409"/>
        <v>8848517.9228017777</v>
      </c>
      <c r="V979" s="350">
        <f t="shared" si="410"/>
        <v>26487221.590448275</v>
      </c>
      <c r="W979" s="365"/>
      <c r="X979" s="377">
        <f t="shared" si="388"/>
        <v>0</v>
      </c>
      <c r="Y979" s="377">
        <f t="shared" si="389"/>
        <v>0</v>
      </c>
      <c r="Z979" s="377">
        <f t="shared" si="390"/>
        <v>0</v>
      </c>
      <c r="AA979" s="377">
        <f t="shared" si="391"/>
        <v>0</v>
      </c>
      <c r="AB979" s="377">
        <f t="shared" si="392"/>
        <v>0</v>
      </c>
      <c r="AC979" s="377">
        <f t="shared" si="393"/>
        <v>0</v>
      </c>
      <c r="AD979" s="376"/>
      <c r="AE979" s="332">
        <v>964</v>
      </c>
      <c r="AF979" s="350">
        <v>5571063.5806392282</v>
      </c>
      <c r="AG979" s="350">
        <v>11185877.684958529</v>
      </c>
      <c r="AH979" s="350">
        <v>16843185.002610631</v>
      </c>
      <c r="AI979" s="350">
        <v>22543173.113773178</v>
      </c>
      <c r="AJ979" s="350">
        <v>28286664.036889277</v>
      </c>
      <c r="AK979" s="348">
        <v>84429963.418870836</v>
      </c>
      <c r="AL979" s="369"/>
      <c r="AM979" s="350">
        <v>6791672.8652347773</v>
      </c>
      <c r="AN979" s="350">
        <v>14791918.726261243</v>
      </c>
      <c r="AO979" s="350">
        <v>22592443.502014507</v>
      </c>
      <c r="AP979" s="350">
        <v>30188723.916549224</v>
      </c>
      <c r="AQ979" s="350">
        <v>37578626.704468966</v>
      </c>
      <c r="AR979" s="348">
        <v>111943385.71452871</v>
      </c>
      <c r="AS979" s="369"/>
      <c r="AT979" s="350">
        <f t="shared" si="411"/>
        <v>1220609.2845955491</v>
      </c>
      <c r="AU979" s="350">
        <f t="shared" si="394"/>
        <v>3606041.0413027145</v>
      </c>
      <c r="AV979" s="350">
        <f t="shared" si="395"/>
        <v>5749258.4994038753</v>
      </c>
      <c r="AW979" s="350">
        <f t="shared" si="396"/>
        <v>7645550.8027760461</v>
      </c>
      <c r="AX979" s="350">
        <f t="shared" si="397"/>
        <v>9291962.6675796881</v>
      </c>
      <c r="AY979" s="350">
        <f t="shared" si="398"/>
        <v>27513422.295657873</v>
      </c>
      <c r="AZ979" s="365"/>
      <c r="BA979" s="377">
        <f t="shared" si="399"/>
        <v>0</v>
      </c>
      <c r="BB979" s="377">
        <f t="shared" si="400"/>
        <v>0</v>
      </c>
      <c r="BC979" s="377">
        <f t="shared" si="401"/>
        <v>0</v>
      </c>
      <c r="BD979" s="377">
        <f t="shared" si="402"/>
        <v>0</v>
      </c>
      <c r="BE979" s="377">
        <f t="shared" si="403"/>
        <v>0</v>
      </c>
      <c r="BF979" s="377">
        <f t="shared" si="404"/>
        <v>0</v>
      </c>
      <c r="BG979" s="328"/>
    </row>
    <row r="980" spans="2:59">
      <c r="B980" s="332">
        <v>965</v>
      </c>
      <c r="C980" s="350">
        <v>6439968.822515998</v>
      </c>
      <c r="D980" s="350">
        <v>12111545.097705789</v>
      </c>
      <c r="E980" s="350">
        <v>17825810.662311934</v>
      </c>
      <c r="F980" s="350">
        <v>23583167.182158526</v>
      </c>
      <c r="G980" s="350">
        <v>29384537.30893413</v>
      </c>
      <c r="H980" s="348">
        <v>89345029.073626369</v>
      </c>
      <c r="I980" s="369"/>
      <c r="J980" s="350">
        <v>7469932.139716113</v>
      </c>
      <c r="K980" s="350">
        <v>15152148.84624524</v>
      </c>
      <c r="L980" s="350">
        <v>22657303.956541561</v>
      </c>
      <c r="M980" s="350">
        <v>29979959.559158031</v>
      </c>
      <c r="N980" s="350">
        <v>37116662.659684934</v>
      </c>
      <c r="O980" s="348">
        <v>112376007.16134587</v>
      </c>
      <c r="P980" s="369"/>
      <c r="Q980" s="350">
        <f t="shared" si="405"/>
        <v>1029963.317200115</v>
      </c>
      <c r="R980" s="350">
        <f t="shared" si="406"/>
        <v>3040603.7485394515</v>
      </c>
      <c r="S980" s="350">
        <f t="shared" si="407"/>
        <v>4831493.2942296267</v>
      </c>
      <c r="T980" s="350">
        <f t="shared" si="408"/>
        <v>6396792.3769995049</v>
      </c>
      <c r="U980" s="350">
        <f t="shared" si="409"/>
        <v>7732125.3507508039</v>
      </c>
      <c r="V980" s="350">
        <f t="shared" si="410"/>
        <v>23030978.0877195</v>
      </c>
      <c r="W980" s="365"/>
      <c r="X980" s="377">
        <f t="shared" si="388"/>
        <v>0</v>
      </c>
      <c r="Y980" s="377">
        <f t="shared" si="389"/>
        <v>0</v>
      </c>
      <c r="Z980" s="377">
        <f t="shared" si="390"/>
        <v>0</v>
      </c>
      <c r="AA980" s="377">
        <f t="shared" si="391"/>
        <v>0</v>
      </c>
      <c r="AB980" s="377">
        <f t="shared" si="392"/>
        <v>0</v>
      </c>
      <c r="AC980" s="377">
        <f t="shared" si="393"/>
        <v>0</v>
      </c>
      <c r="AD980" s="376"/>
      <c r="AE980" s="332">
        <v>965</v>
      </c>
      <c r="AF980" s="350">
        <v>5805317.3112472575</v>
      </c>
      <c r="AG980" s="350">
        <v>11656224.781145498</v>
      </c>
      <c r="AH980" s="350">
        <v>17551412.231589779</v>
      </c>
      <c r="AI980" s="350">
        <v>23491075.130184572</v>
      </c>
      <c r="AJ980" s="350">
        <v>29476070.059847824</v>
      </c>
      <c r="AK980" s="348">
        <v>87980099.51401493</v>
      </c>
      <c r="AL980" s="369"/>
      <c r="AM980" s="350">
        <v>7239443.5774826352</v>
      </c>
      <c r="AN980" s="350">
        <v>15894908.855364755</v>
      </c>
      <c r="AO980" s="350">
        <v>24347112.831423372</v>
      </c>
      <c r="AP980" s="350">
        <v>32591296.159628525</v>
      </c>
      <c r="AQ980" s="350">
        <v>40625400.137328453</v>
      </c>
      <c r="AR980" s="348">
        <v>120698161.56122774</v>
      </c>
      <c r="AS980" s="369"/>
      <c r="AT980" s="350">
        <f t="shared" si="411"/>
        <v>1434126.2662353776</v>
      </c>
      <c r="AU980" s="350">
        <f t="shared" si="394"/>
        <v>4238684.0742192566</v>
      </c>
      <c r="AV980" s="350">
        <f t="shared" si="395"/>
        <v>6795700.5998335928</v>
      </c>
      <c r="AW980" s="350">
        <f t="shared" si="396"/>
        <v>9100221.0294439532</v>
      </c>
      <c r="AX980" s="350">
        <f t="shared" si="397"/>
        <v>11149330.077480629</v>
      </c>
      <c r="AY980" s="350">
        <f t="shared" si="398"/>
        <v>32718062.047212809</v>
      </c>
      <c r="AZ980" s="365"/>
      <c r="BA980" s="377">
        <f t="shared" si="399"/>
        <v>0</v>
      </c>
      <c r="BB980" s="377">
        <f t="shared" si="400"/>
        <v>0</v>
      </c>
      <c r="BC980" s="377">
        <f t="shared" si="401"/>
        <v>0</v>
      </c>
      <c r="BD980" s="377">
        <f t="shared" si="402"/>
        <v>0</v>
      </c>
      <c r="BE980" s="377">
        <f t="shared" si="403"/>
        <v>0</v>
      </c>
      <c r="BF980" s="377">
        <f t="shared" si="404"/>
        <v>0</v>
      </c>
      <c r="BG980" s="328"/>
    </row>
    <row r="981" spans="2:59">
      <c r="B981" s="332">
        <v>966</v>
      </c>
      <c r="C981" s="350">
        <v>8833257.9733677991</v>
      </c>
      <c r="D981" s="350">
        <v>16571494.033479743</v>
      </c>
      <c r="E981" s="350">
        <v>24367961.487692162</v>
      </c>
      <c r="F981" s="350">
        <v>32223220.542314462</v>
      </c>
      <c r="G981" s="350">
        <v>40138535.351702802</v>
      </c>
      <c r="H981" s="348">
        <v>122134469.38855699</v>
      </c>
      <c r="I981" s="369"/>
      <c r="J981" s="350">
        <v>10269834.356092297</v>
      </c>
      <c r="K981" s="350">
        <v>20812918.572072778</v>
      </c>
      <c r="L981" s="350">
        <v>31107858.099766999</v>
      </c>
      <c r="M981" s="350">
        <v>41147548.499422766</v>
      </c>
      <c r="N981" s="350">
        <v>50927639.038311742</v>
      </c>
      <c r="O981" s="348">
        <v>154265798.56566659</v>
      </c>
      <c r="P981" s="369"/>
      <c r="Q981" s="350">
        <f t="shared" si="405"/>
        <v>1436576.3827244975</v>
      </c>
      <c r="R981" s="350">
        <f t="shared" si="406"/>
        <v>4241424.5385930352</v>
      </c>
      <c r="S981" s="350">
        <f t="shared" si="407"/>
        <v>6739896.6120748371</v>
      </c>
      <c r="T981" s="350">
        <f t="shared" si="408"/>
        <v>8924327.9571083039</v>
      </c>
      <c r="U981" s="350">
        <f t="shared" si="409"/>
        <v>10789103.68660894</v>
      </c>
      <c r="V981" s="350">
        <f t="shared" si="410"/>
        <v>32131329.177109599</v>
      </c>
      <c r="W981" s="365"/>
      <c r="X981" s="377">
        <f t="shared" si="388"/>
        <v>0</v>
      </c>
      <c r="Y981" s="377">
        <f t="shared" si="389"/>
        <v>0</v>
      </c>
      <c r="Z981" s="377">
        <f t="shared" si="390"/>
        <v>0</v>
      </c>
      <c r="AA981" s="377">
        <f t="shared" si="391"/>
        <v>0</v>
      </c>
      <c r="AB981" s="377">
        <f t="shared" si="392"/>
        <v>0</v>
      </c>
      <c r="AC981" s="377">
        <f t="shared" si="393"/>
        <v>0</v>
      </c>
      <c r="AD981" s="376"/>
      <c r="AE981" s="332">
        <v>966</v>
      </c>
      <c r="AF981" s="350">
        <v>5276559.9634127282</v>
      </c>
      <c r="AG981" s="350">
        <v>10594557.662777865</v>
      </c>
      <c r="AH981" s="350">
        <v>15952802.253054075</v>
      </c>
      <c r="AI981" s="350">
        <v>21351471.398351796</v>
      </c>
      <c r="AJ981" s="350">
        <v>26791343.662681889</v>
      </c>
      <c r="AK981" s="348">
        <v>79966734.940278351</v>
      </c>
      <c r="AL981" s="369"/>
      <c r="AM981" s="350">
        <v>6496226.3787718154</v>
      </c>
      <c r="AN981" s="350">
        <v>14198538.689846437</v>
      </c>
      <c r="AO981" s="350">
        <v>21713592.098795086</v>
      </c>
      <c r="AP981" s="350">
        <v>29037084.460566577</v>
      </c>
      <c r="AQ981" s="350">
        <v>36167059.674727552</v>
      </c>
      <c r="AR981" s="348">
        <v>107612501.30270746</v>
      </c>
      <c r="AS981" s="369"/>
      <c r="AT981" s="350">
        <f t="shared" si="411"/>
        <v>1219666.4153590873</v>
      </c>
      <c r="AU981" s="350">
        <f t="shared" si="394"/>
        <v>3603981.0270685721</v>
      </c>
      <c r="AV981" s="350">
        <f t="shared" si="395"/>
        <v>5760789.8457410112</v>
      </c>
      <c r="AW981" s="350">
        <f t="shared" si="396"/>
        <v>7685613.0622147806</v>
      </c>
      <c r="AX981" s="350">
        <f t="shared" si="397"/>
        <v>9375716.0120456629</v>
      </c>
      <c r="AY981" s="350">
        <f t="shared" si="398"/>
        <v>27645766.362429112</v>
      </c>
      <c r="AZ981" s="365"/>
      <c r="BA981" s="377">
        <f t="shared" si="399"/>
        <v>0</v>
      </c>
      <c r="BB981" s="377">
        <f t="shared" si="400"/>
        <v>0</v>
      </c>
      <c r="BC981" s="377">
        <f t="shared" si="401"/>
        <v>0</v>
      </c>
      <c r="BD981" s="377">
        <f t="shared" si="402"/>
        <v>0</v>
      </c>
      <c r="BE981" s="377">
        <f t="shared" si="403"/>
        <v>0</v>
      </c>
      <c r="BF981" s="377">
        <f t="shared" si="404"/>
        <v>0</v>
      </c>
      <c r="BG981" s="328"/>
    </row>
    <row r="982" spans="2:59">
      <c r="B982" s="332">
        <v>967</v>
      </c>
      <c r="C982" s="350">
        <v>9116963.4959534984</v>
      </c>
      <c r="D982" s="350">
        <v>17346800.209664002</v>
      </c>
      <c r="E982" s="350">
        <v>25638647.417135596</v>
      </c>
      <c r="F982" s="350">
        <v>33993028.460999653</v>
      </c>
      <c r="G982" s="350">
        <v>42411256.281673945</v>
      </c>
      <c r="H982" s="348">
        <v>128506695.86542669</v>
      </c>
      <c r="I982" s="369"/>
      <c r="J982" s="350">
        <v>10554725.188797755</v>
      </c>
      <c r="K982" s="350">
        <v>21590467.080390293</v>
      </c>
      <c r="L982" s="350">
        <v>32359698.824165754</v>
      </c>
      <c r="M982" s="350">
        <v>42854758.769779511</v>
      </c>
      <c r="N982" s="350">
        <v>53070837.128024347</v>
      </c>
      <c r="O982" s="348">
        <v>160430486.99115765</v>
      </c>
      <c r="P982" s="369"/>
      <c r="Q982" s="350">
        <f t="shared" si="405"/>
        <v>1437761.6928442568</v>
      </c>
      <c r="R982" s="350">
        <f t="shared" si="406"/>
        <v>4243666.8707262911</v>
      </c>
      <c r="S982" s="350">
        <f t="shared" si="407"/>
        <v>6721051.4070301577</v>
      </c>
      <c r="T982" s="350">
        <f t="shared" si="408"/>
        <v>8861730.3087798581</v>
      </c>
      <c r="U982" s="350">
        <f t="shared" si="409"/>
        <v>10659580.846350402</v>
      </c>
      <c r="V982" s="350">
        <f t="shared" si="410"/>
        <v>31923791.125730962</v>
      </c>
      <c r="W982" s="365"/>
      <c r="X982" s="377">
        <f t="shared" si="388"/>
        <v>0</v>
      </c>
      <c r="Y982" s="377">
        <f t="shared" si="389"/>
        <v>0</v>
      </c>
      <c r="Z982" s="377">
        <f t="shared" si="390"/>
        <v>0</v>
      </c>
      <c r="AA982" s="377">
        <f t="shared" si="391"/>
        <v>0</v>
      </c>
      <c r="AB982" s="377">
        <f t="shared" si="392"/>
        <v>0</v>
      </c>
      <c r="AC982" s="377">
        <f t="shared" si="393"/>
        <v>0</v>
      </c>
      <c r="AD982" s="376"/>
      <c r="AE982" s="332">
        <v>967</v>
      </c>
      <c r="AF982" s="350">
        <v>7802958.5851689046</v>
      </c>
      <c r="AG982" s="350">
        <v>15667195.150639713</v>
      </c>
      <c r="AH982" s="350">
        <v>23590948.678892799</v>
      </c>
      <c r="AI982" s="350">
        <v>31574481.898998894</v>
      </c>
      <c r="AJ982" s="350">
        <v>39618946.14871873</v>
      </c>
      <c r="AK982" s="348">
        <v>118254530.46241905</v>
      </c>
      <c r="AL982" s="369"/>
      <c r="AM982" s="350">
        <v>9183148.8494611382</v>
      </c>
      <c r="AN982" s="350">
        <v>19740926.778480235</v>
      </c>
      <c r="AO982" s="350">
        <v>30009104.484838534</v>
      </c>
      <c r="AP982" s="350">
        <v>39981439.738204882</v>
      </c>
      <c r="AQ982" s="350">
        <v>49654611.01027865</v>
      </c>
      <c r="AR982" s="348">
        <v>148569230.86126342</v>
      </c>
      <c r="AS982" s="369"/>
      <c r="AT982" s="350">
        <f t="shared" si="411"/>
        <v>1380190.2642922336</v>
      </c>
      <c r="AU982" s="350">
        <f t="shared" si="394"/>
        <v>4073731.6278405227</v>
      </c>
      <c r="AV982" s="350">
        <f t="shared" si="395"/>
        <v>6418155.8059457354</v>
      </c>
      <c r="AW982" s="350">
        <f t="shared" si="396"/>
        <v>8406957.8392059878</v>
      </c>
      <c r="AX982" s="350">
        <f t="shared" si="397"/>
        <v>10035664.86155992</v>
      </c>
      <c r="AY982" s="350">
        <f t="shared" si="398"/>
        <v>30314700.398844376</v>
      </c>
      <c r="AZ982" s="365"/>
      <c r="BA982" s="377">
        <f t="shared" si="399"/>
        <v>0</v>
      </c>
      <c r="BB982" s="377">
        <f t="shared" si="400"/>
        <v>0</v>
      </c>
      <c r="BC982" s="377">
        <f t="shared" si="401"/>
        <v>0</v>
      </c>
      <c r="BD982" s="377">
        <f t="shared" si="402"/>
        <v>0</v>
      </c>
      <c r="BE982" s="377">
        <f t="shared" si="403"/>
        <v>0</v>
      </c>
      <c r="BF982" s="377">
        <f t="shared" si="404"/>
        <v>0</v>
      </c>
      <c r="BG982" s="328"/>
    </row>
    <row r="983" spans="2:59">
      <c r="B983" s="332">
        <v>968</v>
      </c>
      <c r="C983" s="350">
        <v>6529283.9320222382</v>
      </c>
      <c r="D983" s="350">
        <v>12347560.457996106</v>
      </c>
      <c r="E983" s="350">
        <v>18209652.670342937</v>
      </c>
      <c r="F983" s="350">
        <v>24115952.449448057</v>
      </c>
      <c r="G983" s="350">
        <v>30067397.534139302</v>
      </c>
      <c r="H983" s="348">
        <v>91269847.043948635</v>
      </c>
      <c r="I983" s="369"/>
      <c r="J983" s="350">
        <v>7244585.8993522171</v>
      </c>
      <c r="K983" s="350">
        <v>14454591.135051947</v>
      </c>
      <c r="L983" s="350">
        <v>21465593.703914165</v>
      </c>
      <c r="M983" s="350">
        <v>28272359.625979461</v>
      </c>
      <c r="N983" s="350">
        <v>34871271.192941874</v>
      </c>
      <c r="O983" s="348">
        <v>106308401.55723967</v>
      </c>
      <c r="P983" s="369"/>
      <c r="Q983" s="350">
        <f t="shared" si="405"/>
        <v>715301.96732997894</v>
      </c>
      <c r="R983" s="350">
        <f t="shared" si="406"/>
        <v>2107030.6770558413</v>
      </c>
      <c r="S983" s="350">
        <f t="shared" si="407"/>
        <v>3255941.0335712284</v>
      </c>
      <c r="T983" s="350">
        <f t="shared" si="408"/>
        <v>4156407.1765314043</v>
      </c>
      <c r="U983" s="350">
        <f t="shared" si="409"/>
        <v>4803873.6588025726</v>
      </c>
      <c r="V983" s="350">
        <f t="shared" si="410"/>
        <v>15038554.513291031</v>
      </c>
      <c r="W983" s="365"/>
      <c r="X983" s="377">
        <f t="shared" si="388"/>
        <v>0</v>
      </c>
      <c r="Y983" s="377">
        <f t="shared" si="389"/>
        <v>0</v>
      </c>
      <c r="Z983" s="377">
        <f t="shared" si="390"/>
        <v>0</v>
      </c>
      <c r="AA983" s="377">
        <f t="shared" si="391"/>
        <v>0</v>
      </c>
      <c r="AB983" s="377">
        <f t="shared" si="392"/>
        <v>0</v>
      </c>
      <c r="AC983" s="377">
        <f t="shared" si="393"/>
        <v>0</v>
      </c>
      <c r="AD983" s="376"/>
      <c r="AE983" s="332">
        <v>968</v>
      </c>
      <c r="AF983" s="350">
        <v>6962018.1849477328</v>
      </c>
      <c r="AG983" s="350">
        <v>13978710.300115932</v>
      </c>
      <c r="AH983" s="350">
        <v>21048505.11635327</v>
      </c>
      <c r="AI983" s="350">
        <v>28171637.047894828</v>
      </c>
      <c r="AJ983" s="350">
        <v>35349133.350535929</v>
      </c>
      <c r="AK983" s="348">
        <v>105510003.99984768</v>
      </c>
      <c r="AL983" s="369"/>
      <c r="AM983" s="350">
        <v>8504906.335341312</v>
      </c>
      <c r="AN983" s="350">
        <v>18537058.432107635</v>
      </c>
      <c r="AO983" s="350">
        <v>28320148.937763873</v>
      </c>
      <c r="AP983" s="350">
        <v>37848520.27174136</v>
      </c>
      <c r="AQ983" s="350">
        <v>47119524.292963058</v>
      </c>
      <c r="AR983" s="348">
        <v>140330158.26991725</v>
      </c>
      <c r="AS983" s="369"/>
      <c r="AT983" s="350">
        <f t="shared" si="411"/>
        <v>1542888.1503935792</v>
      </c>
      <c r="AU983" s="350">
        <f t="shared" si="394"/>
        <v>4558348.1319917031</v>
      </c>
      <c r="AV983" s="350">
        <f t="shared" si="395"/>
        <v>7271643.8214106038</v>
      </c>
      <c r="AW983" s="350">
        <f t="shared" si="396"/>
        <v>9676883.2238465324</v>
      </c>
      <c r="AX983" s="350">
        <f t="shared" si="397"/>
        <v>11770390.942427129</v>
      </c>
      <c r="AY983" s="350">
        <f t="shared" si="398"/>
        <v>34820154.270069569</v>
      </c>
      <c r="AZ983" s="365"/>
      <c r="BA983" s="377">
        <f t="shared" si="399"/>
        <v>0</v>
      </c>
      <c r="BB983" s="377">
        <f t="shared" si="400"/>
        <v>0</v>
      </c>
      <c r="BC983" s="377">
        <f t="shared" si="401"/>
        <v>0</v>
      </c>
      <c r="BD983" s="377">
        <f t="shared" si="402"/>
        <v>0</v>
      </c>
      <c r="BE983" s="377">
        <f t="shared" si="403"/>
        <v>0</v>
      </c>
      <c r="BF983" s="377">
        <f t="shared" si="404"/>
        <v>0</v>
      </c>
      <c r="BG983" s="328"/>
    </row>
    <row r="984" spans="2:59">
      <c r="B984" s="332">
        <v>969</v>
      </c>
      <c r="C984" s="350">
        <v>7908210.2318417039</v>
      </c>
      <c r="D984" s="350">
        <v>15029000.461901778</v>
      </c>
      <c r="E984" s="350">
        <v>22203438.997454979</v>
      </c>
      <c r="F984" s="350">
        <v>29431983.837129284</v>
      </c>
      <c r="G984" s="350">
        <v>36715773.244849771</v>
      </c>
      <c r="H984" s="348">
        <v>111288406.77317752</v>
      </c>
      <c r="I984" s="369"/>
      <c r="J984" s="350">
        <v>8990423.064591296</v>
      </c>
      <c r="K984" s="350">
        <v>18220959.536710534</v>
      </c>
      <c r="L984" s="350">
        <v>27212181.625900574</v>
      </c>
      <c r="M984" s="350">
        <v>35957672.920222253</v>
      </c>
      <c r="N984" s="350">
        <v>44453278.125490442</v>
      </c>
      <c r="O984" s="348">
        <v>134834515.2729151</v>
      </c>
      <c r="P984" s="369"/>
      <c r="Q984" s="350">
        <f t="shared" si="405"/>
        <v>1082212.8327495921</v>
      </c>
      <c r="R984" s="350">
        <f t="shared" si="406"/>
        <v>3191959.0748087559</v>
      </c>
      <c r="S984" s="350">
        <f t="shared" si="407"/>
        <v>5008742.6284455955</v>
      </c>
      <c r="T984" s="350">
        <f t="shared" si="408"/>
        <v>6525689.0830929689</v>
      </c>
      <c r="U984" s="350">
        <f t="shared" si="409"/>
        <v>7737504.8806406707</v>
      </c>
      <c r="V984" s="350">
        <f t="shared" si="410"/>
        <v>23546108.499737576</v>
      </c>
      <c r="W984" s="365"/>
      <c r="X984" s="377">
        <f t="shared" si="388"/>
        <v>0</v>
      </c>
      <c r="Y984" s="377">
        <f t="shared" si="389"/>
        <v>0</v>
      </c>
      <c r="Z984" s="377">
        <f t="shared" si="390"/>
        <v>0</v>
      </c>
      <c r="AA984" s="377">
        <f t="shared" si="391"/>
        <v>0</v>
      </c>
      <c r="AB984" s="377">
        <f t="shared" si="392"/>
        <v>0</v>
      </c>
      <c r="AC984" s="377">
        <f t="shared" si="393"/>
        <v>0</v>
      </c>
      <c r="AD984" s="376"/>
      <c r="AE984" s="332">
        <v>969</v>
      </c>
      <c r="AF984" s="350">
        <v>6827624.2736461926</v>
      </c>
      <c r="AG984" s="350">
        <v>13708867.058935456</v>
      </c>
      <c r="AH984" s="350">
        <v>20642187.457523648</v>
      </c>
      <c r="AI984" s="350">
        <v>27627815.358543351</v>
      </c>
      <c r="AJ984" s="350">
        <v>34666758.187774993</v>
      </c>
      <c r="AK984" s="348">
        <v>103473252.33642364</v>
      </c>
      <c r="AL984" s="369"/>
      <c r="AM984" s="350">
        <v>8297538.5822101971</v>
      </c>
      <c r="AN984" s="350">
        <v>18051132.189962648</v>
      </c>
      <c r="AO984" s="350">
        <v>27559178.501914591</v>
      </c>
      <c r="AP984" s="350">
        <v>36816141.366480879</v>
      </c>
      <c r="AQ984" s="350">
        <v>45819380.020490006</v>
      </c>
      <c r="AR984" s="348">
        <v>136543370.66105831</v>
      </c>
      <c r="AS984" s="369"/>
      <c r="AT984" s="350">
        <f t="shared" si="411"/>
        <v>1469914.3085640045</v>
      </c>
      <c r="AU984" s="350">
        <f t="shared" si="394"/>
        <v>4342265.1310271919</v>
      </c>
      <c r="AV984" s="350">
        <f t="shared" si="395"/>
        <v>6916991.0443909429</v>
      </c>
      <c r="AW984" s="350">
        <f t="shared" si="396"/>
        <v>9188326.0079375282</v>
      </c>
      <c r="AX984" s="350">
        <f t="shared" si="397"/>
        <v>11152621.832715012</v>
      </c>
      <c r="AY984" s="350">
        <f t="shared" si="398"/>
        <v>33070118.324634671</v>
      </c>
      <c r="AZ984" s="365"/>
      <c r="BA984" s="377">
        <f t="shared" si="399"/>
        <v>0</v>
      </c>
      <c r="BB984" s="377">
        <f t="shared" si="400"/>
        <v>0</v>
      </c>
      <c r="BC984" s="377">
        <f t="shared" si="401"/>
        <v>0</v>
      </c>
      <c r="BD984" s="377">
        <f t="shared" si="402"/>
        <v>0</v>
      </c>
      <c r="BE984" s="377">
        <f t="shared" si="403"/>
        <v>0</v>
      </c>
      <c r="BF984" s="377">
        <f t="shared" si="404"/>
        <v>0</v>
      </c>
      <c r="BG984" s="328"/>
    </row>
    <row r="985" spans="2:59">
      <c r="B985" s="332">
        <v>970</v>
      </c>
      <c r="C985" s="350">
        <v>7401746.7878184421</v>
      </c>
      <c r="D985" s="350">
        <v>14097019.941044215</v>
      </c>
      <c r="E985" s="350">
        <v>20842745.277148291</v>
      </c>
      <c r="F985" s="350">
        <v>27639344.575828154</v>
      </c>
      <c r="G985" s="350">
        <v>34487884.23101835</v>
      </c>
      <c r="H985" s="348">
        <v>104468740.81285745</v>
      </c>
      <c r="I985" s="369"/>
      <c r="J985" s="350">
        <v>8174752.9521177467</v>
      </c>
      <c r="K985" s="350">
        <v>16373004.857011588</v>
      </c>
      <c r="L985" s="350">
        <v>24342382.757798847</v>
      </c>
      <c r="M985" s="350">
        <v>32076769.281604201</v>
      </c>
      <c r="N985" s="350">
        <v>39571855.761212915</v>
      </c>
      <c r="O985" s="348">
        <v>120538765.60974529</v>
      </c>
      <c r="P985" s="369"/>
      <c r="Q985" s="350">
        <f t="shared" si="405"/>
        <v>773006.1642993046</v>
      </c>
      <c r="R985" s="350">
        <f t="shared" si="406"/>
        <v>2275984.9159673732</v>
      </c>
      <c r="S985" s="350">
        <f t="shared" si="407"/>
        <v>3499637.4806505553</v>
      </c>
      <c r="T985" s="350">
        <f t="shared" si="408"/>
        <v>4437424.705776047</v>
      </c>
      <c r="U985" s="350">
        <f t="shared" si="409"/>
        <v>5083971.5301945657</v>
      </c>
      <c r="V985" s="350">
        <f t="shared" si="410"/>
        <v>16070024.796887845</v>
      </c>
      <c r="W985" s="365"/>
      <c r="X985" s="377">
        <f t="shared" si="388"/>
        <v>0</v>
      </c>
      <c r="Y985" s="377">
        <f t="shared" si="389"/>
        <v>0</v>
      </c>
      <c r="Z985" s="377">
        <f t="shared" si="390"/>
        <v>0</v>
      </c>
      <c r="AA985" s="377">
        <f t="shared" si="391"/>
        <v>0</v>
      </c>
      <c r="AB985" s="377">
        <f t="shared" si="392"/>
        <v>0</v>
      </c>
      <c r="AC985" s="377">
        <f t="shared" si="393"/>
        <v>0</v>
      </c>
      <c r="AD985" s="376"/>
      <c r="AE985" s="332">
        <v>970</v>
      </c>
      <c r="AF985" s="350">
        <v>7042758.4943610076</v>
      </c>
      <c r="AG985" s="350">
        <v>14140824.986525411</v>
      </c>
      <c r="AH985" s="350">
        <v>21292610.025394671</v>
      </c>
      <c r="AI985" s="350">
        <v>28498350.743765842</v>
      </c>
      <c r="AJ985" s="350">
        <v>35759086.310783006</v>
      </c>
      <c r="AK985" s="348">
        <v>106733630.56082994</v>
      </c>
      <c r="AL985" s="369"/>
      <c r="AM985" s="350">
        <v>8320747.8955836203</v>
      </c>
      <c r="AN985" s="350">
        <v>17913359.366509221</v>
      </c>
      <c r="AO985" s="350">
        <v>27245551.105067194</v>
      </c>
      <c r="AP985" s="350">
        <v>36311679.902349487</v>
      </c>
      <c r="AQ985" s="350">
        <v>45108780.504089274</v>
      </c>
      <c r="AR985" s="348">
        <v>134900118.77359879</v>
      </c>
      <c r="AS985" s="369"/>
      <c r="AT985" s="350">
        <f t="shared" si="411"/>
        <v>1277989.4012226127</v>
      </c>
      <c r="AU985" s="350">
        <f t="shared" si="394"/>
        <v>3772534.3799838107</v>
      </c>
      <c r="AV985" s="350">
        <f t="shared" si="395"/>
        <v>5952941.0796725228</v>
      </c>
      <c r="AW985" s="350">
        <f t="shared" si="396"/>
        <v>7813329.1585836448</v>
      </c>
      <c r="AX985" s="350">
        <f t="shared" si="397"/>
        <v>9349694.1933062673</v>
      </c>
      <c r="AY985" s="350">
        <f t="shared" si="398"/>
        <v>28166488.212768853</v>
      </c>
      <c r="AZ985" s="365"/>
      <c r="BA985" s="377">
        <f t="shared" si="399"/>
        <v>0</v>
      </c>
      <c r="BB985" s="377">
        <f t="shared" si="400"/>
        <v>0</v>
      </c>
      <c r="BC985" s="377">
        <f t="shared" si="401"/>
        <v>0</v>
      </c>
      <c r="BD985" s="377">
        <f t="shared" si="402"/>
        <v>0</v>
      </c>
      <c r="BE985" s="377">
        <f t="shared" si="403"/>
        <v>0</v>
      </c>
      <c r="BF985" s="377">
        <f t="shared" si="404"/>
        <v>0</v>
      </c>
      <c r="BG985" s="328"/>
    </row>
    <row r="986" spans="2:59">
      <c r="B986" s="332">
        <v>971</v>
      </c>
      <c r="C986" s="350">
        <v>5532494.9694761615</v>
      </c>
      <c r="D986" s="350">
        <v>10404326.048520628</v>
      </c>
      <c r="E986" s="350">
        <v>15312826.649992505</v>
      </c>
      <c r="F986" s="350">
        <v>20258341.963472072</v>
      </c>
      <c r="G986" s="350">
        <v>25241664.608801465</v>
      </c>
      <c r="H986" s="348">
        <v>76749654.240262836</v>
      </c>
      <c r="I986" s="369"/>
      <c r="J986" s="350">
        <v>6479539.2665973287</v>
      </c>
      <c r="K986" s="350">
        <v>13200982.319125863</v>
      </c>
      <c r="L986" s="350">
        <v>19775941.416548379</v>
      </c>
      <c r="M986" s="350">
        <v>26199575.895724297</v>
      </c>
      <c r="N986" s="350">
        <v>32468824.91228573</v>
      </c>
      <c r="O986" s="348">
        <v>98124863.810281605</v>
      </c>
      <c r="P986" s="369"/>
      <c r="Q986" s="350">
        <f t="shared" si="405"/>
        <v>947044.29712116718</v>
      </c>
      <c r="R986" s="350">
        <f t="shared" si="406"/>
        <v>2796656.2706052344</v>
      </c>
      <c r="S986" s="350">
        <f t="shared" si="407"/>
        <v>4463114.7665558737</v>
      </c>
      <c r="T986" s="350">
        <f t="shared" si="408"/>
        <v>5941233.9322522245</v>
      </c>
      <c r="U986" s="350">
        <f t="shared" si="409"/>
        <v>7227160.3034842648</v>
      </c>
      <c r="V986" s="350">
        <f t="shared" si="410"/>
        <v>21375209.570018768</v>
      </c>
      <c r="W986" s="365"/>
      <c r="X986" s="377">
        <f t="shared" si="388"/>
        <v>0</v>
      </c>
      <c r="Y986" s="377">
        <f t="shared" si="389"/>
        <v>0</v>
      </c>
      <c r="Z986" s="377">
        <f t="shared" si="390"/>
        <v>0</v>
      </c>
      <c r="AA986" s="377">
        <f t="shared" si="391"/>
        <v>0</v>
      </c>
      <c r="AB986" s="377">
        <f t="shared" si="392"/>
        <v>0</v>
      </c>
      <c r="AC986" s="377">
        <f t="shared" si="393"/>
        <v>0</v>
      </c>
      <c r="AD986" s="376"/>
      <c r="AE986" s="332">
        <v>971</v>
      </c>
      <c r="AF986" s="350">
        <v>4727867.3555635158</v>
      </c>
      <c r="AG986" s="350">
        <v>9492863.4693438038</v>
      </c>
      <c r="AH986" s="350">
        <v>14293921.328469694</v>
      </c>
      <c r="AI986" s="350">
        <v>19131200.122328557</v>
      </c>
      <c r="AJ986" s="350">
        <v>24005397.454547882</v>
      </c>
      <c r="AK986" s="348">
        <v>71651249.730253458</v>
      </c>
      <c r="AL986" s="369"/>
      <c r="AM986" s="350">
        <v>5510956.3051217953</v>
      </c>
      <c r="AN986" s="350">
        <v>11803455.667464089</v>
      </c>
      <c r="AO986" s="350">
        <v>17918891.524602186</v>
      </c>
      <c r="AP986" s="350">
        <v>23853496.706095725</v>
      </c>
      <c r="AQ986" s="350">
        <v>29605204.817779042</v>
      </c>
      <c r="AR986" s="348">
        <v>88692005.021062836</v>
      </c>
      <c r="AS986" s="369"/>
      <c r="AT986" s="350">
        <f t="shared" si="411"/>
        <v>783088.94955827948</v>
      </c>
      <c r="AU986" s="350">
        <f t="shared" si="394"/>
        <v>2310592.1981202848</v>
      </c>
      <c r="AV986" s="350">
        <f t="shared" si="395"/>
        <v>3624970.1961324923</v>
      </c>
      <c r="AW986" s="350">
        <f t="shared" si="396"/>
        <v>4722296.5837671682</v>
      </c>
      <c r="AX986" s="350">
        <f t="shared" si="397"/>
        <v>5599807.3632311597</v>
      </c>
      <c r="AY986" s="350">
        <f t="shared" si="398"/>
        <v>17040755.290809378</v>
      </c>
      <c r="AZ986" s="365"/>
      <c r="BA986" s="377">
        <f t="shared" si="399"/>
        <v>0</v>
      </c>
      <c r="BB986" s="377">
        <f t="shared" si="400"/>
        <v>0</v>
      </c>
      <c r="BC986" s="377">
        <f t="shared" si="401"/>
        <v>0</v>
      </c>
      <c r="BD986" s="377">
        <f t="shared" si="402"/>
        <v>0</v>
      </c>
      <c r="BE986" s="377">
        <f t="shared" si="403"/>
        <v>0</v>
      </c>
      <c r="BF986" s="377">
        <f t="shared" si="404"/>
        <v>0</v>
      </c>
      <c r="BG986" s="328"/>
    </row>
    <row r="987" spans="2:59">
      <c r="B987" s="332">
        <v>972</v>
      </c>
      <c r="C987" s="350">
        <v>5944013.317644679</v>
      </c>
      <c r="D987" s="350">
        <v>11214407.673631931</v>
      </c>
      <c r="E987" s="350">
        <v>16524483.285070639</v>
      </c>
      <c r="F987" s="350">
        <v>21874602.850677237</v>
      </c>
      <c r="G987" s="350">
        <v>27265619.165401358</v>
      </c>
      <c r="H987" s="348">
        <v>82823126.292425841</v>
      </c>
      <c r="I987" s="369"/>
      <c r="J987" s="350">
        <v>6753091.2233477766</v>
      </c>
      <c r="K987" s="350">
        <v>13600895.23017098</v>
      </c>
      <c r="L987" s="350">
        <v>20271673.42668695</v>
      </c>
      <c r="M987" s="350">
        <v>26760704.686058231</v>
      </c>
      <c r="N987" s="350">
        <v>33064938.72058592</v>
      </c>
      <c r="O987" s="348">
        <v>100451303.28684986</v>
      </c>
      <c r="P987" s="369"/>
      <c r="Q987" s="350">
        <f t="shared" si="405"/>
        <v>809077.90570309758</v>
      </c>
      <c r="R987" s="350">
        <f t="shared" si="406"/>
        <v>2386487.5565390494</v>
      </c>
      <c r="S987" s="350">
        <f t="shared" si="407"/>
        <v>3747190.1416163109</v>
      </c>
      <c r="T987" s="350">
        <f t="shared" si="408"/>
        <v>4886101.8353809938</v>
      </c>
      <c r="U987" s="350">
        <f t="shared" si="409"/>
        <v>5799319.5551845618</v>
      </c>
      <c r="V987" s="350">
        <f t="shared" si="410"/>
        <v>17628176.994424015</v>
      </c>
      <c r="W987" s="365"/>
      <c r="X987" s="377">
        <f t="shared" si="388"/>
        <v>0</v>
      </c>
      <c r="Y987" s="377">
        <f t="shared" si="389"/>
        <v>0</v>
      </c>
      <c r="Z987" s="377">
        <f t="shared" si="390"/>
        <v>0</v>
      </c>
      <c r="AA987" s="377">
        <f t="shared" si="391"/>
        <v>0</v>
      </c>
      <c r="AB987" s="377">
        <f t="shared" si="392"/>
        <v>0</v>
      </c>
      <c r="AC987" s="377">
        <f t="shared" si="393"/>
        <v>0</v>
      </c>
      <c r="AD987" s="376"/>
      <c r="AE987" s="332">
        <v>972</v>
      </c>
      <c r="AF987" s="350">
        <v>6528369.2309055682</v>
      </c>
      <c r="AG987" s="350">
        <v>13108006.871962043</v>
      </c>
      <c r="AH987" s="350">
        <v>19737439.562460825</v>
      </c>
      <c r="AI987" s="350">
        <v>26416887.1154847</v>
      </c>
      <c r="AJ987" s="350">
        <v>33147312.80130218</v>
      </c>
      <c r="AK987" s="348">
        <v>98938015.582115322</v>
      </c>
      <c r="AL987" s="369"/>
      <c r="AM987" s="350">
        <v>7734489.8558592657</v>
      </c>
      <c r="AN987" s="350">
        <v>16668685.539306762</v>
      </c>
      <c r="AO987" s="350">
        <v>25362125.161719009</v>
      </c>
      <c r="AP987" s="350">
        <v>33809571.609716818</v>
      </c>
      <c r="AQ987" s="350">
        <v>42008297.952565715</v>
      </c>
      <c r="AR987" s="348">
        <v>125583170.11916757</v>
      </c>
      <c r="AS987" s="369"/>
      <c r="AT987" s="350">
        <f t="shared" si="411"/>
        <v>1206120.6249536974</v>
      </c>
      <c r="AU987" s="350">
        <f t="shared" si="394"/>
        <v>3560678.6673447192</v>
      </c>
      <c r="AV987" s="350">
        <f t="shared" si="395"/>
        <v>5624685.5992581844</v>
      </c>
      <c r="AW987" s="350">
        <f t="shared" si="396"/>
        <v>7392684.4942321181</v>
      </c>
      <c r="AX987" s="350">
        <f t="shared" si="397"/>
        <v>8860985.151263535</v>
      </c>
      <c r="AY987" s="350">
        <f t="shared" si="398"/>
        <v>26645154.537052244</v>
      </c>
      <c r="AZ987" s="365"/>
      <c r="BA987" s="377">
        <f t="shared" si="399"/>
        <v>0</v>
      </c>
      <c r="BB987" s="377">
        <f t="shared" si="400"/>
        <v>0</v>
      </c>
      <c r="BC987" s="377">
        <f t="shared" si="401"/>
        <v>0</v>
      </c>
      <c r="BD987" s="377">
        <f t="shared" si="402"/>
        <v>0</v>
      </c>
      <c r="BE987" s="377">
        <f t="shared" si="403"/>
        <v>0</v>
      </c>
      <c r="BF987" s="377">
        <f t="shared" si="404"/>
        <v>0</v>
      </c>
      <c r="BG987" s="328"/>
    </row>
    <row r="988" spans="2:59">
      <c r="B988" s="332">
        <v>973</v>
      </c>
      <c r="C988" s="350">
        <v>8499110.76028971</v>
      </c>
      <c r="D988" s="350">
        <v>15977231.307460267</v>
      </c>
      <c r="E988" s="350">
        <v>23511636.536659941</v>
      </c>
      <c r="F988" s="350">
        <v>31102858.103178807</v>
      </c>
      <c r="G988" s="350">
        <v>38752113.438506439</v>
      </c>
      <c r="H988" s="348">
        <v>117842950.14609517</v>
      </c>
      <c r="I988" s="369"/>
      <c r="J988" s="350">
        <v>9630551.275063334</v>
      </c>
      <c r="K988" s="350">
        <v>19314324.88547558</v>
      </c>
      <c r="L988" s="350">
        <v>28750651.489860557</v>
      </c>
      <c r="M988" s="350">
        <v>37932701.889714077</v>
      </c>
      <c r="N988" s="350">
        <v>46855980.268757261</v>
      </c>
      <c r="O988" s="348">
        <v>142484209.80887079</v>
      </c>
      <c r="P988" s="369"/>
      <c r="Q988" s="350">
        <f t="shared" si="405"/>
        <v>1131440.514773624</v>
      </c>
      <c r="R988" s="350">
        <f t="shared" si="406"/>
        <v>3337093.5780153126</v>
      </c>
      <c r="S988" s="350">
        <f t="shared" si="407"/>
        <v>5239014.9532006159</v>
      </c>
      <c r="T988" s="350">
        <f t="shared" si="408"/>
        <v>6829843.7865352705</v>
      </c>
      <c r="U988" s="350">
        <f t="shared" si="409"/>
        <v>8103866.830250822</v>
      </c>
      <c r="V988" s="350">
        <f t="shared" si="410"/>
        <v>24641259.662775621</v>
      </c>
      <c r="W988" s="365"/>
      <c r="X988" s="377">
        <f t="shared" si="388"/>
        <v>0</v>
      </c>
      <c r="Y988" s="377">
        <f t="shared" si="389"/>
        <v>0</v>
      </c>
      <c r="Z988" s="377">
        <f t="shared" si="390"/>
        <v>0</v>
      </c>
      <c r="AA988" s="377">
        <f t="shared" si="391"/>
        <v>0</v>
      </c>
      <c r="AB988" s="377">
        <f t="shared" si="392"/>
        <v>0</v>
      </c>
      <c r="AC988" s="377">
        <f t="shared" si="393"/>
        <v>0</v>
      </c>
      <c r="AD988" s="376"/>
      <c r="AE988" s="332">
        <v>973</v>
      </c>
      <c r="AF988" s="350">
        <v>7445259.6042287014</v>
      </c>
      <c r="AG988" s="350">
        <v>14948988.116934966</v>
      </c>
      <c r="AH988" s="350">
        <v>22509505.24820593</v>
      </c>
      <c r="AI988" s="350">
        <v>30127061.683229245</v>
      </c>
      <c r="AJ988" s="350">
        <v>37802755.980766594</v>
      </c>
      <c r="AK988" s="348">
        <v>112833570.63336544</v>
      </c>
      <c r="AL988" s="369"/>
      <c r="AM988" s="350">
        <v>8624766.5440679155</v>
      </c>
      <c r="AN988" s="350">
        <v>18428446.183534961</v>
      </c>
      <c r="AO988" s="350">
        <v>27951685.721668426</v>
      </c>
      <c r="AP988" s="350">
        <v>37188567.946667701</v>
      </c>
      <c r="AQ988" s="350">
        <v>46135784.426371522</v>
      </c>
      <c r="AR988" s="348">
        <v>138329250.82231054</v>
      </c>
      <c r="AS988" s="369"/>
      <c r="AT988" s="350">
        <f t="shared" si="411"/>
        <v>1179506.9398392141</v>
      </c>
      <c r="AU988" s="350">
        <f t="shared" si="394"/>
        <v>3479458.0665999949</v>
      </c>
      <c r="AV988" s="350">
        <f t="shared" si="395"/>
        <v>5442180.473462496</v>
      </c>
      <c r="AW988" s="350">
        <f t="shared" si="396"/>
        <v>7061506.2634384558</v>
      </c>
      <c r="AX988" s="350">
        <f t="shared" si="397"/>
        <v>8333028.4456049278</v>
      </c>
      <c r="AY988" s="350">
        <f t="shared" si="398"/>
        <v>25495680.1889451</v>
      </c>
      <c r="AZ988" s="365"/>
      <c r="BA988" s="377">
        <f t="shared" si="399"/>
        <v>0</v>
      </c>
      <c r="BB988" s="377">
        <f t="shared" si="400"/>
        <v>0</v>
      </c>
      <c r="BC988" s="377">
        <f t="shared" si="401"/>
        <v>0</v>
      </c>
      <c r="BD988" s="377">
        <f t="shared" si="402"/>
        <v>0</v>
      </c>
      <c r="BE988" s="377">
        <f t="shared" si="403"/>
        <v>0</v>
      </c>
      <c r="BF988" s="377">
        <f t="shared" si="404"/>
        <v>0</v>
      </c>
      <c r="BG988" s="328"/>
    </row>
    <row r="989" spans="2:59">
      <c r="B989" s="332">
        <v>974</v>
      </c>
      <c r="C989" s="350">
        <v>6329318.276502097</v>
      </c>
      <c r="D989" s="350">
        <v>11950166.874517955</v>
      </c>
      <c r="E989" s="350">
        <v>17613338.185088277</v>
      </c>
      <c r="F989" s="350">
        <v>23319216.42852781</v>
      </c>
      <c r="G989" s="350">
        <v>29068709.976765648</v>
      </c>
      <c r="H989" s="348">
        <v>88280749.741401792</v>
      </c>
      <c r="I989" s="369"/>
      <c r="J989" s="350">
        <v>7206711.7486865111</v>
      </c>
      <c r="K989" s="350">
        <v>14538404.29574897</v>
      </c>
      <c r="L989" s="350">
        <v>21685201.517301641</v>
      </c>
      <c r="M989" s="350">
        <v>28641932.913123749</v>
      </c>
      <c r="N989" s="350">
        <v>35405224.986836784</v>
      </c>
      <c r="O989" s="348">
        <v>107477475.46169767</v>
      </c>
      <c r="P989" s="369"/>
      <c r="Q989" s="350">
        <f t="shared" si="405"/>
        <v>877393.47218441404</v>
      </c>
      <c r="R989" s="350">
        <f t="shared" si="406"/>
        <v>2588237.4212310147</v>
      </c>
      <c r="S989" s="350">
        <f t="shared" si="407"/>
        <v>4071863.3322133645</v>
      </c>
      <c r="T989" s="350">
        <f t="shared" si="408"/>
        <v>5322716.4845959395</v>
      </c>
      <c r="U989" s="350">
        <f t="shared" si="409"/>
        <v>6336515.0100711361</v>
      </c>
      <c r="V989" s="350">
        <f t="shared" si="410"/>
        <v>19196725.720295876</v>
      </c>
      <c r="W989" s="365"/>
      <c r="X989" s="377">
        <f t="shared" si="388"/>
        <v>0</v>
      </c>
      <c r="Y989" s="377">
        <f t="shared" si="389"/>
        <v>0</v>
      </c>
      <c r="Z989" s="377">
        <f t="shared" si="390"/>
        <v>0</v>
      </c>
      <c r="AA989" s="377">
        <f t="shared" si="391"/>
        <v>0</v>
      </c>
      <c r="AB989" s="377">
        <f t="shared" si="392"/>
        <v>0</v>
      </c>
      <c r="AC989" s="377">
        <f t="shared" si="393"/>
        <v>0</v>
      </c>
      <c r="AD989" s="376"/>
      <c r="AE989" s="332">
        <v>974</v>
      </c>
      <c r="AF989" s="350">
        <v>7031799.1216448043</v>
      </c>
      <c r="AG989" s="350">
        <v>14118820.175247841</v>
      </c>
      <c r="AH989" s="350">
        <v>21259476.183086164</v>
      </c>
      <c r="AI989" s="350">
        <v>28454003.9089499</v>
      </c>
      <c r="AJ989" s="350">
        <v>35703440.904911928</v>
      </c>
      <c r="AK989" s="348">
        <v>106567540.29384065</v>
      </c>
      <c r="AL989" s="369"/>
      <c r="AM989" s="350">
        <v>8340475.1279606847</v>
      </c>
      <c r="AN989" s="350">
        <v>17982389.413099162</v>
      </c>
      <c r="AO989" s="350">
        <v>27365267.845866337</v>
      </c>
      <c r="AP989" s="350">
        <v>36483466.757071242</v>
      </c>
      <c r="AQ989" s="350">
        <v>45334058.599164501</v>
      </c>
      <c r="AR989" s="348">
        <v>135505657.74316192</v>
      </c>
      <c r="AS989" s="369"/>
      <c r="AT989" s="350">
        <f t="shared" si="411"/>
        <v>1308676.0063158805</v>
      </c>
      <c r="AU989" s="350">
        <f t="shared" si="394"/>
        <v>3863569.2378513217</v>
      </c>
      <c r="AV989" s="350">
        <f t="shared" si="395"/>
        <v>6105791.6627801731</v>
      </c>
      <c r="AW989" s="350">
        <f t="shared" si="396"/>
        <v>8029462.8481213413</v>
      </c>
      <c r="AX989" s="350">
        <f t="shared" si="397"/>
        <v>9630617.694252573</v>
      </c>
      <c r="AY989" s="350">
        <f t="shared" si="398"/>
        <v>28938117.44932127</v>
      </c>
      <c r="AZ989" s="365"/>
      <c r="BA989" s="377">
        <f t="shared" si="399"/>
        <v>0</v>
      </c>
      <c r="BB989" s="377">
        <f t="shared" si="400"/>
        <v>0</v>
      </c>
      <c r="BC989" s="377">
        <f t="shared" si="401"/>
        <v>0</v>
      </c>
      <c r="BD989" s="377">
        <f t="shared" si="402"/>
        <v>0</v>
      </c>
      <c r="BE989" s="377">
        <f t="shared" si="403"/>
        <v>0</v>
      </c>
      <c r="BF989" s="377">
        <f t="shared" si="404"/>
        <v>0</v>
      </c>
      <c r="BG989" s="328"/>
    </row>
    <row r="990" spans="2:59">
      <c r="B990" s="332">
        <v>975</v>
      </c>
      <c r="C990" s="350">
        <v>7949004.4559398964</v>
      </c>
      <c r="D990" s="350">
        <v>14763912.169425387</v>
      </c>
      <c r="E990" s="350">
        <v>21630054.317661647</v>
      </c>
      <c r="F990" s="350">
        <v>28547968.585180726</v>
      </c>
      <c r="G990" s="350">
        <v>35518787.57160797</v>
      </c>
      <c r="H990" s="348">
        <v>108409727.09981564</v>
      </c>
      <c r="I990" s="369"/>
      <c r="J990" s="350">
        <v>9074208.3090401664</v>
      </c>
      <c r="K990" s="350">
        <v>18084147.253111005</v>
      </c>
      <c r="L990" s="350">
        <v>26872605.480277866</v>
      </c>
      <c r="M990" s="350">
        <v>35433339.673962757</v>
      </c>
      <c r="N990" s="350">
        <v>43762322.954231471</v>
      </c>
      <c r="O990" s="348">
        <v>133226623.67062327</v>
      </c>
      <c r="P990" s="369"/>
      <c r="Q990" s="350">
        <f t="shared" si="405"/>
        <v>1125203.85310027</v>
      </c>
      <c r="R990" s="350">
        <f t="shared" si="406"/>
        <v>3320235.0836856179</v>
      </c>
      <c r="S990" s="350">
        <f t="shared" si="407"/>
        <v>5242551.1626162194</v>
      </c>
      <c r="T990" s="350">
        <f t="shared" si="408"/>
        <v>6885371.0887820311</v>
      </c>
      <c r="U990" s="350">
        <f t="shared" si="409"/>
        <v>8243535.3826235011</v>
      </c>
      <c r="V990" s="350">
        <f t="shared" si="410"/>
        <v>24816896.570807636</v>
      </c>
      <c r="W990" s="365"/>
      <c r="X990" s="377">
        <f t="shared" si="388"/>
        <v>0</v>
      </c>
      <c r="Y990" s="377">
        <f t="shared" si="389"/>
        <v>0</v>
      </c>
      <c r="Z990" s="377">
        <f t="shared" si="390"/>
        <v>0</v>
      </c>
      <c r="AA990" s="377">
        <f t="shared" si="391"/>
        <v>0</v>
      </c>
      <c r="AB990" s="377">
        <f t="shared" si="392"/>
        <v>0</v>
      </c>
      <c r="AC990" s="377">
        <f t="shared" si="393"/>
        <v>0</v>
      </c>
      <c r="AD990" s="376"/>
      <c r="AE990" s="332">
        <v>975</v>
      </c>
      <c r="AF990" s="350">
        <v>4959917.4067719458</v>
      </c>
      <c r="AG990" s="350">
        <v>9958785.900856968</v>
      </c>
      <c r="AH990" s="350">
        <v>14995486.098965526</v>
      </c>
      <c r="AI990" s="350">
        <v>20070185.003712967</v>
      </c>
      <c r="AJ990" s="350">
        <v>25183614.458045557</v>
      </c>
      <c r="AK990" s="348">
        <v>75167988.868352965</v>
      </c>
      <c r="AL990" s="369"/>
      <c r="AM990" s="350">
        <v>6055269.5213900656</v>
      </c>
      <c r="AN990" s="350">
        <v>13194878.823818775</v>
      </c>
      <c r="AO990" s="350">
        <v>20156935.345794249</v>
      </c>
      <c r="AP990" s="350">
        <v>26937409.570366543</v>
      </c>
      <c r="AQ990" s="350">
        <v>33534411.005664919</v>
      </c>
      <c r="AR990" s="348">
        <v>99878904.267034546</v>
      </c>
      <c r="AS990" s="369"/>
      <c r="AT990" s="350">
        <f t="shared" si="411"/>
        <v>1095352.1146181198</v>
      </c>
      <c r="AU990" s="350">
        <f t="shared" si="394"/>
        <v>3236092.9229618069</v>
      </c>
      <c r="AV990" s="350">
        <f t="shared" si="395"/>
        <v>5161449.2468287237</v>
      </c>
      <c r="AW990" s="350">
        <f t="shared" si="396"/>
        <v>6867224.5666535757</v>
      </c>
      <c r="AX990" s="350">
        <f t="shared" si="397"/>
        <v>8350796.5476193614</v>
      </c>
      <c r="AY990" s="350">
        <f t="shared" si="398"/>
        <v>24710915.398681581</v>
      </c>
      <c r="AZ990" s="365"/>
      <c r="BA990" s="377">
        <f t="shared" si="399"/>
        <v>0</v>
      </c>
      <c r="BB990" s="377">
        <f t="shared" si="400"/>
        <v>0</v>
      </c>
      <c r="BC990" s="377">
        <f t="shared" si="401"/>
        <v>0</v>
      </c>
      <c r="BD990" s="377">
        <f t="shared" si="402"/>
        <v>0</v>
      </c>
      <c r="BE990" s="377">
        <f t="shared" si="403"/>
        <v>0</v>
      </c>
      <c r="BF990" s="377">
        <f t="shared" si="404"/>
        <v>0</v>
      </c>
      <c r="BG990" s="328"/>
    </row>
    <row r="991" spans="2:59">
      <c r="B991" s="332">
        <v>976</v>
      </c>
      <c r="C991" s="350">
        <v>8626289.2881966121</v>
      </c>
      <c r="D991" s="350">
        <v>16260287.593171872</v>
      </c>
      <c r="E991" s="350">
        <v>23951758.169315763</v>
      </c>
      <c r="F991" s="350">
        <v>31701230.702469815</v>
      </c>
      <c r="G991" s="350">
        <v>39509942.322185576</v>
      </c>
      <c r="H991" s="348">
        <v>120049508.07533963</v>
      </c>
      <c r="I991" s="369"/>
      <c r="J991" s="350">
        <v>10043735.0890736</v>
      </c>
      <c r="K991" s="350">
        <v>20445209.541859441</v>
      </c>
      <c r="L991" s="350">
        <v>30606621.283393137</v>
      </c>
      <c r="M991" s="350">
        <v>40520729.554031439</v>
      </c>
      <c r="N991" s="350">
        <v>50183015.815946244</v>
      </c>
      <c r="O991" s="348">
        <v>151799311.28430387</v>
      </c>
      <c r="P991" s="369"/>
      <c r="Q991" s="350">
        <f t="shared" si="405"/>
        <v>1417445.8008769881</v>
      </c>
      <c r="R991" s="350">
        <f t="shared" si="406"/>
        <v>4184921.9486875683</v>
      </c>
      <c r="S991" s="350">
        <f t="shared" si="407"/>
        <v>6654863.1140773743</v>
      </c>
      <c r="T991" s="350">
        <f t="shared" si="408"/>
        <v>8819498.8515616246</v>
      </c>
      <c r="U991" s="350">
        <f t="shared" si="409"/>
        <v>10673073.493760668</v>
      </c>
      <c r="V991" s="350">
        <f t="shared" si="410"/>
        <v>31749803.208964244</v>
      </c>
      <c r="W991" s="365"/>
      <c r="X991" s="377">
        <f t="shared" si="388"/>
        <v>0</v>
      </c>
      <c r="Y991" s="377">
        <f t="shared" si="389"/>
        <v>0</v>
      </c>
      <c r="Z991" s="377">
        <f t="shared" si="390"/>
        <v>0</v>
      </c>
      <c r="AA991" s="377">
        <f t="shared" si="391"/>
        <v>0</v>
      </c>
      <c r="AB991" s="377">
        <f t="shared" si="392"/>
        <v>0</v>
      </c>
      <c r="AC991" s="377">
        <f t="shared" si="393"/>
        <v>0</v>
      </c>
      <c r="AD991" s="376"/>
      <c r="AE991" s="332">
        <v>976</v>
      </c>
      <c r="AF991" s="350">
        <v>5198234.9621041799</v>
      </c>
      <c r="AG991" s="350">
        <v>10437292.560409188</v>
      </c>
      <c r="AH991" s="350">
        <v>15715999.626719978</v>
      </c>
      <c r="AI991" s="350">
        <v>21034531.187909514</v>
      </c>
      <c r="AJ991" s="350">
        <v>26393654.251022074</v>
      </c>
      <c r="AK991" s="348">
        <v>78779712.588164926</v>
      </c>
      <c r="AL991" s="369"/>
      <c r="AM991" s="350">
        <v>6203402.5769278053</v>
      </c>
      <c r="AN991" s="350">
        <v>13405328.946209412</v>
      </c>
      <c r="AO991" s="350">
        <v>20416894.009296641</v>
      </c>
      <c r="AP991" s="350">
        <v>27233915.029516991</v>
      </c>
      <c r="AQ991" s="350">
        <v>33854266.041483901</v>
      </c>
      <c r="AR991" s="348">
        <v>101113806.60343474</v>
      </c>
      <c r="AS991" s="369"/>
      <c r="AT991" s="350">
        <f t="shared" si="411"/>
        <v>1005167.6148236254</v>
      </c>
      <c r="AU991" s="350">
        <f t="shared" si="394"/>
        <v>2968036.3858002238</v>
      </c>
      <c r="AV991" s="350">
        <f t="shared" si="395"/>
        <v>4700894.382576663</v>
      </c>
      <c r="AW991" s="350">
        <f t="shared" si="396"/>
        <v>6199383.8416074775</v>
      </c>
      <c r="AX991" s="350">
        <f t="shared" si="397"/>
        <v>7460611.7904618271</v>
      </c>
      <c r="AY991" s="350">
        <f t="shared" si="398"/>
        <v>22334094.015269816</v>
      </c>
      <c r="AZ991" s="365"/>
      <c r="BA991" s="377">
        <f t="shared" si="399"/>
        <v>0</v>
      </c>
      <c r="BB991" s="377">
        <f t="shared" si="400"/>
        <v>0</v>
      </c>
      <c r="BC991" s="377">
        <f t="shared" si="401"/>
        <v>0</v>
      </c>
      <c r="BD991" s="377">
        <f t="shared" si="402"/>
        <v>0</v>
      </c>
      <c r="BE991" s="377">
        <f t="shared" si="403"/>
        <v>0</v>
      </c>
      <c r="BF991" s="377">
        <f t="shared" si="404"/>
        <v>0</v>
      </c>
      <c r="BG991" s="328"/>
    </row>
    <row r="992" spans="2:59">
      <c r="B992" s="332">
        <v>977</v>
      </c>
      <c r="C992" s="350">
        <v>8393773.4934786242</v>
      </c>
      <c r="D992" s="350">
        <v>15890180.254554806</v>
      </c>
      <c r="E992" s="350">
        <v>23443045.571980074</v>
      </c>
      <c r="F992" s="350">
        <v>31052869.467524402</v>
      </c>
      <c r="G992" s="350">
        <v>38720858.02032277</v>
      </c>
      <c r="H992" s="348">
        <v>117500726.80786067</v>
      </c>
      <c r="I992" s="369"/>
      <c r="J992" s="350">
        <v>9394532.4685077239</v>
      </c>
      <c r="K992" s="350">
        <v>18839647.583847348</v>
      </c>
      <c r="L992" s="350">
        <v>28030486.187812779</v>
      </c>
      <c r="M992" s="350">
        <v>36960280.577348284</v>
      </c>
      <c r="N992" s="350">
        <v>45624451.070340663</v>
      </c>
      <c r="O992" s="348">
        <v>138849397.88785681</v>
      </c>
      <c r="P992" s="369"/>
      <c r="Q992" s="350">
        <f t="shared" si="405"/>
        <v>1000758.9750290997</v>
      </c>
      <c r="R992" s="350">
        <f t="shared" si="406"/>
        <v>2949467.3292925414</v>
      </c>
      <c r="S992" s="350">
        <f t="shared" si="407"/>
        <v>4587440.6158327051</v>
      </c>
      <c r="T992" s="350">
        <f t="shared" si="408"/>
        <v>5907411.1098238826</v>
      </c>
      <c r="U992" s="350">
        <f t="shared" si="409"/>
        <v>6903593.0500178933</v>
      </c>
      <c r="V992" s="350">
        <f t="shared" si="410"/>
        <v>21348671.079996139</v>
      </c>
      <c r="W992" s="365"/>
      <c r="X992" s="377">
        <f t="shared" si="388"/>
        <v>0</v>
      </c>
      <c r="Y992" s="377">
        <f t="shared" si="389"/>
        <v>0</v>
      </c>
      <c r="Z992" s="377">
        <f t="shared" si="390"/>
        <v>0</v>
      </c>
      <c r="AA992" s="377">
        <f t="shared" si="391"/>
        <v>0</v>
      </c>
      <c r="AB992" s="377">
        <f t="shared" si="392"/>
        <v>0</v>
      </c>
      <c r="AC992" s="377">
        <f t="shared" si="393"/>
        <v>0</v>
      </c>
      <c r="AD992" s="376"/>
      <c r="AE992" s="332">
        <v>977</v>
      </c>
      <c r="AF992" s="350">
        <v>7053690.3022256065</v>
      </c>
      <c r="AG992" s="350">
        <v>14162774.451628238</v>
      </c>
      <c r="AH992" s="350">
        <v>21325660.529954754</v>
      </c>
      <c r="AI992" s="350">
        <v>28542586.038081024</v>
      </c>
      <c r="AJ992" s="350">
        <v>35814591.7581551</v>
      </c>
      <c r="AK992" s="348">
        <v>106899303.08004472</v>
      </c>
      <c r="AL992" s="369"/>
      <c r="AM992" s="350">
        <v>8413637.2329890318</v>
      </c>
      <c r="AN992" s="350">
        <v>18178343.467483066</v>
      </c>
      <c r="AO992" s="350">
        <v>27684620.986046918</v>
      </c>
      <c r="AP992" s="350">
        <v>36926795.200788192</v>
      </c>
      <c r="AQ992" s="350">
        <v>45901977.249495037</v>
      </c>
      <c r="AR992" s="348">
        <v>137105374.13680223</v>
      </c>
      <c r="AS992" s="369"/>
      <c r="AT992" s="350">
        <f t="shared" si="411"/>
        <v>1359946.9307634253</v>
      </c>
      <c r="AU992" s="350">
        <f t="shared" si="394"/>
        <v>4015569.0158548281</v>
      </c>
      <c r="AV992" s="350">
        <f t="shared" si="395"/>
        <v>6358960.4560921639</v>
      </c>
      <c r="AW992" s="350">
        <f t="shared" si="396"/>
        <v>8384209.1627071686</v>
      </c>
      <c r="AX992" s="350">
        <f t="shared" si="397"/>
        <v>10087385.491339937</v>
      </c>
      <c r="AY992" s="350">
        <f t="shared" si="398"/>
        <v>30206071.05675751</v>
      </c>
      <c r="AZ992" s="365"/>
      <c r="BA992" s="377">
        <f t="shared" si="399"/>
        <v>0</v>
      </c>
      <c r="BB992" s="377">
        <f t="shared" si="400"/>
        <v>0</v>
      </c>
      <c r="BC992" s="377">
        <f t="shared" si="401"/>
        <v>0</v>
      </c>
      <c r="BD992" s="377">
        <f t="shared" si="402"/>
        <v>0</v>
      </c>
      <c r="BE992" s="377">
        <f t="shared" si="403"/>
        <v>0</v>
      </c>
      <c r="BF992" s="377">
        <f t="shared" si="404"/>
        <v>0</v>
      </c>
      <c r="BG992" s="328"/>
    </row>
    <row r="993" spans="2:59">
      <c r="B993" s="332">
        <v>978</v>
      </c>
      <c r="C993" s="350">
        <v>7547521.091335115</v>
      </c>
      <c r="D993" s="350">
        <v>14027468.924443062</v>
      </c>
      <c r="E993" s="350">
        <v>20556136.064092066</v>
      </c>
      <c r="F993" s="350">
        <v>27134030.951711819</v>
      </c>
      <c r="G993" s="350">
        <v>33762229.293515153</v>
      </c>
      <c r="H993" s="348">
        <v>103027386.3250972</v>
      </c>
      <c r="I993" s="369"/>
      <c r="J993" s="350">
        <v>9155840.9167819675</v>
      </c>
      <c r="K993" s="350">
        <v>18781368.991841804</v>
      </c>
      <c r="L993" s="350">
        <v>28215354.028174274</v>
      </c>
      <c r="M993" s="350">
        <v>37451641.667695031</v>
      </c>
      <c r="N993" s="350">
        <v>46486880.595869869</v>
      </c>
      <c r="O993" s="348">
        <v>140091086.20036295</v>
      </c>
      <c r="P993" s="369"/>
      <c r="Q993" s="350">
        <f t="shared" si="405"/>
        <v>1608319.8254468525</v>
      </c>
      <c r="R993" s="350">
        <f t="shared" si="406"/>
        <v>4753900.0673987418</v>
      </c>
      <c r="S993" s="350">
        <f t="shared" si="407"/>
        <v>7659217.9640822075</v>
      </c>
      <c r="T993" s="350">
        <f t="shared" si="408"/>
        <v>10317610.715983212</v>
      </c>
      <c r="U993" s="350">
        <f t="shared" si="409"/>
        <v>12724651.302354716</v>
      </c>
      <c r="V993" s="350">
        <f t="shared" si="410"/>
        <v>37063699.875265747</v>
      </c>
      <c r="W993" s="365"/>
      <c r="X993" s="377">
        <f t="shared" si="388"/>
        <v>0</v>
      </c>
      <c r="Y993" s="377">
        <f t="shared" si="389"/>
        <v>0</v>
      </c>
      <c r="Z993" s="377">
        <f t="shared" si="390"/>
        <v>0</v>
      </c>
      <c r="AA993" s="377">
        <f t="shared" si="391"/>
        <v>0</v>
      </c>
      <c r="AB993" s="377">
        <f t="shared" si="392"/>
        <v>0</v>
      </c>
      <c r="AC993" s="377">
        <f t="shared" si="393"/>
        <v>0</v>
      </c>
      <c r="AD993" s="376"/>
      <c r="AE993" s="332">
        <v>978</v>
      </c>
      <c r="AF993" s="350">
        <v>7086908.5767446831</v>
      </c>
      <c r="AG993" s="350">
        <v>14229471.869508563</v>
      </c>
      <c r="AH993" s="350">
        <v>21426090.463143222</v>
      </c>
      <c r="AI993" s="350">
        <v>28677002.976998538</v>
      </c>
      <c r="AJ993" s="350">
        <v>35983255.09462674</v>
      </c>
      <c r="AK993" s="348">
        <v>107402728.98102175</v>
      </c>
      <c r="AL993" s="369"/>
      <c r="AM993" s="350">
        <v>8407729.8415506724</v>
      </c>
      <c r="AN993" s="350">
        <v>18128922.60388954</v>
      </c>
      <c r="AO993" s="350">
        <v>27589105.978139598</v>
      </c>
      <c r="AP993" s="350">
        <v>36782591.530414604</v>
      </c>
      <c r="AQ993" s="350">
        <v>45706430.682502717</v>
      </c>
      <c r="AR993" s="348">
        <v>136614780.63649714</v>
      </c>
      <c r="AS993" s="369"/>
      <c r="AT993" s="350">
        <f t="shared" si="411"/>
        <v>1320821.2648059893</v>
      </c>
      <c r="AU993" s="350">
        <f t="shared" si="394"/>
        <v>3899450.7343809772</v>
      </c>
      <c r="AV993" s="350">
        <f t="shared" si="395"/>
        <v>6163015.5149963759</v>
      </c>
      <c r="AW993" s="350">
        <f t="shared" si="396"/>
        <v>8105588.5534160659</v>
      </c>
      <c r="AX993" s="350">
        <f t="shared" si="397"/>
        <v>9723175.5878759772</v>
      </c>
      <c r="AY993" s="350">
        <f t="shared" si="398"/>
        <v>29212051.655475393</v>
      </c>
      <c r="AZ993" s="365"/>
      <c r="BA993" s="377">
        <f t="shared" si="399"/>
        <v>0</v>
      </c>
      <c r="BB993" s="377">
        <f t="shared" si="400"/>
        <v>0</v>
      </c>
      <c r="BC993" s="377">
        <f t="shared" si="401"/>
        <v>0</v>
      </c>
      <c r="BD993" s="377">
        <f t="shared" si="402"/>
        <v>0</v>
      </c>
      <c r="BE993" s="377">
        <f t="shared" si="403"/>
        <v>0</v>
      </c>
      <c r="BF993" s="377">
        <f t="shared" si="404"/>
        <v>0</v>
      </c>
      <c r="BG993" s="328"/>
    </row>
    <row r="994" spans="2:59">
      <c r="B994" s="332">
        <v>979</v>
      </c>
      <c r="C994" s="350">
        <v>5194854.502206048</v>
      </c>
      <c r="D994" s="350">
        <v>9753072.3109515682</v>
      </c>
      <c r="E994" s="350">
        <v>14345593.806747872</v>
      </c>
      <c r="F994" s="350">
        <v>18972746.789655171</v>
      </c>
      <c r="G994" s="350">
        <v>23635274.958464265</v>
      </c>
      <c r="H994" s="348">
        <v>71901542.368024915</v>
      </c>
      <c r="I994" s="369"/>
      <c r="J994" s="350">
        <v>6155211.76823131</v>
      </c>
      <c r="K994" s="350">
        <v>12589988.649332946</v>
      </c>
      <c r="L994" s="350">
        <v>18882680.890553407</v>
      </c>
      <c r="M994" s="350">
        <v>25029036.996072855</v>
      </c>
      <c r="N994" s="350">
        <v>31026575.536970448</v>
      </c>
      <c r="O994" s="348">
        <v>93683493.841160968</v>
      </c>
      <c r="P994" s="369"/>
      <c r="Q994" s="350">
        <f t="shared" si="405"/>
        <v>960357.26602526195</v>
      </c>
      <c r="R994" s="350">
        <f t="shared" si="406"/>
        <v>2836916.338381378</v>
      </c>
      <c r="S994" s="350">
        <f t="shared" si="407"/>
        <v>4537087.083805535</v>
      </c>
      <c r="T994" s="350">
        <f t="shared" si="408"/>
        <v>6056290.2064176835</v>
      </c>
      <c r="U994" s="350">
        <f t="shared" si="409"/>
        <v>7391300.5785061829</v>
      </c>
      <c r="V994" s="350">
        <f t="shared" si="410"/>
        <v>21781951.473136052</v>
      </c>
      <c r="W994" s="365"/>
      <c r="X994" s="377">
        <f t="shared" si="388"/>
        <v>0</v>
      </c>
      <c r="Y994" s="377">
        <f t="shared" si="389"/>
        <v>0</v>
      </c>
      <c r="Z994" s="377">
        <f t="shared" si="390"/>
        <v>0</v>
      </c>
      <c r="AA994" s="377">
        <f t="shared" si="391"/>
        <v>0</v>
      </c>
      <c r="AB994" s="377">
        <f t="shared" si="392"/>
        <v>0</v>
      </c>
      <c r="AC994" s="377">
        <f t="shared" si="393"/>
        <v>0</v>
      </c>
      <c r="AD994" s="376"/>
      <c r="AE994" s="332">
        <v>979</v>
      </c>
      <c r="AF994" s="350">
        <v>5826196.4771703444</v>
      </c>
      <c r="AG994" s="350">
        <v>11698147.08068472</v>
      </c>
      <c r="AH994" s="350">
        <v>17614536.920305394</v>
      </c>
      <c r="AI994" s="350">
        <v>23575562.166647606</v>
      </c>
      <c r="AJ994" s="350">
        <v>29582082.483380258</v>
      </c>
      <c r="AK994" s="348">
        <v>88296525.128188312</v>
      </c>
      <c r="AL994" s="369"/>
      <c r="AM994" s="350">
        <v>7016367.8068694295</v>
      </c>
      <c r="AN994" s="350">
        <v>15213280.253776761</v>
      </c>
      <c r="AO994" s="350">
        <v>23198739.34899547</v>
      </c>
      <c r="AP994" s="350">
        <v>30968039.087583285</v>
      </c>
      <c r="AQ994" s="350">
        <v>38518861.06972</v>
      </c>
      <c r="AR994" s="348">
        <v>114915287.56694494</v>
      </c>
      <c r="AS994" s="369"/>
      <c r="AT994" s="350">
        <f t="shared" si="411"/>
        <v>1190171.3296990851</v>
      </c>
      <c r="AU994" s="350">
        <f t="shared" si="394"/>
        <v>3515133.1730920412</v>
      </c>
      <c r="AV994" s="350">
        <f t="shared" si="395"/>
        <v>5584202.4286900759</v>
      </c>
      <c r="AW994" s="350">
        <f t="shared" si="396"/>
        <v>7392476.9209356792</v>
      </c>
      <c r="AX994" s="350">
        <f t="shared" si="397"/>
        <v>8936778.5863397419</v>
      </c>
      <c r="AY994" s="350">
        <f t="shared" si="398"/>
        <v>26618762.43875663</v>
      </c>
      <c r="AZ994" s="365"/>
      <c r="BA994" s="377">
        <f t="shared" si="399"/>
        <v>0</v>
      </c>
      <c r="BB994" s="377">
        <f t="shared" si="400"/>
        <v>0</v>
      </c>
      <c r="BC994" s="377">
        <f t="shared" si="401"/>
        <v>0</v>
      </c>
      <c r="BD994" s="377">
        <f t="shared" si="402"/>
        <v>0</v>
      </c>
      <c r="BE994" s="377">
        <f t="shared" si="403"/>
        <v>0</v>
      </c>
      <c r="BF994" s="377">
        <f t="shared" si="404"/>
        <v>0</v>
      </c>
      <c r="BG994" s="328"/>
    </row>
    <row r="995" spans="2:59">
      <c r="B995" s="332">
        <v>980</v>
      </c>
      <c r="C995" s="350">
        <v>8684297.617164975</v>
      </c>
      <c r="D995" s="350">
        <v>16367870.997601151</v>
      </c>
      <c r="E995" s="350">
        <v>24109289.30166002</v>
      </c>
      <c r="F995" s="350">
        <v>31909086.174426485</v>
      </c>
      <c r="G995" s="350">
        <v>39768507.005374521</v>
      </c>
      <c r="H995" s="348">
        <v>120839051.09622715</v>
      </c>
      <c r="I995" s="369"/>
      <c r="J995" s="350">
        <v>10316689.342637865</v>
      </c>
      <c r="K995" s="350">
        <v>21190133.66786639</v>
      </c>
      <c r="L995" s="350">
        <v>31826046.320277557</v>
      </c>
      <c r="M995" s="350">
        <v>42217161.120475635</v>
      </c>
      <c r="N995" s="350">
        <v>52359221.208857775</v>
      </c>
      <c r="O995" s="348">
        <v>157909251.66011521</v>
      </c>
      <c r="P995" s="369"/>
      <c r="Q995" s="350">
        <f t="shared" si="405"/>
        <v>1632391.7254728898</v>
      </c>
      <c r="R995" s="350">
        <f t="shared" si="406"/>
        <v>4822262.6702652387</v>
      </c>
      <c r="S995" s="350">
        <f t="shared" si="407"/>
        <v>7716757.0186175369</v>
      </c>
      <c r="T995" s="350">
        <f t="shared" si="408"/>
        <v>10308074.94604915</v>
      </c>
      <c r="U995" s="350">
        <f t="shared" si="409"/>
        <v>12590714.203483254</v>
      </c>
      <c r="V995" s="350">
        <f t="shared" si="410"/>
        <v>37070200.563888058</v>
      </c>
      <c r="W995" s="365"/>
      <c r="X995" s="377">
        <f t="shared" si="388"/>
        <v>0</v>
      </c>
      <c r="Y995" s="377">
        <f t="shared" si="389"/>
        <v>0</v>
      </c>
      <c r="Z995" s="377">
        <f t="shared" si="390"/>
        <v>0</v>
      </c>
      <c r="AA995" s="377">
        <f t="shared" si="391"/>
        <v>0</v>
      </c>
      <c r="AB995" s="377">
        <f t="shared" si="392"/>
        <v>0</v>
      </c>
      <c r="AC995" s="377">
        <f t="shared" si="393"/>
        <v>0</v>
      </c>
      <c r="AD995" s="376"/>
      <c r="AE995" s="332">
        <v>980</v>
      </c>
      <c r="AF995" s="350">
        <v>6510072.1907218266</v>
      </c>
      <c r="AG995" s="350">
        <v>13071269.101780532</v>
      </c>
      <c r="AH995" s="350">
        <v>19682121.501851007</v>
      </c>
      <c r="AI995" s="350">
        <v>26342848.587946586</v>
      </c>
      <c r="AJ995" s="350">
        <v>33054410.93058119</v>
      </c>
      <c r="AK995" s="348">
        <v>98660722.312881142</v>
      </c>
      <c r="AL995" s="369"/>
      <c r="AM995" s="350">
        <v>7667846.4420694783</v>
      </c>
      <c r="AN995" s="350">
        <v>16488612.364758054</v>
      </c>
      <c r="AO995" s="350">
        <v>25067950.247301526</v>
      </c>
      <c r="AP995" s="350">
        <v>33400650.372410074</v>
      </c>
      <c r="AQ995" s="350">
        <v>41483947.912110217</v>
      </c>
      <c r="AR995" s="348">
        <v>124109007.33864933</v>
      </c>
      <c r="AS995" s="369"/>
      <c r="AT995" s="350">
        <f t="shared" si="411"/>
        <v>1157774.2513476517</v>
      </c>
      <c r="AU995" s="350">
        <f t="shared" si="394"/>
        <v>3417343.2629775219</v>
      </c>
      <c r="AV995" s="350">
        <f t="shared" si="395"/>
        <v>5385828.745450519</v>
      </c>
      <c r="AW995" s="350">
        <f t="shared" si="396"/>
        <v>7057801.7844634876</v>
      </c>
      <c r="AX995" s="350">
        <f t="shared" si="397"/>
        <v>8429536.9815290272</v>
      </c>
      <c r="AY995" s="350">
        <f t="shared" si="398"/>
        <v>25448285.025768191</v>
      </c>
      <c r="AZ995" s="365"/>
      <c r="BA995" s="377">
        <f t="shared" si="399"/>
        <v>0</v>
      </c>
      <c r="BB995" s="377">
        <f t="shared" si="400"/>
        <v>0</v>
      </c>
      <c r="BC995" s="377">
        <f t="shared" si="401"/>
        <v>0</v>
      </c>
      <c r="BD995" s="377">
        <f t="shared" si="402"/>
        <v>0</v>
      </c>
      <c r="BE995" s="377">
        <f t="shared" si="403"/>
        <v>0</v>
      </c>
      <c r="BF995" s="377">
        <f t="shared" si="404"/>
        <v>0</v>
      </c>
      <c r="BG995" s="328"/>
    </row>
    <row r="996" spans="2:59">
      <c r="B996" s="332">
        <v>981</v>
      </c>
      <c r="C996" s="350">
        <v>8195634.5390169695</v>
      </c>
      <c r="D996" s="350">
        <v>15446160.295537446</v>
      </c>
      <c r="E996" s="350">
        <v>22751270.599299073</v>
      </c>
      <c r="F996" s="350">
        <v>30111469.224180155</v>
      </c>
      <c r="G996" s="350">
        <v>37527931.458523884</v>
      </c>
      <c r="H996" s="348">
        <v>114032466.11655752</v>
      </c>
      <c r="I996" s="369"/>
      <c r="J996" s="350">
        <v>9459821.589581484</v>
      </c>
      <c r="K996" s="350">
        <v>19177477.945793699</v>
      </c>
      <c r="L996" s="350">
        <v>28666191.854923144</v>
      </c>
      <c r="M996" s="350">
        <v>37919023.962884098</v>
      </c>
      <c r="N996" s="350">
        <v>46931510.89935223</v>
      </c>
      <c r="O996" s="348">
        <v>142154026.25253466</v>
      </c>
      <c r="P996" s="369"/>
      <c r="Q996" s="350">
        <f t="shared" si="405"/>
        <v>1264187.0505645145</v>
      </c>
      <c r="R996" s="350">
        <f t="shared" si="406"/>
        <v>3731317.6502562538</v>
      </c>
      <c r="S996" s="350">
        <f t="shared" si="407"/>
        <v>5914921.2556240708</v>
      </c>
      <c r="T996" s="350">
        <f t="shared" si="408"/>
        <v>7807554.7387039438</v>
      </c>
      <c r="U996" s="350">
        <f t="shared" si="409"/>
        <v>9403579.4408283457</v>
      </c>
      <c r="V996" s="350">
        <f t="shared" si="410"/>
        <v>28121560.135977134</v>
      </c>
      <c r="W996" s="365"/>
      <c r="X996" s="377">
        <f t="shared" si="388"/>
        <v>0</v>
      </c>
      <c r="Y996" s="377">
        <f t="shared" si="389"/>
        <v>0</v>
      </c>
      <c r="Z996" s="377">
        <f t="shared" si="390"/>
        <v>0</v>
      </c>
      <c r="AA996" s="377">
        <f t="shared" si="391"/>
        <v>0</v>
      </c>
      <c r="AB996" s="377">
        <f t="shared" si="392"/>
        <v>0</v>
      </c>
      <c r="AC996" s="377">
        <f t="shared" si="393"/>
        <v>0</v>
      </c>
      <c r="AD996" s="376"/>
      <c r="AE996" s="332">
        <v>981</v>
      </c>
      <c r="AF996" s="350">
        <v>4722020.9974099733</v>
      </c>
      <c r="AG996" s="350">
        <v>9481124.8405772522</v>
      </c>
      <c r="AH996" s="350">
        <v>14276245.836071104</v>
      </c>
      <c r="AI996" s="350">
        <v>19107542.976429436</v>
      </c>
      <c r="AJ996" s="350">
        <v>23975713.002641186</v>
      </c>
      <c r="AK996" s="348">
        <v>71562647.653128952</v>
      </c>
      <c r="AL996" s="369"/>
      <c r="AM996" s="350">
        <v>5618527.171828391</v>
      </c>
      <c r="AN996" s="350">
        <v>12128093.838008102</v>
      </c>
      <c r="AO996" s="350">
        <v>18464241.835090045</v>
      </c>
      <c r="AP996" s="350">
        <v>24623176.298536278</v>
      </c>
      <c r="AQ996" s="350">
        <v>30602949.235199582</v>
      </c>
      <c r="AR996" s="348">
        <v>91436988.378662392</v>
      </c>
      <c r="AS996" s="369"/>
      <c r="AT996" s="350">
        <f t="shared" si="411"/>
        <v>896506.17441841774</v>
      </c>
      <c r="AU996" s="350">
        <f t="shared" si="394"/>
        <v>2646968.9974308498</v>
      </c>
      <c r="AV996" s="350">
        <f t="shared" si="395"/>
        <v>4187995.9990189411</v>
      </c>
      <c r="AW996" s="350">
        <f t="shared" si="396"/>
        <v>5515633.322106842</v>
      </c>
      <c r="AX996" s="350">
        <f t="shared" si="397"/>
        <v>6627236.2325583957</v>
      </c>
      <c r="AY996" s="350">
        <f t="shared" si="398"/>
        <v>19874340.725533441</v>
      </c>
      <c r="AZ996" s="365"/>
      <c r="BA996" s="377">
        <f t="shared" si="399"/>
        <v>0</v>
      </c>
      <c r="BB996" s="377">
        <f t="shared" si="400"/>
        <v>0</v>
      </c>
      <c r="BC996" s="377">
        <f t="shared" si="401"/>
        <v>0</v>
      </c>
      <c r="BD996" s="377">
        <f t="shared" si="402"/>
        <v>0</v>
      </c>
      <c r="BE996" s="377">
        <f t="shared" si="403"/>
        <v>0</v>
      </c>
      <c r="BF996" s="377">
        <f t="shared" si="404"/>
        <v>0</v>
      </c>
      <c r="BG996" s="328"/>
    </row>
    <row r="997" spans="2:59">
      <c r="B997" s="332">
        <v>982</v>
      </c>
      <c r="C997" s="350">
        <v>7419619.7662368231</v>
      </c>
      <c r="D997" s="350">
        <v>13971862.114660744</v>
      </c>
      <c r="E997" s="350">
        <v>20573428.264423709</v>
      </c>
      <c r="F997" s="350">
        <v>27224776.942402236</v>
      </c>
      <c r="G997" s="350">
        <v>33926971.757286943</v>
      </c>
      <c r="H997" s="348">
        <v>103116658.84501046</v>
      </c>
      <c r="I997" s="369"/>
      <c r="J997" s="350">
        <v>8499592.9893099647</v>
      </c>
      <c r="K997" s="350">
        <v>17158613.853379004</v>
      </c>
      <c r="L997" s="350">
        <v>25607196.830387026</v>
      </c>
      <c r="M997" s="350">
        <v>33839190.351615563</v>
      </c>
      <c r="N997" s="350">
        <v>41850600.612476021</v>
      </c>
      <c r="O997" s="348">
        <v>126955194.63716757</v>
      </c>
      <c r="P997" s="369"/>
      <c r="Q997" s="350">
        <f t="shared" si="405"/>
        <v>1079973.2230731416</v>
      </c>
      <c r="R997" s="350">
        <f t="shared" si="406"/>
        <v>3186751.7387182601</v>
      </c>
      <c r="S997" s="350">
        <f t="shared" si="407"/>
        <v>5033768.5659633167</v>
      </c>
      <c r="T997" s="350">
        <f t="shared" si="408"/>
        <v>6614413.4092133269</v>
      </c>
      <c r="U997" s="350">
        <f t="shared" si="409"/>
        <v>7923628.8551890776</v>
      </c>
      <c r="V997" s="350">
        <f t="shared" si="410"/>
        <v>23838535.792157114</v>
      </c>
      <c r="W997" s="365"/>
      <c r="X997" s="377">
        <f t="shared" si="388"/>
        <v>0</v>
      </c>
      <c r="Y997" s="377">
        <f t="shared" si="389"/>
        <v>0</v>
      </c>
      <c r="Z997" s="377">
        <f t="shared" si="390"/>
        <v>0</v>
      </c>
      <c r="AA997" s="377">
        <f t="shared" si="391"/>
        <v>0</v>
      </c>
      <c r="AB997" s="377">
        <f t="shared" si="392"/>
        <v>0</v>
      </c>
      <c r="AC997" s="377">
        <f t="shared" si="393"/>
        <v>0</v>
      </c>
      <c r="AD997" s="376"/>
      <c r="AE997" s="332">
        <v>982</v>
      </c>
      <c r="AF997" s="350">
        <v>8822402.971307572</v>
      </c>
      <c r="AG997" s="350">
        <v>17714089.795603774</v>
      </c>
      <c r="AH997" s="350">
        <v>26673069.381172813</v>
      </c>
      <c r="AI997" s="350">
        <v>35699638.782229312</v>
      </c>
      <c r="AJ997" s="350">
        <v>44795099.757019237</v>
      </c>
      <c r="AK997" s="348">
        <v>133704300.6873327</v>
      </c>
      <c r="AL997" s="369"/>
      <c r="AM997" s="350">
        <v>9930035.2162552439</v>
      </c>
      <c r="AN997" s="350">
        <v>20976945.765091676</v>
      </c>
      <c r="AO997" s="350">
        <v>31682856.442445435</v>
      </c>
      <c r="AP997" s="350">
        <v>42040837.570935123</v>
      </c>
      <c r="AQ997" s="350">
        <v>52046675.010792203</v>
      </c>
      <c r="AR997" s="348">
        <v>156677350.00551969</v>
      </c>
      <c r="AS997" s="369"/>
      <c r="AT997" s="350">
        <f t="shared" si="411"/>
        <v>1107632.2449476719</v>
      </c>
      <c r="AU997" s="350">
        <f t="shared" si="394"/>
        <v>3262855.9694879018</v>
      </c>
      <c r="AV997" s="350">
        <f t="shared" si="395"/>
        <v>5009787.0612726212</v>
      </c>
      <c r="AW997" s="350">
        <f t="shared" si="396"/>
        <v>6341198.7887058109</v>
      </c>
      <c r="AX997" s="350">
        <f t="shared" si="397"/>
        <v>7251575.2537729666</v>
      </c>
      <c r="AY997" s="350">
        <f t="shared" si="398"/>
        <v>22973049.318186983</v>
      </c>
      <c r="AZ997" s="365"/>
      <c r="BA997" s="377">
        <f t="shared" si="399"/>
        <v>0</v>
      </c>
      <c r="BB997" s="377">
        <f t="shared" si="400"/>
        <v>0</v>
      </c>
      <c r="BC997" s="377">
        <f t="shared" si="401"/>
        <v>0</v>
      </c>
      <c r="BD997" s="377">
        <f t="shared" si="402"/>
        <v>0</v>
      </c>
      <c r="BE997" s="377">
        <f t="shared" si="403"/>
        <v>0</v>
      </c>
      <c r="BF997" s="377">
        <f t="shared" si="404"/>
        <v>0</v>
      </c>
      <c r="BG997" s="328"/>
    </row>
    <row r="998" spans="2:59">
      <c r="B998" s="332">
        <v>983</v>
      </c>
      <c r="C998" s="350">
        <v>8045914.8955346197</v>
      </c>
      <c r="D998" s="350">
        <v>15093259.328248989</v>
      </c>
      <c r="E998" s="350">
        <v>22193635.713372387</v>
      </c>
      <c r="F998" s="350">
        <v>29347554.583846785</v>
      </c>
      <c r="G998" s="350">
        <v>36556167.376177058</v>
      </c>
      <c r="H998" s="348">
        <v>111236531.89717983</v>
      </c>
      <c r="I998" s="369"/>
      <c r="J998" s="350">
        <v>9106152.966227334</v>
      </c>
      <c r="K998" s="350">
        <v>18220238.437011998</v>
      </c>
      <c r="L998" s="350">
        <v>27104233.437732771</v>
      </c>
      <c r="M998" s="350">
        <v>35751572.929159805</v>
      </c>
      <c r="N998" s="350">
        <v>44157872.405168429</v>
      </c>
      <c r="O998" s="348">
        <v>134340070.17530036</v>
      </c>
      <c r="P998" s="369"/>
      <c r="Q998" s="350">
        <f t="shared" si="405"/>
        <v>1060238.0706927143</v>
      </c>
      <c r="R998" s="350">
        <f t="shared" si="406"/>
        <v>3126979.1087630093</v>
      </c>
      <c r="S998" s="350">
        <f t="shared" si="407"/>
        <v>4910597.724360384</v>
      </c>
      <c r="T998" s="350">
        <f t="shared" si="408"/>
        <v>6404018.3453130201</v>
      </c>
      <c r="U998" s="350">
        <f t="shared" si="409"/>
        <v>7601705.0289913714</v>
      </c>
      <c r="V998" s="350">
        <f t="shared" si="410"/>
        <v>23103538.278120533</v>
      </c>
      <c r="W998" s="365"/>
      <c r="X998" s="377">
        <f t="shared" si="388"/>
        <v>0</v>
      </c>
      <c r="Y998" s="377">
        <f t="shared" si="389"/>
        <v>0</v>
      </c>
      <c r="Z998" s="377">
        <f t="shared" si="390"/>
        <v>0</v>
      </c>
      <c r="AA998" s="377">
        <f t="shared" si="391"/>
        <v>0</v>
      </c>
      <c r="AB998" s="377">
        <f t="shared" si="392"/>
        <v>0</v>
      </c>
      <c r="AC998" s="377">
        <f t="shared" si="393"/>
        <v>0</v>
      </c>
      <c r="AD998" s="376"/>
      <c r="AE998" s="332">
        <v>983</v>
      </c>
      <c r="AF998" s="350">
        <v>4922860.6334986016</v>
      </c>
      <c r="AG998" s="350">
        <v>9884381.341074992</v>
      </c>
      <c r="AH998" s="350">
        <v>14883451.102629852</v>
      </c>
      <c r="AI998" s="350">
        <v>19920235.673060566</v>
      </c>
      <c r="AJ998" s="350">
        <v>24995461.427533209</v>
      </c>
      <c r="AK998" s="348">
        <v>74606390.177797228</v>
      </c>
      <c r="AL998" s="369"/>
      <c r="AM998" s="350">
        <v>5971340.4184416793</v>
      </c>
      <c r="AN998" s="350">
        <v>12981557.340441506</v>
      </c>
      <c r="AO998" s="350">
        <v>19814389.284615941</v>
      </c>
      <c r="AP998" s="350">
        <v>26465847.782130167</v>
      </c>
      <c r="AQ998" s="350">
        <v>32934017.282881886</v>
      </c>
      <c r="AR998" s="348">
        <v>98167152.10851118</v>
      </c>
      <c r="AS998" s="369"/>
      <c r="AT998" s="350">
        <f t="shared" si="411"/>
        <v>1048479.7849430777</v>
      </c>
      <c r="AU998" s="350">
        <f t="shared" si="394"/>
        <v>3097175.9993665144</v>
      </c>
      <c r="AV998" s="350">
        <f t="shared" si="395"/>
        <v>4930938.1819860898</v>
      </c>
      <c r="AW998" s="350">
        <f t="shared" si="396"/>
        <v>6545612.1090696007</v>
      </c>
      <c r="AX998" s="350">
        <f t="shared" si="397"/>
        <v>7938555.8553486764</v>
      </c>
      <c r="AY998" s="350">
        <f t="shared" si="398"/>
        <v>23560761.930713952</v>
      </c>
      <c r="AZ998" s="365"/>
      <c r="BA998" s="377">
        <f t="shared" si="399"/>
        <v>0</v>
      </c>
      <c r="BB998" s="377">
        <f t="shared" si="400"/>
        <v>0</v>
      </c>
      <c r="BC998" s="377">
        <f t="shared" si="401"/>
        <v>0</v>
      </c>
      <c r="BD998" s="377">
        <f t="shared" si="402"/>
        <v>0</v>
      </c>
      <c r="BE998" s="377">
        <f t="shared" si="403"/>
        <v>0</v>
      </c>
      <c r="BF998" s="377">
        <f t="shared" si="404"/>
        <v>0</v>
      </c>
      <c r="BG998" s="328"/>
    </row>
    <row r="999" spans="2:59">
      <c r="B999" s="332">
        <v>984</v>
      </c>
      <c r="C999" s="350">
        <v>6992246.7295146752</v>
      </c>
      <c r="D999" s="350">
        <v>13120909.966214167</v>
      </c>
      <c r="E999" s="350">
        <v>19295693.373535845</v>
      </c>
      <c r="F999" s="350">
        <v>25517039.67482692</v>
      </c>
      <c r="G999" s="350">
        <v>31785949.660020865</v>
      </c>
      <c r="H999" s="348">
        <v>96711839.404112473</v>
      </c>
      <c r="I999" s="369"/>
      <c r="J999" s="350">
        <v>7903172.4910703246</v>
      </c>
      <c r="K999" s="350">
        <v>15807350.595472304</v>
      </c>
      <c r="L999" s="350">
        <v>23509067.801076345</v>
      </c>
      <c r="M999" s="350">
        <v>31002709.401344229</v>
      </c>
      <c r="N999" s="350">
        <v>38284546.646533608</v>
      </c>
      <c r="O999" s="348">
        <v>116506846.93549681</v>
      </c>
      <c r="P999" s="369"/>
      <c r="Q999" s="350">
        <f t="shared" si="405"/>
        <v>910925.76155564934</v>
      </c>
      <c r="R999" s="350">
        <f t="shared" si="406"/>
        <v>2686440.6292581372</v>
      </c>
      <c r="S999" s="350">
        <f t="shared" si="407"/>
        <v>4213374.4275404997</v>
      </c>
      <c r="T999" s="350">
        <f t="shared" si="408"/>
        <v>5485669.7265173085</v>
      </c>
      <c r="U999" s="350">
        <f t="shared" si="409"/>
        <v>6498596.9865127429</v>
      </c>
      <c r="V999" s="350">
        <f t="shared" si="410"/>
        <v>19795007.531384334</v>
      </c>
      <c r="W999" s="365"/>
      <c r="X999" s="377">
        <f t="shared" si="388"/>
        <v>0</v>
      </c>
      <c r="Y999" s="377">
        <f t="shared" si="389"/>
        <v>0</v>
      </c>
      <c r="Z999" s="377">
        <f t="shared" si="390"/>
        <v>0</v>
      </c>
      <c r="AA999" s="377">
        <f t="shared" si="391"/>
        <v>0</v>
      </c>
      <c r="AB999" s="377">
        <f t="shared" si="392"/>
        <v>0</v>
      </c>
      <c r="AC999" s="377">
        <f t="shared" si="393"/>
        <v>0</v>
      </c>
      <c r="AD999" s="376"/>
      <c r="AE999" s="332">
        <v>984</v>
      </c>
      <c r="AF999" s="350">
        <v>8736243.2153883968</v>
      </c>
      <c r="AG999" s="350">
        <v>17541093.656333867</v>
      </c>
      <c r="AH999" s="350">
        <v>26412579.676160339</v>
      </c>
      <c r="AI999" s="350">
        <v>35350995.428045303</v>
      </c>
      <c r="AJ999" s="350">
        <v>44357629.957238838</v>
      </c>
      <c r="AK999" s="348">
        <v>132398541.93316674</v>
      </c>
      <c r="AL999" s="369"/>
      <c r="AM999" s="350">
        <v>9923791.2929005325</v>
      </c>
      <c r="AN999" s="350">
        <v>21041171.916924648</v>
      </c>
      <c r="AO999" s="350">
        <v>31823600.362397518</v>
      </c>
      <c r="AP999" s="350">
        <v>42264188.964644149</v>
      </c>
      <c r="AQ999" s="350">
        <v>52358856.63051372</v>
      </c>
      <c r="AR999" s="348">
        <v>157411609.16738057</v>
      </c>
      <c r="AS999" s="369"/>
      <c r="AT999" s="350">
        <f t="shared" si="411"/>
        <v>1187548.0775121357</v>
      </c>
      <c r="AU999" s="350">
        <f t="shared" si="394"/>
        <v>3500078.2605907805</v>
      </c>
      <c r="AV999" s="350">
        <f t="shared" si="395"/>
        <v>5411020.6862371787</v>
      </c>
      <c r="AW999" s="350">
        <f t="shared" si="396"/>
        <v>6913193.5365988463</v>
      </c>
      <c r="AX999" s="350">
        <f t="shared" si="397"/>
        <v>8001226.6732748821</v>
      </c>
      <c r="AY999" s="350">
        <f t="shared" si="398"/>
        <v>25013067.234213829</v>
      </c>
      <c r="AZ999" s="365"/>
      <c r="BA999" s="377">
        <f t="shared" si="399"/>
        <v>0</v>
      </c>
      <c r="BB999" s="377">
        <f t="shared" si="400"/>
        <v>0</v>
      </c>
      <c r="BC999" s="377">
        <f t="shared" si="401"/>
        <v>0</v>
      </c>
      <c r="BD999" s="377">
        <f t="shared" si="402"/>
        <v>0</v>
      </c>
      <c r="BE999" s="377">
        <f t="shared" si="403"/>
        <v>0</v>
      </c>
      <c r="BF999" s="377">
        <f t="shared" si="404"/>
        <v>0</v>
      </c>
      <c r="BG999" s="328"/>
    </row>
    <row r="1000" spans="2:59">
      <c r="B1000" s="332">
        <v>985</v>
      </c>
      <c r="C1000" s="350">
        <v>7931393.2509375922</v>
      </c>
      <c r="D1000" s="350">
        <v>14900750.343272867</v>
      </c>
      <c r="E1000" s="350">
        <v>21922559.848707907</v>
      </c>
      <c r="F1000" s="350">
        <v>28997319.995941408</v>
      </c>
      <c r="G1000" s="350">
        <v>36126166.584052891</v>
      </c>
      <c r="H1000" s="348">
        <v>109878190.02291267</v>
      </c>
      <c r="I1000" s="369"/>
      <c r="J1000" s="350">
        <v>9096488.0771553107</v>
      </c>
      <c r="K1000" s="350">
        <v>18338921.772064518</v>
      </c>
      <c r="L1000" s="350">
        <v>27354044.072387785</v>
      </c>
      <c r="M1000" s="350">
        <v>36135476.136810847</v>
      </c>
      <c r="N1000" s="350">
        <v>44679155.790310085</v>
      </c>
      <c r="O1000" s="348">
        <v>135604085.84872854</v>
      </c>
      <c r="P1000" s="369"/>
      <c r="Q1000" s="350">
        <f t="shared" si="405"/>
        <v>1165094.8262177184</v>
      </c>
      <c r="R1000" s="350">
        <f t="shared" si="406"/>
        <v>3438171.4287916515</v>
      </c>
      <c r="S1000" s="350">
        <f t="shared" si="407"/>
        <v>5431484.2236798778</v>
      </c>
      <c r="T1000" s="350">
        <f t="shared" si="408"/>
        <v>7138156.1408694386</v>
      </c>
      <c r="U1000" s="350">
        <f t="shared" si="409"/>
        <v>8552989.2062571943</v>
      </c>
      <c r="V1000" s="350">
        <f t="shared" si="410"/>
        <v>25725895.825815871</v>
      </c>
      <c r="W1000" s="365"/>
      <c r="X1000" s="377">
        <f t="shared" si="388"/>
        <v>0</v>
      </c>
      <c r="Y1000" s="377">
        <f t="shared" si="389"/>
        <v>0</v>
      </c>
      <c r="Z1000" s="377">
        <f t="shared" si="390"/>
        <v>0</v>
      </c>
      <c r="AA1000" s="377">
        <f t="shared" si="391"/>
        <v>0</v>
      </c>
      <c r="AB1000" s="377">
        <f t="shared" si="392"/>
        <v>0</v>
      </c>
      <c r="AC1000" s="377">
        <f t="shared" si="393"/>
        <v>0</v>
      </c>
      <c r="AD1000" s="376"/>
      <c r="AE1000" s="332">
        <v>985</v>
      </c>
      <c r="AF1000" s="350">
        <v>5281840.5012200288</v>
      </c>
      <c r="AG1000" s="350">
        <v>10605160.207367113</v>
      </c>
      <c r="AH1000" s="350">
        <v>15968767.08165713</v>
      </c>
      <c r="AI1000" s="350">
        <v>21372838.965998568</v>
      </c>
      <c r="AJ1000" s="350">
        <v>26818155.203553233</v>
      </c>
      <c r="AK1000" s="348">
        <v>80046761.959796071</v>
      </c>
      <c r="AL1000" s="369"/>
      <c r="AM1000" s="350">
        <v>6375982.0358497445</v>
      </c>
      <c r="AN1000" s="350">
        <v>13836858.097839897</v>
      </c>
      <c r="AO1000" s="350">
        <v>21106491.790933281</v>
      </c>
      <c r="AP1000" s="350">
        <v>28180612.51300982</v>
      </c>
      <c r="AQ1000" s="350">
        <v>35057133.842616722</v>
      </c>
      <c r="AR1000" s="348">
        <v>104557078.28024946</v>
      </c>
      <c r="AS1000" s="369"/>
      <c r="AT1000" s="350">
        <f t="shared" si="411"/>
        <v>1094141.5346297156</v>
      </c>
      <c r="AU1000" s="350">
        <f t="shared" si="394"/>
        <v>3231697.8904727846</v>
      </c>
      <c r="AV1000" s="350">
        <f t="shared" si="395"/>
        <v>5137724.7092761509</v>
      </c>
      <c r="AW1000" s="350">
        <f t="shared" si="396"/>
        <v>6807773.5470112525</v>
      </c>
      <c r="AX1000" s="350">
        <f t="shared" si="397"/>
        <v>8238978.6390634887</v>
      </c>
      <c r="AY1000" s="350">
        <f t="shared" si="398"/>
        <v>24510316.32045339</v>
      </c>
      <c r="AZ1000" s="365"/>
      <c r="BA1000" s="377">
        <f t="shared" si="399"/>
        <v>0</v>
      </c>
      <c r="BB1000" s="377">
        <f t="shared" si="400"/>
        <v>0</v>
      </c>
      <c r="BC1000" s="377">
        <f t="shared" si="401"/>
        <v>0</v>
      </c>
      <c r="BD1000" s="377">
        <f t="shared" si="402"/>
        <v>0</v>
      </c>
      <c r="BE1000" s="377">
        <f t="shared" si="403"/>
        <v>0</v>
      </c>
      <c r="BF1000" s="377">
        <f t="shared" si="404"/>
        <v>0</v>
      </c>
      <c r="BG1000" s="328"/>
    </row>
    <row r="1001" spans="2:59">
      <c r="B1001" s="332">
        <v>986</v>
      </c>
      <c r="C1001" s="350">
        <v>8831212.3973784763</v>
      </c>
      <c r="D1001" s="350">
        <v>16722198.425734296</v>
      </c>
      <c r="E1001" s="350">
        <v>24672616.00786382</v>
      </c>
      <c r="F1001" s="350">
        <v>32682990.342408001</v>
      </c>
      <c r="G1001" s="350">
        <v>40754590.494470738</v>
      </c>
      <c r="H1001" s="348">
        <v>123663607.66785532</v>
      </c>
      <c r="I1001" s="369"/>
      <c r="J1001" s="350">
        <v>9849980.2427970506</v>
      </c>
      <c r="K1001" s="350">
        <v>19724111.037326619</v>
      </c>
      <c r="L1001" s="350">
        <v>29328544.408292785</v>
      </c>
      <c r="M1001" s="350">
        <v>38656213.459450483</v>
      </c>
      <c r="N1001" s="350">
        <v>47702311.907790199</v>
      </c>
      <c r="O1001" s="348">
        <v>145261161.05565715</v>
      </c>
      <c r="P1001" s="369"/>
      <c r="Q1001" s="350">
        <f t="shared" si="405"/>
        <v>1018767.8454185743</v>
      </c>
      <c r="R1001" s="350">
        <f t="shared" si="406"/>
        <v>3001912.6115923226</v>
      </c>
      <c r="S1001" s="350">
        <f t="shared" si="407"/>
        <v>4655928.4004289657</v>
      </c>
      <c r="T1001" s="350">
        <f t="shared" si="408"/>
        <v>5973223.1170424819</v>
      </c>
      <c r="U1001" s="350">
        <f t="shared" si="409"/>
        <v>6947721.413319461</v>
      </c>
      <c r="V1001" s="350">
        <f t="shared" si="410"/>
        <v>21597553.387801826</v>
      </c>
      <c r="W1001" s="365"/>
      <c r="X1001" s="377">
        <f t="shared" si="388"/>
        <v>0</v>
      </c>
      <c r="Y1001" s="377">
        <f t="shared" si="389"/>
        <v>0</v>
      </c>
      <c r="Z1001" s="377">
        <f t="shared" si="390"/>
        <v>0</v>
      </c>
      <c r="AA1001" s="377">
        <f t="shared" si="391"/>
        <v>0</v>
      </c>
      <c r="AB1001" s="377">
        <f t="shared" si="392"/>
        <v>0</v>
      </c>
      <c r="AC1001" s="377">
        <f t="shared" si="393"/>
        <v>0</v>
      </c>
      <c r="AD1001" s="376"/>
      <c r="AE1001" s="332">
        <v>986</v>
      </c>
      <c r="AF1001" s="350">
        <v>5015399.8643092746</v>
      </c>
      <c r="AG1001" s="350">
        <v>10070186.529245105</v>
      </c>
      <c r="AH1001" s="350">
        <v>15163228.089911086</v>
      </c>
      <c r="AI1001" s="350">
        <v>20294693.417041484</v>
      </c>
      <c r="AJ1001" s="350">
        <v>25465322.540098958</v>
      </c>
      <c r="AK1001" s="348">
        <v>76008830.440605909</v>
      </c>
      <c r="AL1001" s="369"/>
      <c r="AM1001" s="350">
        <v>6247535.5622649062</v>
      </c>
      <c r="AN1001" s="350">
        <v>13711800.687077273</v>
      </c>
      <c r="AO1001" s="350">
        <v>21000256.633161027</v>
      </c>
      <c r="AP1001" s="350">
        <v>28108793.586794667</v>
      </c>
      <c r="AQ1001" s="350">
        <v>35035626.02925165</v>
      </c>
      <c r="AR1001" s="348">
        <v>104104012.49854954</v>
      </c>
      <c r="AS1001" s="369"/>
      <c r="AT1001" s="350">
        <f t="shared" si="411"/>
        <v>1232135.6979556317</v>
      </c>
      <c r="AU1001" s="350">
        <f t="shared" si="394"/>
        <v>3641614.157832168</v>
      </c>
      <c r="AV1001" s="350">
        <f t="shared" si="395"/>
        <v>5837028.5432499405</v>
      </c>
      <c r="AW1001" s="350">
        <f t="shared" si="396"/>
        <v>7814100.1697531827</v>
      </c>
      <c r="AX1001" s="350">
        <f t="shared" si="397"/>
        <v>9570303.4891526923</v>
      </c>
      <c r="AY1001" s="350">
        <f t="shared" si="398"/>
        <v>28095182.057943627</v>
      </c>
      <c r="AZ1001" s="365"/>
      <c r="BA1001" s="377">
        <f t="shared" si="399"/>
        <v>0</v>
      </c>
      <c r="BB1001" s="377">
        <f t="shared" si="400"/>
        <v>0</v>
      </c>
      <c r="BC1001" s="377">
        <f t="shared" si="401"/>
        <v>0</v>
      </c>
      <c r="BD1001" s="377">
        <f t="shared" si="402"/>
        <v>0</v>
      </c>
      <c r="BE1001" s="377">
        <f t="shared" si="403"/>
        <v>0</v>
      </c>
      <c r="BF1001" s="377">
        <f t="shared" si="404"/>
        <v>0</v>
      </c>
      <c r="BG1001" s="328"/>
    </row>
    <row r="1002" spans="2:59">
      <c r="B1002" s="332">
        <v>987</v>
      </c>
      <c r="C1002" s="350">
        <v>10465808.603278726</v>
      </c>
      <c r="D1002" s="350">
        <v>19781135.868704878</v>
      </c>
      <c r="E1002" s="350">
        <v>29166610.57082279</v>
      </c>
      <c r="F1002" s="350">
        <v>38622863.294504419</v>
      </c>
      <c r="G1002" s="350">
        <v>48151396.780277058</v>
      </c>
      <c r="H1002" s="348">
        <v>146187815.11758786</v>
      </c>
      <c r="I1002" s="369"/>
      <c r="J1002" s="350">
        <v>11808017.323863812</v>
      </c>
      <c r="K1002" s="350">
        <v>23738769.127865121</v>
      </c>
      <c r="L1002" s="350">
        <v>35354556.247009441</v>
      </c>
      <c r="M1002" s="350">
        <v>46647038.8113776</v>
      </c>
      <c r="N1002" s="350">
        <v>57610721.625287384</v>
      </c>
      <c r="O1002" s="348">
        <v>175159103.13540334</v>
      </c>
      <c r="P1002" s="369"/>
      <c r="Q1002" s="350">
        <f t="shared" si="405"/>
        <v>1342208.7205850855</v>
      </c>
      <c r="R1002" s="350">
        <f t="shared" si="406"/>
        <v>3957633.259160243</v>
      </c>
      <c r="S1002" s="350">
        <f t="shared" si="407"/>
        <v>6187945.676186651</v>
      </c>
      <c r="T1002" s="350">
        <f t="shared" si="408"/>
        <v>8024175.5168731809</v>
      </c>
      <c r="U1002" s="350">
        <f t="shared" si="409"/>
        <v>9459324.8450103253</v>
      </c>
      <c r="V1002" s="350">
        <f t="shared" si="410"/>
        <v>28971288.017815471</v>
      </c>
      <c r="W1002" s="365"/>
      <c r="X1002" s="377">
        <f t="shared" si="388"/>
        <v>0</v>
      </c>
      <c r="Y1002" s="377">
        <f t="shared" si="389"/>
        <v>0</v>
      </c>
      <c r="Z1002" s="377">
        <f t="shared" si="390"/>
        <v>0</v>
      </c>
      <c r="AA1002" s="377">
        <f t="shared" si="391"/>
        <v>0</v>
      </c>
      <c r="AB1002" s="377">
        <f t="shared" si="392"/>
        <v>0</v>
      </c>
      <c r="AC1002" s="377">
        <f t="shared" si="393"/>
        <v>0</v>
      </c>
      <c r="AD1002" s="376"/>
      <c r="AE1002" s="332">
        <v>987</v>
      </c>
      <c r="AF1002" s="350">
        <v>6705232.334348266</v>
      </c>
      <c r="AG1002" s="350">
        <v>13463122.015319496</v>
      </c>
      <c r="AH1002" s="350">
        <v>20272155.766701207</v>
      </c>
      <c r="AI1002" s="350">
        <v>27132559.356635191</v>
      </c>
      <c r="AJ1002" s="350">
        <v>34045322.151795216</v>
      </c>
      <c r="AK1002" s="348">
        <v>101618391.62479937</v>
      </c>
      <c r="AL1002" s="369"/>
      <c r="AM1002" s="350">
        <v>7698710.854191646</v>
      </c>
      <c r="AN1002" s="350">
        <v>16392724.484537322</v>
      </c>
      <c r="AO1002" s="350">
        <v>24832112.276847694</v>
      </c>
      <c r="AP1002" s="350">
        <v>33011564.621596657</v>
      </c>
      <c r="AQ1002" s="350">
        <v>40928032.262191914</v>
      </c>
      <c r="AR1002" s="348">
        <v>122863144.49936524</v>
      </c>
      <c r="AS1002" s="369"/>
      <c r="AT1002" s="350">
        <f t="shared" si="411"/>
        <v>993478.51984337997</v>
      </c>
      <c r="AU1002" s="350">
        <f t="shared" si="394"/>
        <v>2929602.4692178257</v>
      </c>
      <c r="AV1002" s="350">
        <f t="shared" si="395"/>
        <v>4559956.5101464875</v>
      </c>
      <c r="AW1002" s="350">
        <f t="shared" si="396"/>
        <v>5879005.2649614662</v>
      </c>
      <c r="AX1002" s="350">
        <f t="shared" si="397"/>
        <v>6882710.1103966981</v>
      </c>
      <c r="AY1002" s="350">
        <f t="shared" si="398"/>
        <v>21244752.87456587</v>
      </c>
      <c r="AZ1002" s="365"/>
      <c r="BA1002" s="377">
        <f t="shared" si="399"/>
        <v>0</v>
      </c>
      <c r="BB1002" s="377">
        <f t="shared" si="400"/>
        <v>0</v>
      </c>
      <c r="BC1002" s="377">
        <f t="shared" si="401"/>
        <v>0</v>
      </c>
      <c r="BD1002" s="377">
        <f t="shared" si="402"/>
        <v>0</v>
      </c>
      <c r="BE1002" s="377">
        <f t="shared" si="403"/>
        <v>0</v>
      </c>
      <c r="BF1002" s="377">
        <f t="shared" si="404"/>
        <v>0</v>
      </c>
      <c r="BG1002" s="328"/>
    </row>
    <row r="1003" spans="2:59">
      <c r="B1003" s="332">
        <v>988</v>
      </c>
      <c r="C1003" s="350">
        <v>9051958.345592618</v>
      </c>
      <c r="D1003" s="350">
        <v>17183759.21753284</v>
      </c>
      <c r="E1003" s="350">
        <v>25376819.370613478</v>
      </c>
      <c r="F1003" s="350">
        <v>33631667.29806225</v>
      </c>
      <c r="G1003" s="350">
        <v>41949605.25372415</v>
      </c>
      <c r="H1003" s="348">
        <v>127193809.48552534</v>
      </c>
      <c r="I1003" s="369"/>
      <c r="J1003" s="350">
        <v>10023509.421925437</v>
      </c>
      <c r="K1003" s="350">
        <v>20045041.35817454</v>
      </c>
      <c r="L1003" s="350">
        <v>29781463.288357809</v>
      </c>
      <c r="M1003" s="350">
        <v>39225690.014694765</v>
      </c>
      <c r="N1003" s="350">
        <v>48372879.106131181</v>
      </c>
      <c r="O1003" s="348">
        <v>147448583.18928373</v>
      </c>
      <c r="P1003" s="369"/>
      <c r="Q1003" s="350">
        <f t="shared" si="405"/>
        <v>971551.07633281872</v>
      </c>
      <c r="R1003" s="350">
        <f t="shared" si="406"/>
        <v>2861282.1406417005</v>
      </c>
      <c r="S1003" s="350">
        <f t="shared" si="407"/>
        <v>4404643.9177443311</v>
      </c>
      <c r="T1003" s="350">
        <f t="shared" si="408"/>
        <v>5594022.7166325152</v>
      </c>
      <c r="U1003" s="350">
        <f t="shared" si="409"/>
        <v>6423273.8524070308</v>
      </c>
      <c r="V1003" s="350">
        <f t="shared" si="410"/>
        <v>20254773.703758389</v>
      </c>
      <c r="W1003" s="365"/>
      <c r="X1003" s="377">
        <f t="shared" si="388"/>
        <v>0</v>
      </c>
      <c r="Y1003" s="377">
        <f t="shared" si="389"/>
        <v>0</v>
      </c>
      <c r="Z1003" s="377">
        <f t="shared" si="390"/>
        <v>0</v>
      </c>
      <c r="AA1003" s="377">
        <f t="shared" si="391"/>
        <v>0</v>
      </c>
      <c r="AB1003" s="377">
        <f t="shared" si="392"/>
        <v>0</v>
      </c>
      <c r="AC1003" s="377">
        <f t="shared" si="393"/>
        <v>0</v>
      </c>
      <c r="AD1003" s="376"/>
      <c r="AE1003" s="332">
        <v>988</v>
      </c>
      <c r="AF1003" s="350">
        <v>5518922.5559746679</v>
      </c>
      <c r="AG1003" s="350">
        <v>11081186.163164902</v>
      </c>
      <c r="AH1003" s="350">
        <v>16685545.278716099</v>
      </c>
      <c r="AI1003" s="350">
        <v>22332185.72719451</v>
      </c>
      <c r="AJ1003" s="350">
        <v>28021921.833560072</v>
      </c>
      <c r="AK1003" s="348">
        <v>83639761.55861026</v>
      </c>
      <c r="AL1003" s="369"/>
      <c r="AM1003" s="350">
        <v>6642021.4509597979</v>
      </c>
      <c r="AN1003" s="350">
        <v>14398170.375845179</v>
      </c>
      <c r="AO1003" s="350">
        <v>21953889.142158218</v>
      </c>
      <c r="AP1003" s="350">
        <v>29304721.156887632</v>
      </c>
      <c r="AQ1003" s="350">
        <v>36448465.935086206</v>
      </c>
      <c r="AR1003" s="348">
        <v>108747268.06093703</v>
      </c>
      <c r="AS1003" s="369"/>
      <c r="AT1003" s="350">
        <f t="shared" si="411"/>
        <v>1123098.8949851301</v>
      </c>
      <c r="AU1003" s="350">
        <f t="shared" si="394"/>
        <v>3316984.2126802765</v>
      </c>
      <c r="AV1003" s="350">
        <f t="shared" si="395"/>
        <v>5268343.8634421192</v>
      </c>
      <c r="AW1003" s="350">
        <f t="shared" si="396"/>
        <v>6972535.4296931215</v>
      </c>
      <c r="AX1003" s="350">
        <f t="shared" si="397"/>
        <v>8426544.1015261337</v>
      </c>
      <c r="AY1003" s="350">
        <f t="shared" si="398"/>
        <v>25107506.502326772</v>
      </c>
      <c r="AZ1003" s="365"/>
      <c r="BA1003" s="377">
        <f t="shared" si="399"/>
        <v>0</v>
      </c>
      <c r="BB1003" s="377">
        <f t="shared" si="400"/>
        <v>0</v>
      </c>
      <c r="BC1003" s="377">
        <f t="shared" si="401"/>
        <v>0</v>
      </c>
      <c r="BD1003" s="377">
        <f t="shared" si="402"/>
        <v>0</v>
      </c>
      <c r="BE1003" s="377">
        <f t="shared" si="403"/>
        <v>0</v>
      </c>
      <c r="BF1003" s="377">
        <f t="shared" si="404"/>
        <v>0</v>
      </c>
      <c r="BG1003" s="328"/>
    </row>
    <row r="1004" spans="2:59">
      <c r="B1004" s="332">
        <v>989</v>
      </c>
      <c r="C1004" s="350">
        <v>8098287.8528224006</v>
      </c>
      <c r="D1004" s="350">
        <v>15342357.193617214</v>
      </c>
      <c r="E1004" s="350">
        <v>22640988.351674091</v>
      </c>
      <c r="F1004" s="350">
        <v>29994661.13798286</v>
      </c>
      <c r="G1004" s="350">
        <v>37404539.563299224</v>
      </c>
      <c r="H1004" s="348">
        <v>113480834.0993958</v>
      </c>
      <c r="I1004" s="369"/>
      <c r="J1004" s="350">
        <v>9276869.1197437141</v>
      </c>
      <c r="K1004" s="350">
        <v>18819820.485752866</v>
      </c>
      <c r="L1004" s="350">
        <v>28130033.995696075</v>
      </c>
      <c r="M1004" s="350">
        <v>37200646.247704707</v>
      </c>
      <c r="N1004" s="350">
        <v>46027173.932453088</v>
      </c>
      <c r="O1004" s="348">
        <v>139454543.78135046</v>
      </c>
      <c r="P1004" s="369"/>
      <c r="Q1004" s="350">
        <f t="shared" si="405"/>
        <v>1178581.2669213135</v>
      </c>
      <c r="R1004" s="350">
        <f t="shared" si="406"/>
        <v>3477463.2921356522</v>
      </c>
      <c r="S1004" s="350">
        <f t="shared" si="407"/>
        <v>5489045.6440219842</v>
      </c>
      <c r="T1004" s="350">
        <f t="shared" si="408"/>
        <v>7205985.1097218469</v>
      </c>
      <c r="U1004" s="350">
        <f t="shared" si="409"/>
        <v>8622634.3691538647</v>
      </c>
      <c r="V1004" s="350">
        <f t="shared" si="410"/>
        <v>25973709.681954667</v>
      </c>
      <c r="W1004" s="365"/>
      <c r="X1004" s="377">
        <f t="shared" si="388"/>
        <v>0</v>
      </c>
      <c r="Y1004" s="377">
        <f t="shared" si="389"/>
        <v>0</v>
      </c>
      <c r="Z1004" s="377">
        <f t="shared" si="390"/>
        <v>0</v>
      </c>
      <c r="AA1004" s="377">
        <f t="shared" si="391"/>
        <v>0</v>
      </c>
      <c r="AB1004" s="377">
        <f t="shared" si="392"/>
        <v>0</v>
      </c>
      <c r="AC1004" s="377">
        <f t="shared" si="393"/>
        <v>0</v>
      </c>
      <c r="AD1004" s="376"/>
      <c r="AE1004" s="332">
        <v>989</v>
      </c>
      <c r="AF1004" s="350">
        <v>5905471.3272318831</v>
      </c>
      <c r="AG1004" s="350">
        <v>11857319.339885548</v>
      </c>
      <c r="AH1004" s="350">
        <v>17854211.256509524</v>
      </c>
      <c r="AI1004" s="350">
        <v>23896345.916938357</v>
      </c>
      <c r="AJ1004" s="350">
        <v>29984594.681959078</v>
      </c>
      <c r="AK1004" s="348">
        <v>89497942.522524387</v>
      </c>
      <c r="AL1004" s="369"/>
      <c r="AM1004" s="350">
        <v>7011274.3097370602</v>
      </c>
      <c r="AN1004" s="350">
        <v>15122042.583251011</v>
      </c>
      <c r="AO1004" s="350">
        <v>23015468.459034298</v>
      </c>
      <c r="AP1004" s="350">
        <v>30686810.342138421</v>
      </c>
      <c r="AQ1004" s="350">
        <v>38133616.440858379</v>
      </c>
      <c r="AR1004" s="348">
        <v>113969212.13501917</v>
      </c>
      <c r="AS1004" s="369"/>
      <c r="AT1004" s="350">
        <f t="shared" si="411"/>
        <v>1105802.9825051771</v>
      </c>
      <c r="AU1004" s="350">
        <f t="shared" si="394"/>
        <v>3264723.2433654629</v>
      </c>
      <c r="AV1004" s="350">
        <f t="shared" si="395"/>
        <v>5161257.2025247738</v>
      </c>
      <c r="AW1004" s="350">
        <f t="shared" si="396"/>
        <v>6790464.4252000637</v>
      </c>
      <c r="AX1004" s="350">
        <f t="shared" si="397"/>
        <v>8149021.7588993013</v>
      </c>
      <c r="AY1004" s="350">
        <f t="shared" si="398"/>
        <v>24471269.612494782</v>
      </c>
      <c r="AZ1004" s="365"/>
      <c r="BA1004" s="377">
        <f t="shared" si="399"/>
        <v>0</v>
      </c>
      <c r="BB1004" s="377">
        <f t="shared" si="400"/>
        <v>0</v>
      </c>
      <c r="BC1004" s="377">
        <f t="shared" si="401"/>
        <v>0</v>
      </c>
      <c r="BD1004" s="377">
        <f t="shared" si="402"/>
        <v>0</v>
      </c>
      <c r="BE1004" s="377">
        <f t="shared" si="403"/>
        <v>0</v>
      </c>
      <c r="BF1004" s="377">
        <f t="shared" si="404"/>
        <v>0</v>
      </c>
      <c r="BG1004" s="328"/>
    </row>
    <row r="1005" spans="2:59">
      <c r="B1005" s="332">
        <v>990</v>
      </c>
      <c r="C1005" s="350">
        <v>7316346.0525950128</v>
      </c>
      <c r="D1005" s="350">
        <v>13946104.667121641</v>
      </c>
      <c r="E1005" s="350">
        <v>20625825.508149423</v>
      </c>
      <c r="F1005" s="350">
        <v>27355922.840501633</v>
      </c>
      <c r="G1005" s="350">
        <v>34137451.149270222</v>
      </c>
      <c r="H1005" s="348">
        <v>103381650.21763793</v>
      </c>
      <c r="I1005" s="369"/>
      <c r="J1005" s="350">
        <v>8355338.0701430738</v>
      </c>
      <c r="K1005" s="350">
        <v>17011119.160688732</v>
      </c>
      <c r="L1005" s="350">
        <v>25446184.676341161</v>
      </c>
      <c r="M1005" s="350">
        <v>33654515.814170718</v>
      </c>
      <c r="N1005" s="350">
        <v>41632245.118464693</v>
      </c>
      <c r="O1005" s="348">
        <v>126099402.83980837</v>
      </c>
      <c r="P1005" s="369"/>
      <c r="Q1005" s="350">
        <f t="shared" si="405"/>
        <v>1038992.017548061</v>
      </c>
      <c r="R1005" s="350">
        <f t="shared" si="406"/>
        <v>3065014.4935670905</v>
      </c>
      <c r="S1005" s="350">
        <f t="shared" si="407"/>
        <v>4820359.1681917384</v>
      </c>
      <c r="T1005" s="350">
        <f t="shared" si="408"/>
        <v>6298592.9736690857</v>
      </c>
      <c r="U1005" s="350">
        <f t="shared" si="409"/>
        <v>7494793.9691944718</v>
      </c>
      <c r="V1005" s="350">
        <f t="shared" si="410"/>
        <v>22717752.622170448</v>
      </c>
      <c r="W1005" s="365"/>
      <c r="X1005" s="377">
        <f t="shared" si="388"/>
        <v>0</v>
      </c>
      <c r="Y1005" s="377">
        <f t="shared" si="389"/>
        <v>0</v>
      </c>
      <c r="Z1005" s="377">
        <f t="shared" si="390"/>
        <v>0</v>
      </c>
      <c r="AA1005" s="377">
        <f t="shared" si="391"/>
        <v>0</v>
      </c>
      <c r="AB1005" s="377">
        <f t="shared" si="392"/>
        <v>0</v>
      </c>
      <c r="AC1005" s="377">
        <f t="shared" si="393"/>
        <v>0</v>
      </c>
      <c r="AD1005" s="376"/>
      <c r="AE1005" s="332">
        <v>990</v>
      </c>
      <c r="AF1005" s="350">
        <v>6047580.5390993161</v>
      </c>
      <c r="AG1005" s="350">
        <v>12142653.771784559</v>
      </c>
      <c r="AH1005" s="350">
        <v>18283854.844562728</v>
      </c>
      <c r="AI1005" s="350">
        <v>24471387.38214846</v>
      </c>
      <c r="AJ1005" s="350">
        <v>30706143.713747364</v>
      </c>
      <c r="AK1005" s="348">
        <v>91651620.251342431</v>
      </c>
      <c r="AL1005" s="369"/>
      <c r="AM1005" s="350">
        <v>7123227.8891068697</v>
      </c>
      <c r="AN1005" s="350">
        <v>15317588.991480626</v>
      </c>
      <c r="AO1005" s="350">
        <v>23287677.420907985</v>
      </c>
      <c r="AP1005" s="350">
        <v>31028653.536175884</v>
      </c>
      <c r="AQ1005" s="350">
        <v>38537949.055372573</v>
      </c>
      <c r="AR1005" s="348">
        <v>115295096.89304394</v>
      </c>
      <c r="AS1005" s="369"/>
      <c r="AT1005" s="350">
        <f t="shared" si="411"/>
        <v>1075647.3500075536</v>
      </c>
      <c r="AU1005" s="350">
        <f t="shared" si="394"/>
        <v>3174935.2196960673</v>
      </c>
      <c r="AV1005" s="350">
        <f t="shared" si="395"/>
        <v>5003822.5763452575</v>
      </c>
      <c r="AW1005" s="350">
        <f t="shared" si="396"/>
        <v>6557266.1540274248</v>
      </c>
      <c r="AX1005" s="350">
        <f t="shared" si="397"/>
        <v>7831805.3416252099</v>
      </c>
      <c r="AY1005" s="350">
        <f t="shared" si="398"/>
        <v>23643476.641701505</v>
      </c>
      <c r="AZ1005" s="365"/>
      <c r="BA1005" s="377">
        <f t="shared" si="399"/>
        <v>0</v>
      </c>
      <c r="BB1005" s="377">
        <f t="shared" si="400"/>
        <v>0</v>
      </c>
      <c r="BC1005" s="377">
        <f t="shared" si="401"/>
        <v>0</v>
      </c>
      <c r="BD1005" s="377">
        <f t="shared" si="402"/>
        <v>0</v>
      </c>
      <c r="BE1005" s="377">
        <f t="shared" si="403"/>
        <v>0</v>
      </c>
      <c r="BF1005" s="377">
        <f t="shared" si="404"/>
        <v>0</v>
      </c>
      <c r="BG1005" s="328"/>
    </row>
    <row r="1006" spans="2:59">
      <c r="B1006" s="332">
        <v>991</v>
      </c>
      <c r="C1006" s="350">
        <v>8658644.430948047</v>
      </c>
      <c r="D1006" s="350">
        <v>16281297.442474488</v>
      </c>
      <c r="E1006" s="350">
        <v>23961324.331106946</v>
      </c>
      <c r="F1006" s="350">
        <v>31699265.792014681</v>
      </c>
      <c r="G1006" s="350">
        <v>39496362.248828694</v>
      </c>
      <c r="H1006" s="348">
        <v>120096894.24537285</v>
      </c>
      <c r="I1006" s="369"/>
      <c r="J1006" s="350">
        <v>9967549.0440944508</v>
      </c>
      <c r="K1006" s="350">
        <v>20144349.407276817</v>
      </c>
      <c r="L1006" s="350">
        <v>30072539.41574613</v>
      </c>
      <c r="M1006" s="350">
        <v>39745161.466102391</v>
      </c>
      <c r="N1006" s="350">
        <v>49157840.462793693</v>
      </c>
      <c r="O1006" s="348">
        <v>149087439.79601347</v>
      </c>
      <c r="P1006" s="369"/>
      <c r="Q1006" s="350">
        <f t="shared" si="405"/>
        <v>1308904.6131464038</v>
      </c>
      <c r="R1006" s="350">
        <f t="shared" si="406"/>
        <v>3863051.9648023285</v>
      </c>
      <c r="S1006" s="350">
        <f t="shared" si="407"/>
        <v>6111215.0846391842</v>
      </c>
      <c r="T1006" s="350">
        <f t="shared" si="408"/>
        <v>8045895.6740877107</v>
      </c>
      <c r="U1006" s="350">
        <f t="shared" si="409"/>
        <v>9661478.2139649987</v>
      </c>
      <c r="V1006" s="350">
        <f t="shared" si="410"/>
        <v>28990545.550640628</v>
      </c>
      <c r="W1006" s="365"/>
      <c r="X1006" s="377">
        <f t="shared" si="388"/>
        <v>0</v>
      </c>
      <c r="Y1006" s="377">
        <f t="shared" si="389"/>
        <v>0</v>
      </c>
      <c r="Z1006" s="377">
        <f t="shared" si="390"/>
        <v>0</v>
      </c>
      <c r="AA1006" s="377">
        <f t="shared" si="391"/>
        <v>0</v>
      </c>
      <c r="AB1006" s="377">
        <f t="shared" si="392"/>
        <v>0</v>
      </c>
      <c r="AC1006" s="377">
        <f t="shared" si="393"/>
        <v>0</v>
      </c>
      <c r="AD1006" s="376"/>
      <c r="AE1006" s="332">
        <v>991</v>
      </c>
      <c r="AF1006" s="350">
        <v>7459902.2244410459</v>
      </c>
      <c r="AG1006" s="350">
        <v>14978388.348383017</v>
      </c>
      <c r="AH1006" s="350">
        <v>22553774.777280521</v>
      </c>
      <c r="AI1006" s="350">
        <v>30186312.689344715</v>
      </c>
      <c r="AJ1006" s="350">
        <v>37877102.803876951</v>
      </c>
      <c r="AK1006" s="348">
        <v>113055480.84332626</v>
      </c>
      <c r="AL1006" s="369"/>
      <c r="AM1006" s="350">
        <v>8466158.1990263015</v>
      </c>
      <c r="AN1006" s="350">
        <v>17943998.321478255</v>
      </c>
      <c r="AO1006" s="350">
        <v>27135588.401970353</v>
      </c>
      <c r="AP1006" s="350">
        <v>36035049.2492074</v>
      </c>
      <c r="AQ1006" s="350">
        <v>44638888.112356491</v>
      </c>
      <c r="AR1006" s="348">
        <v>134219682.28403878</v>
      </c>
      <c r="AS1006" s="369"/>
      <c r="AT1006" s="350">
        <f t="shared" si="411"/>
        <v>1006255.9745852556</v>
      </c>
      <c r="AU1006" s="350">
        <f t="shared" si="394"/>
        <v>2965609.9730952382</v>
      </c>
      <c r="AV1006" s="350">
        <f t="shared" si="395"/>
        <v>4581813.6246898323</v>
      </c>
      <c r="AW1006" s="350">
        <f t="shared" si="396"/>
        <v>5848736.5598626845</v>
      </c>
      <c r="AX1006" s="350">
        <f t="shared" si="397"/>
        <v>6761785.3084795401</v>
      </c>
      <c r="AY1006" s="350">
        <f t="shared" si="398"/>
        <v>21164201.440712526</v>
      </c>
      <c r="AZ1006" s="365"/>
      <c r="BA1006" s="377">
        <f t="shared" si="399"/>
        <v>0</v>
      </c>
      <c r="BB1006" s="377">
        <f t="shared" si="400"/>
        <v>0</v>
      </c>
      <c r="BC1006" s="377">
        <f t="shared" si="401"/>
        <v>0</v>
      </c>
      <c r="BD1006" s="377">
        <f t="shared" si="402"/>
        <v>0</v>
      </c>
      <c r="BE1006" s="377">
        <f t="shared" si="403"/>
        <v>0</v>
      </c>
      <c r="BF1006" s="377">
        <f t="shared" si="404"/>
        <v>0</v>
      </c>
      <c r="BG1006" s="328"/>
    </row>
    <row r="1007" spans="2:59">
      <c r="B1007" s="332">
        <v>992</v>
      </c>
      <c r="C1007" s="350">
        <v>7779682.7077385923</v>
      </c>
      <c r="D1007" s="350">
        <v>14585834.510972526</v>
      </c>
      <c r="E1007" s="350">
        <v>21443200.643274523</v>
      </c>
      <c r="F1007" s="350">
        <v>28352276.550499674</v>
      </c>
      <c r="G1007" s="350">
        <v>35314175.299700759</v>
      </c>
      <c r="H1007" s="348">
        <v>107475169.71218607</v>
      </c>
      <c r="I1007" s="369"/>
      <c r="J1007" s="350">
        <v>8959639.8125797547</v>
      </c>
      <c r="K1007" s="350">
        <v>18068471.541921545</v>
      </c>
      <c r="L1007" s="350">
        <v>26958725.314745333</v>
      </c>
      <c r="M1007" s="350">
        <v>35624070.774857953</v>
      </c>
      <c r="N1007" s="350">
        <v>44060486.022814482</v>
      </c>
      <c r="O1007" s="348">
        <v>133671393.46691906</v>
      </c>
      <c r="P1007" s="369"/>
      <c r="Q1007" s="350">
        <f t="shared" si="405"/>
        <v>1179957.1048411625</v>
      </c>
      <c r="R1007" s="350">
        <f t="shared" si="406"/>
        <v>3482637.0309490189</v>
      </c>
      <c r="S1007" s="350">
        <f t="shared" si="407"/>
        <v>5515524.6714708097</v>
      </c>
      <c r="T1007" s="350">
        <f t="shared" si="408"/>
        <v>7271794.2243582793</v>
      </c>
      <c r="U1007" s="350">
        <f t="shared" si="409"/>
        <v>8746310.7231137231</v>
      </c>
      <c r="V1007" s="350">
        <f t="shared" si="410"/>
        <v>26196223.754732996</v>
      </c>
      <c r="W1007" s="365"/>
      <c r="X1007" s="377">
        <f t="shared" si="388"/>
        <v>0</v>
      </c>
      <c r="Y1007" s="377">
        <f t="shared" si="389"/>
        <v>0</v>
      </c>
      <c r="Z1007" s="377">
        <f t="shared" si="390"/>
        <v>0</v>
      </c>
      <c r="AA1007" s="377">
        <f t="shared" si="391"/>
        <v>0</v>
      </c>
      <c r="AB1007" s="377">
        <f t="shared" si="392"/>
        <v>0</v>
      </c>
      <c r="AC1007" s="377">
        <f t="shared" si="393"/>
        <v>0</v>
      </c>
      <c r="AD1007" s="376"/>
      <c r="AE1007" s="332">
        <v>992</v>
      </c>
      <c r="AF1007" s="350">
        <v>4547023.8012040546</v>
      </c>
      <c r="AG1007" s="350">
        <v>9129756.1649848819</v>
      </c>
      <c r="AH1007" s="350">
        <v>13747170.892306734</v>
      </c>
      <c r="AI1007" s="350">
        <v>18399421.083474431</v>
      </c>
      <c r="AJ1007" s="350">
        <v>23087177.658388946</v>
      </c>
      <c r="AK1007" s="348">
        <v>68910549.600359052</v>
      </c>
      <c r="AL1007" s="369"/>
      <c r="AM1007" s="350">
        <v>5516066.1047745747</v>
      </c>
      <c r="AN1007" s="350">
        <v>11992283.513884088</v>
      </c>
      <c r="AO1007" s="350">
        <v>18304676.676281918</v>
      </c>
      <c r="AP1007" s="350">
        <v>24449561.451399177</v>
      </c>
      <c r="AQ1007" s="350">
        <v>30425169.148911759</v>
      </c>
      <c r="AR1007" s="348">
        <v>90687756.895251513</v>
      </c>
      <c r="AS1007" s="369"/>
      <c r="AT1007" s="350">
        <f t="shared" si="411"/>
        <v>969042.30357052013</v>
      </c>
      <c r="AU1007" s="350">
        <f t="shared" si="394"/>
        <v>2862527.3488992061</v>
      </c>
      <c r="AV1007" s="350">
        <f t="shared" si="395"/>
        <v>4557505.783975184</v>
      </c>
      <c r="AW1007" s="350">
        <f t="shared" si="396"/>
        <v>6050140.3679247461</v>
      </c>
      <c r="AX1007" s="350">
        <f t="shared" si="397"/>
        <v>7337991.4905228131</v>
      </c>
      <c r="AY1007" s="350">
        <f t="shared" si="398"/>
        <v>21777207.29489246</v>
      </c>
      <c r="AZ1007" s="365"/>
      <c r="BA1007" s="377">
        <f t="shared" si="399"/>
        <v>0</v>
      </c>
      <c r="BB1007" s="377">
        <f t="shared" si="400"/>
        <v>0</v>
      </c>
      <c r="BC1007" s="377">
        <f t="shared" si="401"/>
        <v>0</v>
      </c>
      <c r="BD1007" s="377">
        <f t="shared" si="402"/>
        <v>0</v>
      </c>
      <c r="BE1007" s="377">
        <f t="shared" si="403"/>
        <v>0</v>
      </c>
      <c r="BF1007" s="377">
        <f t="shared" si="404"/>
        <v>0</v>
      </c>
      <c r="BG1007" s="328"/>
    </row>
    <row r="1008" spans="2:59">
      <c r="B1008" s="332">
        <v>993</v>
      </c>
      <c r="C1008" s="350">
        <v>7798517.3557082182</v>
      </c>
      <c r="D1008" s="350">
        <v>14666252.869738456</v>
      </c>
      <c r="E1008" s="350">
        <v>21585680.928054556</v>
      </c>
      <c r="F1008" s="350">
        <v>28557287.996204585</v>
      </c>
      <c r="G1008" s="350">
        <v>35582191.354720332</v>
      </c>
      <c r="H1008" s="348">
        <v>108189930.50442615</v>
      </c>
      <c r="I1008" s="369"/>
      <c r="J1008" s="350">
        <v>9197976.4488111082</v>
      </c>
      <c r="K1008" s="350">
        <v>18799716.048879538</v>
      </c>
      <c r="L1008" s="350">
        <v>28182072.749509715</v>
      </c>
      <c r="M1008" s="350">
        <v>37338788.759867743</v>
      </c>
      <c r="N1008" s="350">
        <v>46266221.679247975</v>
      </c>
      <c r="O1008" s="348">
        <v>139784775.68631607</v>
      </c>
      <c r="P1008" s="369"/>
      <c r="Q1008" s="350">
        <f t="shared" si="405"/>
        <v>1399459.0931028901</v>
      </c>
      <c r="R1008" s="350">
        <f t="shared" si="406"/>
        <v>4133463.1791410819</v>
      </c>
      <c r="S1008" s="350">
        <f t="shared" si="407"/>
        <v>6596391.8214551583</v>
      </c>
      <c r="T1008" s="350">
        <f t="shared" si="408"/>
        <v>8781500.7636631578</v>
      </c>
      <c r="U1008" s="350">
        <f t="shared" si="409"/>
        <v>10684030.324527644</v>
      </c>
      <c r="V1008" s="350">
        <f t="shared" si="410"/>
        <v>31594845.181889921</v>
      </c>
      <c r="W1008" s="365"/>
      <c r="X1008" s="377">
        <f t="shared" si="388"/>
        <v>0</v>
      </c>
      <c r="Y1008" s="377">
        <f t="shared" si="389"/>
        <v>0</v>
      </c>
      <c r="Z1008" s="377">
        <f t="shared" si="390"/>
        <v>0</v>
      </c>
      <c r="AA1008" s="377">
        <f t="shared" si="391"/>
        <v>0</v>
      </c>
      <c r="AB1008" s="377">
        <f t="shared" si="392"/>
        <v>0</v>
      </c>
      <c r="AC1008" s="377">
        <f t="shared" si="393"/>
        <v>0</v>
      </c>
      <c r="AD1008" s="376"/>
      <c r="AE1008" s="332">
        <v>993</v>
      </c>
      <c r="AF1008" s="350">
        <v>7578843.2686882578</v>
      </c>
      <c r="AG1008" s="350">
        <v>15217204.501423206</v>
      </c>
      <c r="AH1008" s="350">
        <v>22913373.260346055</v>
      </c>
      <c r="AI1008" s="350">
        <v>30667604.728465587</v>
      </c>
      <c r="AJ1008" s="350">
        <v>38481017.175005287</v>
      </c>
      <c r="AK1008" s="348">
        <v>114858042.9339284</v>
      </c>
      <c r="AL1008" s="369"/>
      <c r="AM1008" s="350">
        <v>9066027.0256781764</v>
      </c>
      <c r="AN1008" s="350">
        <v>19608807.697736483</v>
      </c>
      <c r="AO1008" s="350">
        <v>29874697.765296135</v>
      </c>
      <c r="AP1008" s="350">
        <v>39857592.81251359</v>
      </c>
      <c r="AQ1008" s="350">
        <v>49554415.2184624</v>
      </c>
      <c r="AR1008" s="348">
        <v>147961540.51968679</v>
      </c>
      <c r="AS1008" s="369"/>
      <c r="AT1008" s="350">
        <f t="shared" si="411"/>
        <v>1487183.7569899186</v>
      </c>
      <c r="AU1008" s="350">
        <f t="shared" si="394"/>
        <v>4391603.1963132769</v>
      </c>
      <c r="AV1008" s="350">
        <f t="shared" si="395"/>
        <v>6961324.5049500801</v>
      </c>
      <c r="AW1008" s="350">
        <f t="shared" si="396"/>
        <v>9189988.084048003</v>
      </c>
      <c r="AX1008" s="350">
        <f t="shared" si="397"/>
        <v>11073398.043457113</v>
      </c>
      <c r="AY1008" s="350">
        <f t="shared" si="398"/>
        <v>33103497.585758388</v>
      </c>
      <c r="AZ1008" s="365"/>
      <c r="BA1008" s="377">
        <f t="shared" si="399"/>
        <v>0</v>
      </c>
      <c r="BB1008" s="377">
        <f t="shared" si="400"/>
        <v>0</v>
      </c>
      <c r="BC1008" s="377">
        <f t="shared" si="401"/>
        <v>0</v>
      </c>
      <c r="BD1008" s="377">
        <f t="shared" si="402"/>
        <v>0</v>
      </c>
      <c r="BE1008" s="377">
        <f t="shared" si="403"/>
        <v>0</v>
      </c>
      <c r="BF1008" s="377">
        <f t="shared" si="404"/>
        <v>0</v>
      </c>
      <c r="BG1008" s="328"/>
    </row>
    <row r="1009" spans="1:59">
      <c r="B1009" s="332">
        <v>994</v>
      </c>
      <c r="C1009" s="350">
        <v>6945961.5944987666</v>
      </c>
      <c r="D1009" s="350">
        <v>13208070.566529855</v>
      </c>
      <c r="E1009" s="350">
        <v>19517360.981983736</v>
      </c>
      <c r="F1009" s="350">
        <v>25874233.361014802</v>
      </c>
      <c r="G1009" s="350">
        <v>32279687.727974985</v>
      </c>
      <c r="H1009" s="348">
        <v>97825314.232002139</v>
      </c>
      <c r="I1009" s="369"/>
      <c r="J1009" s="350">
        <v>7727016.6755653061</v>
      </c>
      <c r="K1009" s="350">
        <v>15509007.426729893</v>
      </c>
      <c r="L1009" s="350">
        <v>23080512.085484188</v>
      </c>
      <c r="M1009" s="350">
        <v>30435736.037711885</v>
      </c>
      <c r="N1009" s="350">
        <v>37570645.496586144</v>
      </c>
      <c r="O1009" s="348">
        <v>114322917.72207741</v>
      </c>
      <c r="P1009" s="369"/>
      <c r="Q1009" s="350">
        <f t="shared" si="405"/>
        <v>781055.08106653951</v>
      </c>
      <c r="R1009" s="350">
        <f t="shared" si="406"/>
        <v>2300936.8602000382</v>
      </c>
      <c r="S1009" s="350">
        <f t="shared" si="407"/>
        <v>3563151.1035004519</v>
      </c>
      <c r="T1009" s="350">
        <f t="shared" si="408"/>
        <v>4561502.6766970828</v>
      </c>
      <c r="U1009" s="350">
        <f t="shared" si="409"/>
        <v>5290957.7686111592</v>
      </c>
      <c r="V1009" s="350">
        <f t="shared" si="410"/>
        <v>16497603.490075275</v>
      </c>
      <c r="W1009" s="365"/>
      <c r="X1009" s="377">
        <f t="shared" si="388"/>
        <v>0</v>
      </c>
      <c r="Y1009" s="377">
        <f t="shared" si="389"/>
        <v>0</v>
      </c>
      <c r="Z1009" s="377">
        <f t="shared" si="390"/>
        <v>0</v>
      </c>
      <c r="AA1009" s="377">
        <f t="shared" si="391"/>
        <v>0</v>
      </c>
      <c r="AB1009" s="377">
        <f t="shared" si="392"/>
        <v>0</v>
      </c>
      <c r="AC1009" s="377">
        <f t="shared" si="393"/>
        <v>0</v>
      </c>
      <c r="AD1009" s="376"/>
      <c r="AE1009" s="332">
        <v>994</v>
      </c>
      <c r="AF1009" s="350">
        <v>6453835.0615944816</v>
      </c>
      <c r="AG1009" s="350">
        <v>12958353.203646138</v>
      </c>
      <c r="AH1009" s="350">
        <v>19512097.886755437</v>
      </c>
      <c r="AI1009" s="350">
        <v>26115286.414406672</v>
      </c>
      <c r="AJ1009" s="350">
        <v>32768871.059244487</v>
      </c>
      <c r="AK1009" s="348">
        <v>97808443.625647217</v>
      </c>
      <c r="AL1009" s="369"/>
      <c r="AM1009" s="350">
        <v>7848994.2139351107</v>
      </c>
      <c r="AN1009" s="350">
        <v>17079850.966560319</v>
      </c>
      <c r="AO1009" s="350">
        <v>26078774.548396163</v>
      </c>
      <c r="AP1009" s="350">
        <v>34840530.276166826</v>
      </c>
      <c r="AQ1009" s="350">
        <v>43362627.750147611</v>
      </c>
      <c r="AR1009" s="348">
        <v>129210777.75520603</v>
      </c>
      <c r="AS1009" s="369"/>
      <c r="AT1009" s="350">
        <f t="shared" si="411"/>
        <v>1395159.1523406291</v>
      </c>
      <c r="AU1009" s="350">
        <f t="shared" si="394"/>
        <v>4121497.7629141808</v>
      </c>
      <c r="AV1009" s="350">
        <f t="shared" si="395"/>
        <v>6566676.661640726</v>
      </c>
      <c r="AW1009" s="350">
        <f t="shared" si="396"/>
        <v>8725243.8617601544</v>
      </c>
      <c r="AX1009" s="350">
        <f t="shared" si="397"/>
        <v>10593756.690903123</v>
      </c>
      <c r="AY1009" s="350">
        <f t="shared" si="398"/>
        <v>31402334.129558817</v>
      </c>
      <c r="AZ1009" s="365"/>
      <c r="BA1009" s="377">
        <f t="shared" si="399"/>
        <v>0</v>
      </c>
      <c r="BB1009" s="377">
        <f t="shared" si="400"/>
        <v>0</v>
      </c>
      <c r="BC1009" s="377">
        <f t="shared" si="401"/>
        <v>0</v>
      </c>
      <c r="BD1009" s="377">
        <f t="shared" si="402"/>
        <v>0</v>
      </c>
      <c r="BE1009" s="377">
        <f t="shared" si="403"/>
        <v>0</v>
      </c>
      <c r="BF1009" s="377">
        <f t="shared" si="404"/>
        <v>0</v>
      </c>
      <c r="BG1009" s="328"/>
    </row>
    <row r="1010" spans="1:59">
      <c r="B1010" s="332">
        <v>995</v>
      </c>
      <c r="C1010" s="350">
        <v>12178562.637873925</v>
      </c>
      <c r="D1010" s="350">
        <v>23189997.92708879</v>
      </c>
      <c r="E1010" s="350">
        <v>34284408.308095179</v>
      </c>
      <c r="F1010" s="350">
        <v>45462488.827321067</v>
      </c>
      <c r="G1010" s="350">
        <v>56725993.931250036</v>
      </c>
      <c r="H1010" s="348">
        <v>171841451.63162899</v>
      </c>
      <c r="I1010" s="369"/>
      <c r="J1010" s="350">
        <v>13615356.975605369</v>
      </c>
      <c r="K1010" s="350">
        <v>27423913.584115092</v>
      </c>
      <c r="L1010" s="350">
        <v>40849687.471147388</v>
      </c>
      <c r="M1010" s="350">
        <v>53883007.487672329</v>
      </c>
      <c r="N1010" s="350">
        <v>66517408.064454548</v>
      </c>
      <c r="O1010" s="348">
        <v>202289373.58299473</v>
      </c>
      <c r="P1010" s="369"/>
      <c r="Q1010" s="350">
        <f t="shared" si="405"/>
        <v>1436794.3377314433</v>
      </c>
      <c r="R1010" s="350">
        <f t="shared" si="406"/>
        <v>4233915.6570263021</v>
      </c>
      <c r="S1010" s="350">
        <f t="shared" si="407"/>
        <v>6565279.1630522087</v>
      </c>
      <c r="T1010" s="350">
        <f t="shared" si="408"/>
        <v>8420518.6603512615</v>
      </c>
      <c r="U1010" s="350">
        <f t="shared" si="409"/>
        <v>9791414.1332045123</v>
      </c>
      <c r="V1010" s="350">
        <f t="shared" si="410"/>
        <v>30447921.951365739</v>
      </c>
      <c r="W1010" s="365"/>
      <c r="X1010" s="377">
        <f t="shared" si="388"/>
        <v>0</v>
      </c>
      <c r="Y1010" s="377">
        <f t="shared" si="389"/>
        <v>0</v>
      </c>
      <c r="Z1010" s="377">
        <f t="shared" si="390"/>
        <v>0</v>
      </c>
      <c r="AA1010" s="377">
        <f t="shared" si="391"/>
        <v>0</v>
      </c>
      <c r="AB1010" s="377">
        <f t="shared" si="392"/>
        <v>0</v>
      </c>
      <c r="AC1010" s="377">
        <f t="shared" si="393"/>
        <v>0</v>
      </c>
      <c r="AD1010" s="376"/>
      <c r="AE1010" s="332">
        <v>995</v>
      </c>
      <c r="AF1010" s="350">
        <v>7250732.1415697588</v>
      </c>
      <c r="AG1010" s="350">
        <v>14558405.533883817</v>
      </c>
      <c r="AH1010" s="350">
        <v>21921383.789129522</v>
      </c>
      <c r="AI1010" s="350">
        <v>29339911.042668723</v>
      </c>
      <c r="AJ1010" s="350">
        <v>36815057.150456235</v>
      </c>
      <c r="AK1010" s="348">
        <v>109885489.65770806</v>
      </c>
      <c r="AL1010" s="369"/>
      <c r="AM1010" s="350">
        <v>8546324.3971149251</v>
      </c>
      <c r="AN1010" s="350">
        <v>18382624.876506466</v>
      </c>
      <c r="AO1010" s="350">
        <v>27950212.302170791</v>
      </c>
      <c r="AP1010" s="350">
        <v>37243282.515755758</v>
      </c>
      <c r="AQ1010" s="350">
        <v>46258762.305215582</v>
      </c>
      <c r="AR1010" s="348">
        <v>138381206.3967635</v>
      </c>
      <c r="AS1010" s="369"/>
      <c r="AT1010" s="350">
        <f t="shared" si="411"/>
        <v>1295592.2555451663</v>
      </c>
      <c r="AU1010" s="350">
        <f t="shared" si="394"/>
        <v>3824219.3426226489</v>
      </c>
      <c r="AV1010" s="350">
        <f t="shared" si="395"/>
        <v>6028828.513041269</v>
      </c>
      <c r="AW1010" s="350">
        <f t="shared" si="396"/>
        <v>7903371.4730870351</v>
      </c>
      <c r="AX1010" s="350">
        <f t="shared" si="397"/>
        <v>9443705.1547593474</v>
      </c>
      <c r="AY1010" s="350">
        <f t="shared" si="398"/>
        <v>28495716.73905544</v>
      </c>
      <c r="AZ1010" s="365"/>
      <c r="BA1010" s="377">
        <f t="shared" si="399"/>
        <v>0</v>
      </c>
      <c r="BB1010" s="377">
        <f t="shared" si="400"/>
        <v>0</v>
      </c>
      <c r="BC1010" s="377">
        <f t="shared" si="401"/>
        <v>0</v>
      </c>
      <c r="BD1010" s="377">
        <f t="shared" si="402"/>
        <v>0</v>
      </c>
      <c r="BE1010" s="377">
        <f t="shared" si="403"/>
        <v>0</v>
      </c>
      <c r="BF1010" s="377">
        <f t="shared" si="404"/>
        <v>0</v>
      </c>
      <c r="BG1010" s="328"/>
    </row>
    <row r="1011" spans="1:59">
      <c r="B1011" s="332">
        <v>996</v>
      </c>
      <c r="C1011" s="350">
        <v>8749883.3146011662</v>
      </c>
      <c r="D1011" s="350">
        <v>16311710.986572003</v>
      </c>
      <c r="E1011" s="350">
        <v>23930408.64552021</v>
      </c>
      <c r="F1011" s="350">
        <v>31606554.539122868</v>
      </c>
      <c r="G1011" s="350">
        <v>39341397.409244366</v>
      </c>
      <c r="H1011" s="348">
        <v>119939954.8950606</v>
      </c>
      <c r="I1011" s="369"/>
      <c r="J1011" s="350">
        <v>10063378.135858074</v>
      </c>
      <c r="K1011" s="350">
        <v>20188525.662995558</v>
      </c>
      <c r="L1011" s="350">
        <v>30062847.003002197</v>
      </c>
      <c r="M1011" s="350">
        <v>39679661.52949506</v>
      </c>
      <c r="N1011" s="350">
        <v>49034853.484878689</v>
      </c>
      <c r="O1011" s="348">
        <v>149029265.81622958</v>
      </c>
      <c r="P1011" s="369"/>
      <c r="Q1011" s="350">
        <f t="shared" si="405"/>
        <v>1313494.8212569077</v>
      </c>
      <c r="R1011" s="350">
        <f t="shared" si="406"/>
        <v>3876814.6764235552</v>
      </c>
      <c r="S1011" s="350">
        <f t="shared" si="407"/>
        <v>6132438.3574819863</v>
      </c>
      <c r="T1011" s="350">
        <f t="shared" si="408"/>
        <v>8073106.9903721921</v>
      </c>
      <c r="U1011" s="350">
        <f t="shared" si="409"/>
        <v>9693456.0756343231</v>
      </c>
      <c r="V1011" s="350">
        <f t="shared" si="410"/>
        <v>29089310.921168983</v>
      </c>
      <c r="W1011" s="365"/>
      <c r="X1011" s="377">
        <f t="shared" si="388"/>
        <v>0</v>
      </c>
      <c r="Y1011" s="377">
        <f t="shared" si="389"/>
        <v>0</v>
      </c>
      <c r="Z1011" s="377">
        <f t="shared" si="390"/>
        <v>0</v>
      </c>
      <c r="AA1011" s="377">
        <f t="shared" si="391"/>
        <v>0</v>
      </c>
      <c r="AB1011" s="377">
        <f t="shared" si="392"/>
        <v>0</v>
      </c>
      <c r="AC1011" s="377">
        <f t="shared" si="393"/>
        <v>0</v>
      </c>
      <c r="AD1011" s="376"/>
      <c r="AE1011" s="332">
        <v>996</v>
      </c>
      <c r="AF1011" s="350">
        <v>5865984.9125065915</v>
      </c>
      <c r="AG1011" s="350">
        <v>11778036.416806078</v>
      </c>
      <c r="AH1011" s="350">
        <v>17734830.642972965</v>
      </c>
      <c r="AI1011" s="350">
        <v>23736565.101316728</v>
      </c>
      <c r="AJ1011" s="350">
        <v>29784105.32634712</v>
      </c>
      <c r="AK1011" s="348">
        <v>88899522.399949476</v>
      </c>
      <c r="AL1011" s="369"/>
      <c r="AM1011" s="350">
        <v>7089274.4592854111</v>
      </c>
      <c r="AN1011" s="350">
        <v>15391289.025342669</v>
      </c>
      <c r="AO1011" s="350">
        <v>23481154.642425112</v>
      </c>
      <c r="AP1011" s="350">
        <v>31354126.099027224</v>
      </c>
      <c r="AQ1011" s="350">
        <v>39007894.471721649</v>
      </c>
      <c r="AR1011" s="348">
        <v>116323738.69780207</v>
      </c>
      <c r="AS1011" s="369"/>
      <c r="AT1011" s="350">
        <f t="shared" si="411"/>
        <v>1223289.5467788195</v>
      </c>
      <c r="AU1011" s="350">
        <f t="shared" si="394"/>
        <v>3613252.6085365918</v>
      </c>
      <c r="AV1011" s="350">
        <f t="shared" si="395"/>
        <v>5746323.9994521476</v>
      </c>
      <c r="AW1011" s="350">
        <f t="shared" si="396"/>
        <v>7617560.9977104962</v>
      </c>
      <c r="AX1011" s="350">
        <f t="shared" si="397"/>
        <v>9223789.1453745291</v>
      </c>
      <c r="AY1011" s="350">
        <f t="shared" si="398"/>
        <v>27424216.297852591</v>
      </c>
      <c r="AZ1011" s="365"/>
      <c r="BA1011" s="377">
        <f t="shared" si="399"/>
        <v>0</v>
      </c>
      <c r="BB1011" s="377">
        <f t="shared" si="400"/>
        <v>0</v>
      </c>
      <c r="BC1011" s="377">
        <f t="shared" si="401"/>
        <v>0</v>
      </c>
      <c r="BD1011" s="377">
        <f t="shared" si="402"/>
        <v>0</v>
      </c>
      <c r="BE1011" s="377">
        <f t="shared" si="403"/>
        <v>0</v>
      </c>
      <c r="BF1011" s="377">
        <f t="shared" si="404"/>
        <v>0</v>
      </c>
      <c r="BG1011" s="328"/>
    </row>
    <row r="1012" spans="1:59">
      <c r="B1012" s="332">
        <v>997</v>
      </c>
      <c r="C1012" s="350">
        <v>10500565.764624117</v>
      </c>
      <c r="D1012" s="350">
        <v>19960150.282866627</v>
      </c>
      <c r="E1012" s="350">
        <v>29491005.127146244</v>
      </c>
      <c r="F1012" s="350">
        <v>39093737.401602067</v>
      </c>
      <c r="G1012" s="350">
        <v>48769858.652956605</v>
      </c>
      <c r="H1012" s="348">
        <v>147815317.22919565</v>
      </c>
      <c r="I1012" s="369"/>
      <c r="J1012" s="350">
        <v>11749305.160494221</v>
      </c>
      <c r="K1012" s="350">
        <v>23640214.480430115</v>
      </c>
      <c r="L1012" s="350">
        <v>35209840.369051144</v>
      </c>
      <c r="M1012" s="350">
        <v>46449625.084352151</v>
      </c>
      <c r="N1012" s="350">
        <v>57353767.176782325</v>
      </c>
      <c r="O1012" s="348">
        <v>174402752.27110994</v>
      </c>
      <c r="P1012" s="369"/>
      <c r="Q1012" s="350">
        <f t="shared" si="405"/>
        <v>1248739.3958701044</v>
      </c>
      <c r="R1012" s="350">
        <f t="shared" si="406"/>
        <v>3680064.197563488</v>
      </c>
      <c r="S1012" s="350">
        <f t="shared" si="407"/>
        <v>5718835.2419048995</v>
      </c>
      <c r="T1012" s="350">
        <f t="shared" si="408"/>
        <v>7355887.6827500835</v>
      </c>
      <c r="U1012" s="350">
        <f t="shared" si="409"/>
        <v>8583908.52382572</v>
      </c>
      <c r="V1012" s="350">
        <f t="shared" si="410"/>
        <v>26587435.041914284</v>
      </c>
      <c r="W1012" s="365"/>
      <c r="X1012" s="377">
        <f t="shared" si="388"/>
        <v>0</v>
      </c>
      <c r="Y1012" s="377">
        <f t="shared" si="389"/>
        <v>0</v>
      </c>
      <c r="Z1012" s="377">
        <f t="shared" si="390"/>
        <v>0</v>
      </c>
      <c r="AA1012" s="377">
        <f t="shared" si="391"/>
        <v>0</v>
      </c>
      <c r="AB1012" s="377">
        <f t="shared" si="392"/>
        <v>0</v>
      </c>
      <c r="AC1012" s="377">
        <f t="shared" si="393"/>
        <v>0</v>
      </c>
      <c r="AD1012" s="376"/>
      <c r="AE1012" s="332">
        <v>997</v>
      </c>
      <c r="AF1012" s="350">
        <v>5578586.4249905171</v>
      </c>
      <c r="AG1012" s="350">
        <v>11200982.451855991</v>
      </c>
      <c r="AH1012" s="350">
        <v>16865929.072449461</v>
      </c>
      <c r="AI1012" s="350">
        <v>22573614.120246064</v>
      </c>
      <c r="AJ1012" s="350">
        <v>28324860.723695412</v>
      </c>
      <c r="AK1012" s="348">
        <v>84543972.793237448</v>
      </c>
      <c r="AL1012" s="369"/>
      <c r="AM1012" s="350">
        <v>6525572.2436652677</v>
      </c>
      <c r="AN1012" s="350">
        <v>13995517.836988997</v>
      </c>
      <c r="AO1012" s="350">
        <v>21257228.178723127</v>
      </c>
      <c r="AP1012" s="350">
        <v>28306251.741999686</v>
      </c>
      <c r="AQ1012" s="350">
        <v>35140173.595077164</v>
      </c>
      <c r="AR1012" s="348">
        <v>105224743.59645423</v>
      </c>
      <c r="AS1012" s="369"/>
      <c r="AT1012" s="350">
        <f t="shared" si="411"/>
        <v>946985.81867475063</v>
      </c>
      <c r="AU1012" s="350">
        <f t="shared" si="394"/>
        <v>2794535.3851330057</v>
      </c>
      <c r="AV1012" s="350">
        <f t="shared" si="395"/>
        <v>4391299.106273666</v>
      </c>
      <c r="AW1012" s="350">
        <f t="shared" si="396"/>
        <v>5732637.6217536218</v>
      </c>
      <c r="AX1012" s="350">
        <f t="shared" si="397"/>
        <v>6815312.8713817522</v>
      </c>
      <c r="AY1012" s="350">
        <f t="shared" si="398"/>
        <v>20680770.803216785</v>
      </c>
      <c r="AZ1012" s="365"/>
      <c r="BA1012" s="377">
        <f t="shared" si="399"/>
        <v>0</v>
      </c>
      <c r="BB1012" s="377">
        <f t="shared" si="400"/>
        <v>0</v>
      </c>
      <c r="BC1012" s="377">
        <f t="shared" si="401"/>
        <v>0</v>
      </c>
      <c r="BD1012" s="377">
        <f t="shared" si="402"/>
        <v>0</v>
      </c>
      <c r="BE1012" s="377">
        <f t="shared" si="403"/>
        <v>0</v>
      </c>
      <c r="BF1012" s="377">
        <f t="shared" si="404"/>
        <v>0</v>
      </c>
      <c r="BG1012" s="328"/>
    </row>
    <row r="1013" spans="1:59">
      <c r="B1013" s="332">
        <v>998</v>
      </c>
      <c r="C1013" s="350">
        <v>8174269.1425721571</v>
      </c>
      <c r="D1013" s="350">
        <v>15638302.159500793</v>
      </c>
      <c r="E1013" s="350">
        <v>23158602.572552562</v>
      </c>
      <c r="F1013" s="350">
        <v>30735620.390915848</v>
      </c>
      <c r="G1013" s="350">
        <v>38370535.664354682</v>
      </c>
      <c r="H1013" s="348">
        <v>116077329.92989604</v>
      </c>
      <c r="I1013" s="369"/>
      <c r="J1013" s="350">
        <v>9097521.8535719216</v>
      </c>
      <c r="K1013" s="350">
        <v>18357979.366232309</v>
      </c>
      <c r="L1013" s="350">
        <v>27359601.568784505</v>
      </c>
      <c r="M1013" s="350">
        <v>36095754.010286301</v>
      </c>
      <c r="N1013" s="350">
        <v>44561918.326120742</v>
      </c>
      <c r="O1013" s="348">
        <v>135472775.12499577</v>
      </c>
      <c r="P1013" s="369"/>
      <c r="Q1013" s="350">
        <f t="shared" si="405"/>
        <v>923252.7109997645</v>
      </c>
      <c r="R1013" s="350">
        <f t="shared" si="406"/>
        <v>2719677.2067315169</v>
      </c>
      <c r="S1013" s="350">
        <f t="shared" si="407"/>
        <v>4200998.9962319434</v>
      </c>
      <c r="T1013" s="350">
        <f t="shared" si="408"/>
        <v>5360133.6193704531</v>
      </c>
      <c r="U1013" s="350">
        <f t="shared" si="409"/>
        <v>6191382.6617660597</v>
      </c>
      <c r="V1013" s="350">
        <f t="shared" si="410"/>
        <v>19395445.195099726</v>
      </c>
      <c r="W1013" s="365"/>
      <c r="X1013" s="377">
        <f t="shared" si="388"/>
        <v>0</v>
      </c>
      <c r="Y1013" s="377">
        <f t="shared" si="389"/>
        <v>0</v>
      </c>
      <c r="Z1013" s="377">
        <f t="shared" si="390"/>
        <v>0</v>
      </c>
      <c r="AA1013" s="377">
        <f t="shared" si="391"/>
        <v>0</v>
      </c>
      <c r="AB1013" s="377">
        <f t="shared" si="392"/>
        <v>0</v>
      </c>
      <c r="AC1013" s="377">
        <f t="shared" si="393"/>
        <v>0</v>
      </c>
      <c r="AD1013" s="376"/>
      <c r="AE1013" s="332">
        <v>998</v>
      </c>
      <c r="AF1013" s="350">
        <v>5214618.0580614619</v>
      </c>
      <c r="AG1013" s="350">
        <v>10470187.411603484</v>
      </c>
      <c r="AH1013" s="350">
        <v>15765531.194997709</v>
      </c>
      <c r="AI1013" s="350">
        <v>21100824.986743197</v>
      </c>
      <c r="AJ1013" s="350">
        <v>26476838.211233594</v>
      </c>
      <c r="AK1013" s="348">
        <v>79027999.862639457</v>
      </c>
      <c r="AL1013" s="369"/>
      <c r="AM1013" s="350">
        <v>6302744.9614471849</v>
      </c>
      <c r="AN1013" s="350">
        <v>13684215.728140216</v>
      </c>
      <c r="AO1013" s="350">
        <v>20877115.009248182</v>
      </c>
      <c r="AP1013" s="350">
        <v>27877224.317563377</v>
      </c>
      <c r="AQ1013" s="350">
        <v>34682491.797286704</v>
      </c>
      <c r="AR1013" s="348">
        <v>103423791.81368567</v>
      </c>
      <c r="AS1013" s="369"/>
      <c r="AT1013" s="350">
        <f t="shared" si="411"/>
        <v>1088126.903385723</v>
      </c>
      <c r="AU1013" s="350">
        <f t="shared" si="394"/>
        <v>3214028.316536732</v>
      </c>
      <c r="AV1013" s="350">
        <f t="shared" si="395"/>
        <v>5111583.8142504729</v>
      </c>
      <c r="AW1013" s="350">
        <f t="shared" si="396"/>
        <v>6776399.3308201805</v>
      </c>
      <c r="AX1013" s="350">
        <f t="shared" si="397"/>
        <v>8205653.5860531107</v>
      </c>
      <c r="AY1013" s="350">
        <f t="shared" si="398"/>
        <v>24395791.951046214</v>
      </c>
      <c r="AZ1013" s="365"/>
      <c r="BA1013" s="377">
        <f t="shared" si="399"/>
        <v>0</v>
      </c>
      <c r="BB1013" s="377">
        <f t="shared" si="400"/>
        <v>0</v>
      </c>
      <c r="BC1013" s="377">
        <f t="shared" si="401"/>
        <v>0</v>
      </c>
      <c r="BD1013" s="377">
        <f t="shared" si="402"/>
        <v>0</v>
      </c>
      <c r="BE1013" s="377">
        <f t="shared" si="403"/>
        <v>0</v>
      </c>
      <c r="BF1013" s="377">
        <f t="shared" si="404"/>
        <v>0</v>
      </c>
      <c r="BG1013" s="328"/>
    </row>
    <row r="1014" spans="1:59">
      <c r="B1014" s="332">
        <v>999</v>
      </c>
      <c r="C1014" s="350">
        <v>5249207.5231708763</v>
      </c>
      <c r="D1014" s="350">
        <v>9933575.5470061228</v>
      </c>
      <c r="E1014" s="350">
        <v>14653222.318514761</v>
      </c>
      <c r="F1014" s="350">
        <v>19408461.360567436</v>
      </c>
      <c r="G1014" s="350">
        <v>24200046.794892658</v>
      </c>
      <c r="H1014" s="348">
        <v>73444513.544151857</v>
      </c>
      <c r="I1014" s="369"/>
      <c r="J1014" s="350">
        <v>5991926.5290373135</v>
      </c>
      <c r="K1014" s="350">
        <v>12124710.698245373</v>
      </c>
      <c r="L1014" s="350">
        <v>18100210.630243875</v>
      </c>
      <c r="M1014" s="350">
        <v>23914243.551705636</v>
      </c>
      <c r="N1014" s="350">
        <v>29564148.38975215</v>
      </c>
      <c r="O1014" s="348">
        <v>89695239.798984349</v>
      </c>
      <c r="P1014" s="369"/>
      <c r="Q1014" s="350">
        <f t="shared" si="405"/>
        <v>742719.00586643722</v>
      </c>
      <c r="R1014" s="350">
        <f t="shared" si="406"/>
        <v>2191135.1512392499</v>
      </c>
      <c r="S1014" s="350">
        <f t="shared" si="407"/>
        <v>3446988.3117291145</v>
      </c>
      <c r="T1014" s="350">
        <f t="shared" si="408"/>
        <v>4505782.1911382005</v>
      </c>
      <c r="U1014" s="350">
        <f t="shared" si="409"/>
        <v>5364101.594859492</v>
      </c>
      <c r="V1014" s="350">
        <f t="shared" si="410"/>
        <v>16250726.254832491</v>
      </c>
      <c r="W1014" s="365"/>
      <c r="X1014" s="377">
        <f t="shared" si="388"/>
        <v>0</v>
      </c>
      <c r="Y1014" s="377">
        <f t="shared" si="389"/>
        <v>0</v>
      </c>
      <c r="Z1014" s="377">
        <f t="shared" si="390"/>
        <v>0</v>
      </c>
      <c r="AA1014" s="377">
        <f t="shared" si="391"/>
        <v>0</v>
      </c>
      <c r="AB1014" s="377">
        <f t="shared" si="392"/>
        <v>0</v>
      </c>
      <c r="AC1014" s="377">
        <f t="shared" si="393"/>
        <v>0</v>
      </c>
      <c r="AD1014" s="376"/>
      <c r="AE1014" s="332">
        <v>999</v>
      </c>
      <c r="AF1014" s="350">
        <v>4989861.1965398844</v>
      </c>
      <c r="AG1014" s="350">
        <v>10018908.634141199</v>
      </c>
      <c r="AH1014" s="350">
        <v>15086016.171624074</v>
      </c>
      <c r="AI1014" s="350">
        <v>20191351.819824517</v>
      </c>
      <c r="AJ1014" s="350">
        <v>25335651.839938033</v>
      </c>
      <c r="AK1014" s="348">
        <v>75621789.662067711</v>
      </c>
      <c r="AL1014" s="369"/>
      <c r="AM1014" s="350">
        <v>6271733.9744125502</v>
      </c>
      <c r="AN1014" s="350">
        <v>13808092.212141169</v>
      </c>
      <c r="AO1014" s="350">
        <v>21171214.052709088</v>
      </c>
      <c r="AP1014" s="350">
        <v>28356994.767734051</v>
      </c>
      <c r="AQ1014" s="350">
        <v>35363714.656631604</v>
      </c>
      <c r="AR1014" s="348">
        <v>104971749.66362846</v>
      </c>
      <c r="AS1014" s="369"/>
      <c r="AT1014" s="350">
        <f t="shared" si="411"/>
        <v>1281872.7778726658</v>
      </c>
      <c r="AU1014" s="350">
        <f t="shared" si="394"/>
        <v>3789183.5779999699</v>
      </c>
      <c r="AV1014" s="350">
        <f t="shared" si="395"/>
        <v>6085197.881085014</v>
      </c>
      <c r="AW1014" s="350">
        <f t="shared" si="396"/>
        <v>8165642.947909534</v>
      </c>
      <c r="AX1014" s="350">
        <f t="shared" si="397"/>
        <v>10028062.81669357</v>
      </c>
      <c r="AY1014" s="350">
        <f t="shared" si="398"/>
        <v>29349960.001560748</v>
      </c>
      <c r="AZ1014" s="365"/>
      <c r="BA1014" s="377">
        <f t="shared" si="399"/>
        <v>0</v>
      </c>
      <c r="BB1014" s="377">
        <f t="shared" si="400"/>
        <v>0</v>
      </c>
      <c r="BC1014" s="377">
        <f t="shared" si="401"/>
        <v>0</v>
      </c>
      <c r="BD1014" s="377">
        <f t="shared" si="402"/>
        <v>0</v>
      </c>
      <c r="BE1014" s="377">
        <f t="shared" si="403"/>
        <v>0</v>
      </c>
      <c r="BF1014" s="377">
        <f t="shared" si="404"/>
        <v>0</v>
      </c>
      <c r="BG1014" s="328"/>
    </row>
    <row r="1015" spans="1:59">
      <c r="B1015" s="332">
        <v>1000</v>
      </c>
      <c r="C1015" s="350">
        <v>6854879.650263533</v>
      </c>
      <c r="D1015" s="350">
        <v>12881639.345418017</v>
      </c>
      <c r="E1015" s="350">
        <v>18953758.418653328</v>
      </c>
      <c r="F1015" s="350">
        <v>25071666.721024267</v>
      </c>
      <c r="G1015" s="350">
        <v>31236346.004149809</v>
      </c>
      <c r="H1015" s="348">
        <v>94998290.139508963</v>
      </c>
      <c r="I1015" s="369"/>
      <c r="J1015" s="350">
        <v>7840207.0192196211</v>
      </c>
      <c r="K1015" s="350">
        <v>15788983.897965651</v>
      </c>
      <c r="L1015" s="350">
        <v>23543258.018243816</v>
      </c>
      <c r="M1015" s="350">
        <v>31097400.857122295</v>
      </c>
      <c r="N1015" s="350">
        <v>38447754.663681857</v>
      </c>
      <c r="O1015" s="348">
        <v>116717604.45623323</v>
      </c>
      <c r="P1015" s="369"/>
      <c r="Q1015" s="350">
        <f t="shared" si="405"/>
        <v>985327.36895608809</v>
      </c>
      <c r="R1015" s="350">
        <f t="shared" si="406"/>
        <v>2907344.5525476336</v>
      </c>
      <c r="S1015" s="350">
        <f t="shared" si="407"/>
        <v>4589499.5995904878</v>
      </c>
      <c r="T1015" s="350">
        <f t="shared" si="408"/>
        <v>6025734.1360980272</v>
      </c>
      <c r="U1015" s="350">
        <f t="shared" si="409"/>
        <v>7211408.6595320478</v>
      </c>
      <c r="V1015" s="350">
        <f t="shared" si="410"/>
        <v>21719314.316724271</v>
      </c>
      <c r="W1015" s="365"/>
      <c r="X1015" s="377">
        <f t="shared" si="388"/>
        <v>0</v>
      </c>
      <c r="Y1015" s="377">
        <f t="shared" si="389"/>
        <v>0</v>
      </c>
      <c r="Z1015" s="377">
        <f t="shared" si="390"/>
        <v>0</v>
      </c>
      <c r="AA1015" s="377">
        <f t="shared" si="391"/>
        <v>0</v>
      </c>
      <c r="AB1015" s="377">
        <f t="shared" si="392"/>
        <v>0</v>
      </c>
      <c r="AC1015" s="377">
        <f t="shared" si="393"/>
        <v>0</v>
      </c>
      <c r="AD1015" s="376"/>
      <c r="AE1015" s="332">
        <v>1000</v>
      </c>
      <c r="AF1015" s="350">
        <v>6409761.80216223</v>
      </c>
      <c r="AG1015" s="350">
        <v>12869860.569869725</v>
      </c>
      <c r="AH1015" s="350">
        <v>19378849.710434981</v>
      </c>
      <c r="AI1015" s="350">
        <v>25936945.043376133</v>
      </c>
      <c r="AJ1015" s="350">
        <v>32545092.338265009</v>
      </c>
      <c r="AK1015" s="348">
        <v>97140509.46410808</v>
      </c>
      <c r="AL1015" s="369"/>
      <c r="AM1015" s="350">
        <v>7475659.4051041985</v>
      </c>
      <c r="AN1015" s="350">
        <v>16014975.449672278</v>
      </c>
      <c r="AO1015" s="350">
        <v>24314366.061546244</v>
      </c>
      <c r="AP1015" s="350">
        <v>32368722.73775468</v>
      </c>
      <c r="AQ1015" s="350">
        <v>40175248.269931167</v>
      </c>
      <c r="AR1015" s="348">
        <v>120348971.92400858</v>
      </c>
      <c r="AS1015" s="369"/>
      <c r="AT1015" s="350">
        <f t="shared" si="411"/>
        <v>1065897.6029419685</v>
      </c>
      <c r="AU1015" s="350">
        <f t="shared" si="394"/>
        <v>3145114.879802553</v>
      </c>
      <c r="AV1015" s="350">
        <f t="shared" si="395"/>
        <v>4935516.351111263</v>
      </c>
      <c r="AW1015" s="350">
        <f t="shared" si="396"/>
        <v>6431777.6943785474</v>
      </c>
      <c r="AX1015" s="350">
        <f t="shared" si="397"/>
        <v>7630155.9316661581</v>
      </c>
      <c r="AY1015" s="350">
        <f t="shared" si="398"/>
        <v>23208462.459900498</v>
      </c>
      <c r="AZ1015" s="365"/>
      <c r="BA1015" s="377">
        <f t="shared" si="399"/>
        <v>0</v>
      </c>
      <c r="BB1015" s="377">
        <f t="shared" si="400"/>
        <v>0</v>
      </c>
      <c r="BC1015" s="377">
        <f t="shared" si="401"/>
        <v>0</v>
      </c>
      <c r="BD1015" s="377">
        <f t="shared" si="402"/>
        <v>0</v>
      </c>
      <c r="BE1015" s="377">
        <f t="shared" si="403"/>
        <v>0</v>
      </c>
      <c r="BF1015" s="377">
        <f t="shared" si="404"/>
        <v>0</v>
      </c>
      <c r="BG1015" s="328"/>
    </row>
    <row r="1016" spans="1:59" s="328" customFormat="1">
      <c r="A1016" s="327"/>
      <c r="C1016" s="330"/>
      <c r="D1016" s="330"/>
      <c r="E1016" s="330"/>
      <c r="F1016" s="330"/>
      <c r="G1016" s="330"/>
      <c r="H1016" s="330"/>
      <c r="J1016" s="330"/>
      <c r="K1016" s="330"/>
      <c r="L1016" s="330"/>
      <c r="M1016" s="330"/>
      <c r="N1016" s="330"/>
      <c r="O1016" s="330"/>
      <c r="AF1016" s="330"/>
      <c r="AG1016" s="330"/>
      <c r="AH1016" s="330"/>
      <c r="AI1016" s="330"/>
      <c r="AJ1016" s="330"/>
      <c r="AK1016" s="330"/>
      <c r="AM1016" s="330"/>
      <c r="AN1016" s="330"/>
      <c r="AO1016" s="330"/>
      <c r="AP1016" s="330"/>
      <c r="AQ1016" s="330"/>
      <c r="AR1016" s="330"/>
    </row>
    <row r="1017" spans="1:59" s="328" customFormat="1">
      <c r="A1017" s="327"/>
      <c r="C1017" s="330"/>
      <c r="D1017" s="330"/>
      <c r="E1017" s="330"/>
      <c r="F1017" s="330"/>
      <c r="G1017" s="330"/>
      <c r="H1017" s="330"/>
      <c r="J1017" s="330"/>
      <c r="K1017" s="330"/>
      <c r="L1017" s="330"/>
      <c r="M1017" s="330"/>
      <c r="N1017" s="330"/>
      <c r="O1017" s="330"/>
      <c r="AF1017" s="330"/>
      <c r="AG1017" s="330"/>
      <c r="AH1017" s="330"/>
      <c r="AI1017" s="330"/>
      <c r="AJ1017" s="330"/>
      <c r="AK1017" s="330"/>
      <c r="AM1017" s="330"/>
      <c r="AN1017" s="330"/>
      <c r="AO1017" s="330"/>
      <c r="AP1017" s="330"/>
      <c r="AQ1017" s="330"/>
      <c r="AR1017" s="330"/>
    </row>
    <row r="1018" spans="1:59" s="329" customFormat="1">
      <c r="A1018" s="353"/>
      <c r="B1018" s="354"/>
      <c r="C1018" s="355"/>
      <c r="D1018" s="355"/>
      <c r="E1018" s="355"/>
      <c r="F1018" s="355"/>
      <c r="G1018" s="355"/>
      <c r="H1018" s="355"/>
      <c r="I1018" s="355"/>
      <c r="J1018" s="355"/>
      <c r="K1018" s="355"/>
      <c r="L1018" s="355"/>
      <c r="M1018" s="355"/>
      <c r="N1018" s="355"/>
      <c r="O1018" s="355"/>
    </row>
    <row r="1019" spans="1:59" s="329" customFormat="1">
      <c r="A1019" s="353"/>
      <c r="B1019" s="180"/>
      <c r="C1019" s="7"/>
      <c r="D1019" s="7"/>
      <c r="E1019" s="7"/>
      <c r="F1019" s="7"/>
      <c r="G1019" s="7"/>
      <c r="H1019" s="7"/>
      <c r="I1019" s="7"/>
      <c r="J1019" s="7"/>
      <c r="K1019" s="7"/>
      <c r="L1019" s="7"/>
      <c r="M1019" s="356"/>
      <c r="N1019" s="356"/>
      <c r="O1019" s="7"/>
    </row>
    <row r="1020" spans="1:59" s="329" customFormat="1">
      <c r="A1020" s="353"/>
      <c r="B1020" s="180"/>
      <c r="C1020" s="65"/>
      <c r="D1020" s="65"/>
      <c r="E1020" s="65"/>
      <c r="F1020" s="65"/>
      <c r="G1020" s="65"/>
      <c r="H1020" s="65"/>
      <c r="I1020" s="65"/>
      <c r="J1020" s="65"/>
      <c r="K1020" s="65"/>
      <c r="L1020" s="65"/>
      <c r="M1020" s="65"/>
      <c r="N1020" s="65"/>
      <c r="O1020" s="180"/>
    </row>
    <row r="1021" spans="1:59" s="329" customFormat="1">
      <c r="A1021" s="353"/>
      <c r="B1021" s="180"/>
      <c r="C1021" s="495" t="s">
        <v>77</v>
      </c>
      <c r="D1021" s="495"/>
      <c r="E1021" s="495"/>
      <c r="F1021" s="495"/>
      <c r="G1021" s="495"/>
      <c r="H1021" s="495"/>
      <c r="I1021" s="495"/>
      <c r="J1021" s="495"/>
      <c r="K1021" s="495"/>
      <c r="L1021" s="495"/>
      <c r="M1021" s="495"/>
      <c r="N1021" s="495"/>
      <c r="O1021" s="180"/>
    </row>
    <row r="1022" spans="1:59" s="329" customFormat="1">
      <c r="A1022" s="353"/>
      <c r="B1022" s="180"/>
      <c r="C1022" s="495"/>
      <c r="D1022" s="495"/>
      <c r="E1022" s="495"/>
      <c r="F1022" s="495"/>
      <c r="G1022" s="495"/>
      <c r="H1022" s="495"/>
      <c r="I1022" s="495"/>
      <c r="J1022" s="495"/>
      <c r="K1022" s="495"/>
      <c r="L1022" s="495"/>
      <c r="M1022" s="495"/>
      <c r="N1022" s="495"/>
      <c r="O1022" s="180"/>
    </row>
    <row r="1023" spans="1:59" s="329" customFormat="1" ht="81" customHeight="1">
      <c r="A1023" s="353"/>
      <c r="B1023" s="355"/>
      <c r="C1023" s="496" t="e" vm="1">
        <v>#VALUE!</v>
      </c>
      <c r="D1023" s="496"/>
      <c r="E1023" s="496"/>
      <c r="F1023" s="496"/>
      <c r="G1023" s="496"/>
      <c r="H1023" s="496"/>
      <c r="I1023" s="496"/>
      <c r="J1023" s="496"/>
      <c r="K1023" s="496"/>
      <c r="L1023" s="496"/>
      <c r="M1023" s="496"/>
      <c r="N1023" s="496"/>
      <c r="O1023" s="355"/>
    </row>
    <row r="1024" spans="1:59" s="329" customFormat="1">
      <c r="A1024" s="353"/>
      <c r="B1024" s="354"/>
      <c r="C1024" s="355"/>
      <c r="D1024" s="355"/>
      <c r="E1024" s="355"/>
      <c r="F1024" s="355"/>
      <c r="G1024" s="355"/>
      <c r="H1024" s="355"/>
      <c r="I1024" s="355"/>
      <c r="J1024" s="355"/>
      <c r="K1024" s="355"/>
      <c r="L1024" s="355"/>
      <c r="M1024" s="355"/>
      <c r="N1024" s="355"/>
      <c r="O1024" s="355"/>
    </row>
    <row r="1025" spans="1:30" s="329" customFormat="1">
      <c r="A1025" s="353"/>
      <c r="B1025" s="354"/>
      <c r="C1025" s="355"/>
      <c r="D1025" s="355"/>
      <c r="E1025" s="355"/>
      <c r="F1025" s="355"/>
      <c r="G1025" s="355"/>
      <c r="H1025" s="355"/>
      <c r="I1025" s="355"/>
      <c r="J1025" s="355"/>
      <c r="K1025" s="355"/>
      <c r="L1025" s="355"/>
      <c r="M1025" s="355"/>
      <c r="N1025" s="355"/>
      <c r="O1025" s="355"/>
    </row>
    <row r="1026" spans="1:30" s="329" customFormat="1" hidden="1">
      <c r="A1026" s="353"/>
      <c r="B1026" s="354"/>
      <c r="C1026" s="355"/>
      <c r="D1026" s="355"/>
      <c r="E1026" s="355"/>
      <c r="F1026" s="355"/>
      <c r="G1026" s="355"/>
      <c r="H1026" s="355"/>
      <c r="I1026" s="355"/>
      <c r="J1026" s="355"/>
      <c r="K1026" s="355"/>
      <c r="L1026" s="355"/>
      <c r="M1026" s="355"/>
      <c r="N1026" s="355"/>
      <c r="O1026" s="355"/>
      <c r="AD1026" s="328"/>
    </row>
    <row r="1027" spans="1:30" s="329" customFormat="1" hidden="1">
      <c r="A1027" s="353"/>
      <c r="B1027" s="354"/>
      <c r="C1027" s="355"/>
      <c r="D1027" s="355"/>
      <c r="E1027" s="355"/>
      <c r="F1027" s="355"/>
      <c r="G1027" s="355"/>
      <c r="H1027" s="355"/>
      <c r="I1027" s="355"/>
      <c r="J1027" s="355"/>
      <c r="K1027" s="355"/>
      <c r="L1027" s="355"/>
      <c r="M1027" s="355"/>
      <c r="N1027" s="355"/>
      <c r="O1027" s="355"/>
      <c r="AD1027" s="328"/>
    </row>
    <row r="1028" spans="1:30" s="329" customFormat="1" hidden="1">
      <c r="A1028" s="353"/>
      <c r="C1028" s="331"/>
      <c r="D1028" s="331"/>
      <c r="E1028" s="331"/>
      <c r="F1028" s="331"/>
      <c r="G1028" s="331"/>
      <c r="H1028" s="331"/>
      <c r="J1028" s="331"/>
      <c r="K1028" s="331"/>
      <c r="L1028" s="331"/>
      <c r="M1028" s="331"/>
      <c r="N1028" s="331"/>
      <c r="O1028" s="331"/>
      <c r="AD1028" s="328"/>
    </row>
    <row r="1029" spans="1:30" s="329" customFormat="1" hidden="1">
      <c r="A1029" s="353"/>
      <c r="C1029" s="331"/>
      <c r="D1029" s="331"/>
      <c r="E1029" s="331"/>
      <c r="F1029" s="331"/>
      <c r="G1029" s="331"/>
      <c r="H1029" s="331"/>
      <c r="J1029" s="331"/>
      <c r="K1029" s="331"/>
      <c r="L1029" s="331"/>
      <c r="M1029" s="331"/>
      <c r="N1029" s="331"/>
      <c r="O1029" s="331"/>
      <c r="AD1029" s="328"/>
    </row>
  </sheetData>
  <mergeCells count="8">
    <mergeCell ref="C1021:N1022"/>
    <mergeCell ref="C1023:N1023"/>
    <mergeCell ref="AF3:AK3"/>
    <mergeCell ref="AM3:AR3"/>
    <mergeCell ref="AT3:AY3"/>
    <mergeCell ref="C3:H3"/>
    <mergeCell ref="J3:O3"/>
    <mergeCell ref="Q3:V3"/>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CD73C-6543-465E-B7EE-32F91E4B6F12}">
  <sheetPr codeName="Planilha2">
    <tabColor rgb="FFDDCFAD"/>
  </sheetPr>
  <dimension ref="B1:AX170"/>
  <sheetViews>
    <sheetView showGridLines="0" showRowColHeaders="0" zoomScaleNormal="100" workbookViewId="0">
      <selection activeCell="S18" sqref="S18"/>
    </sheetView>
  </sheetViews>
  <sheetFormatPr defaultColWidth="8.77734375" defaultRowHeight="14.4"/>
  <cols>
    <col min="2" max="2" width="15" customWidth="1"/>
    <col min="3" max="16" width="13.44140625" customWidth="1"/>
    <col min="18" max="18" width="15.33203125" customWidth="1"/>
    <col min="19" max="32" width="13.44140625" customWidth="1"/>
    <col min="36" max="36" width="11.77734375" customWidth="1"/>
    <col min="37" max="50" width="18.33203125" customWidth="1"/>
  </cols>
  <sheetData>
    <row r="1" spans="2:50" s="130" customFormat="1" ht="33.6">
      <c r="B1" s="128" t="str">
        <f>Introduction!$B$1</f>
        <v>Budget impact analysis of treatments for Advanced cancer</v>
      </c>
      <c r="C1" s="128"/>
      <c r="D1" s="129"/>
      <c r="E1" s="127"/>
      <c r="F1" s="127"/>
      <c r="G1" s="127"/>
      <c r="H1" s="127"/>
      <c r="I1" s="127"/>
      <c r="J1" s="127"/>
      <c r="K1" s="127"/>
      <c r="L1" s="127"/>
      <c r="M1" s="217"/>
      <c r="N1" s="217"/>
      <c r="O1" s="127"/>
      <c r="P1" s="127"/>
      <c r="Q1" s="127"/>
      <c r="R1" s="127"/>
      <c r="S1" s="127"/>
      <c r="T1" s="127"/>
      <c r="U1" s="127"/>
      <c r="V1" s="127"/>
      <c r="W1" s="127"/>
      <c r="X1" s="127"/>
      <c r="Y1" s="127"/>
      <c r="Z1" s="127"/>
      <c r="AA1" s="127"/>
      <c r="AB1" s="127"/>
      <c r="AC1" s="127"/>
      <c r="AD1" s="127"/>
      <c r="AE1" s="127"/>
      <c r="AF1" s="127"/>
      <c r="AG1" s="127"/>
      <c r="AH1" s="127"/>
      <c r="AI1" s="127"/>
      <c r="AJ1" s="127"/>
      <c r="AK1" s="127"/>
      <c r="AL1" s="129"/>
      <c r="AM1" s="129"/>
      <c r="AN1" s="129"/>
      <c r="AO1" s="129"/>
      <c r="AP1" s="129"/>
      <c r="AQ1" s="127"/>
      <c r="AR1" s="127"/>
      <c r="AS1" s="129"/>
      <c r="AT1" s="129"/>
      <c r="AU1" s="129"/>
      <c r="AV1" s="129"/>
      <c r="AW1" s="129"/>
      <c r="AX1" s="129"/>
    </row>
    <row r="2" spans="2:50" s="130" customFormat="1" ht="18">
      <c r="B2" s="131"/>
      <c r="C2" s="131"/>
      <c r="D2" s="132"/>
      <c r="E2" s="133"/>
      <c r="F2" s="133"/>
      <c r="G2" s="133"/>
      <c r="H2" s="133"/>
      <c r="I2" s="133"/>
      <c r="J2" s="133"/>
      <c r="K2" s="133"/>
      <c r="L2" s="133"/>
      <c r="M2" s="217"/>
      <c r="N2" s="217"/>
      <c r="O2" s="127"/>
      <c r="P2" s="127"/>
      <c r="Q2" s="127"/>
      <c r="R2" s="127"/>
      <c r="S2" s="127"/>
      <c r="T2" s="127"/>
      <c r="U2" s="127"/>
      <c r="V2" s="127"/>
      <c r="W2" s="127"/>
      <c r="X2" s="127"/>
      <c r="Y2" s="127"/>
      <c r="Z2" s="127"/>
      <c r="AA2" s="127"/>
      <c r="AB2" s="127"/>
      <c r="AC2" s="127"/>
      <c r="AD2" s="127"/>
      <c r="AE2" s="127"/>
      <c r="AF2" s="127"/>
      <c r="AG2" s="127"/>
      <c r="AH2" s="127"/>
      <c r="AI2" s="127"/>
      <c r="AJ2" s="127"/>
      <c r="AK2" s="127"/>
      <c r="AL2" s="129"/>
      <c r="AM2" s="129"/>
      <c r="AN2" s="129"/>
      <c r="AO2" s="129"/>
      <c r="AP2" s="129"/>
      <c r="AQ2" s="127"/>
      <c r="AR2" s="127"/>
      <c r="AS2" s="129"/>
      <c r="AT2" s="129"/>
      <c r="AU2" s="129"/>
      <c r="AV2" s="129"/>
      <c r="AW2" s="129"/>
      <c r="AX2" s="129"/>
    </row>
    <row r="3" spans="2:50" s="134" customFormat="1" ht="2.25" customHeight="1">
      <c r="D3" s="135"/>
      <c r="M3" s="218"/>
      <c r="N3" s="218"/>
      <c r="AL3" s="135"/>
      <c r="AM3" s="135"/>
      <c r="AN3" s="135"/>
      <c r="AO3" s="135"/>
      <c r="AP3" s="135"/>
      <c r="AS3" s="135"/>
      <c r="AT3" s="135"/>
      <c r="AU3" s="135"/>
      <c r="AV3" s="135"/>
      <c r="AW3" s="135"/>
      <c r="AX3" s="135"/>
    </row>
    <row r="4" spans="2:50" s="3" customFormat="1">
      <c r="B4" s="9"/>
      <c r="C4" s="9"/>
      <c r="D4" s="9"/>
      <c r="E4" s="9"/>
      <c r="F4" s="9"/>
      <c r="G4" s="9"/>
      <c r="H4" s="9"/>
      <c r="I4" s="9"/>
      <c r="J4" s="9"/>
      <c r="K4" s="9"/>
      <c r="L4" s="9"/>
      <c r="M4" s="4"/>
      <c r="N4" s="4"/>
      <c r="O4" s="9"/>
      <c r="P4" s="9"/>
      <c r="Q4" s="9"/>
      <c r="R4" s="9"/>
      <c r="S4" s="9"/>
      <c r="T4" s="9"/>
      <c r="U4" s="9"/>
      <c r="V4" s="9"/>
      <c r="W4" s="9"/>
      <c r="X4" s="9"/>
      <c r="Y4" s="9"/>
      <c r="Z4" s="9"/>
      <c r="AA4" s="9"/>
      <c r="AB4" s="9"/>
      <c r="AC4" s="9"/>
      <c r="AD4" s="9"/>
      <c r="AE4" s="9"/>
      <c r="AF4" s="9"/>
      <c r="AG4" s="9"/>
      <c r="AH4" s="9"/>
      <c r="AI4" s="9"/>
      <c r="AJ4" s="9"/>
      <c r="AK4" s="9"/>
      <c r="AL4" s="11"/>
      <c r="AM4" s="11"/>
      <c r="AN4" s="11"/>
      <c r="AO4" s="11"/>
      <c r="AP4" s="11"/>
      <c r="AQ4" s="9"/>
      <c r="AR4" s="9"/>
      <c r="AS4" s="11"/>
      <c r="AT4" s="11"/>
      <c r="AU4" s="11"/>
      <c r="AV4" s="11"/>
      <c r="AW4" s="11"/>
      <c r="AX4" s="11"/>
    </row>
    <row r="5" spans="2:50" ht="15.6">
      <c r="B5" s="219" t="s">
        <v>266</v>
      </c>
      <c r="R5" s="219" t="s">
        <v>267</v>
      </c>
      <c r="AJ5" s="219" t="s">
        <v>273</v>
      </c>
    </row>
    <row r="6" spans="2:50" ht="15.6" hidden="1">
      <c r="B6" s="219"/>
      <c r="R6" s="219"/>
      <c r="AJ6" s="219"/>
    </row>
    <row r="7" spans="2:50" ht="15" customHeight="1">
      <c r="B7" s="500" t="s">
        <v>275</v>
      </c>
      <c r="C7" s="501"/>
      <c r="D7" s="501"/>
      <c r="E7" s="501"/>
      <c r="F7" s="501"/>
      <c r="G7" s="501"/>
      <c r="H7" s="501"/>
      <c r="I7" s="501"/>
      <c r="J7" s="501"/>
      <c r="K7" s="501"/>
      <c r="L7" s="501"/>
      <c r="M7" s="501"/>
      <c r="N7" s="501"/>
      <c r="O7" s="501"/>
      <c r="P7" s="502"/>
      <c r="R7" s="500" t="s">
        <v>274</v>
      </c>
      <c r="S7" s="501"/>
      <c r="T7" s="501"/>
      <c r="U7" s="501"/>
      <c r="V7" s="501"/>
      <c r="W7" s="501"/>
      <c r="X7" s="501"/>
      <c r="Y7" s="501"/>
      <c r="Z7" s="501"/>
      <c r="AA7" s="501"/>
      <c r="AB7" s="501"/>
      <c r="AC7" s="501"/>
      <c r="AD7" s="501"/>
      <c r="AE7" s="501"/>
      <c r="AF7" s="502"/>
      <c r="AJ7" s="500" t="s">
        <v>8</v>
      </c>
      <c r="AK7" s="501"/>
      <c r="AL7" s="501"/>
      <c r="AM7" s="501"/>
      <c r="AN7" s="501"/>
      <c r="AO7" s="501"/>
      <c r="AP7" s="501"/>
      <c r="AQ7" s="501"/>
      <c r="AR7" s="501"/>
      <c r="AS7" s="501"/>
      <c r="AT7" s="501"/>
      <c r="AU7" s="501"/>
      <c r="AV7" s="501"/>
      <c r="AW7" s="501"/>
      <c r="AX7" s="502"/>
    </row>
    <row r="8" spans="2:50" ht="16.5" customHeight="1">
      <c r="B8" s="499"/>
      <c r="C8" s="499" t="str">
        <f>IF(intervencao1=0,"Do not fill",intervencao1)</f>
        <v>Drug 1</v>
      </c>
      <c r="D8" s="499" t="str">
        <f>IF(intervencao2=0,"Do not fill",intervencao2)</f>
        <v>Drug 2</v>
      </c>
      <c r="E8" s="499" t="str">
        <f>IF(intervencao3=0,"Do not fill",intervencao3)</f>
        <v>Do not fill</v>
      </c>
      <c r="F8" s="499" t="str">
        <f>IF(intervencao4=0,"Do not fill",intervencao4)</f>
        <v>Do not fill</v>
      </c>
      <c r="G8" s="499" t="str">
        <f>IF(comparador1=0,"Do not fill",comparador1)</f>
        <v>BSC</v>
      </c>
      <c r="H8" s="499" t="str">
        <f>IF(comparador2=0,"Do not fill",comparador2)</f>
        <v>Do not fill</v>
      </c>
      <c r="I8" s="499" t="str">
        <f>IF(comparador3=0,"Do not fill",comparador3)</f>
        <v>Do not fill</v>
      </c>
      <c r="J8" s="499" t="str">
        <f>IF(comparador4=0,"Do not fill",comparador4)</f>
        <v>Do not fill</v>
      </c>
      <c r="K8" s="499" t="str">
        <f>IF(comparador5=0,"Do not fill",comparador5)</f>
        <v>Do not fill</v>
      </c>
      <c r="L8" s="499" t="str">
        <f>IF(comparador6=0,"Do not fill",comparador6)</f>
        <v>Do not fill</v>
      </c>
      <c r="M8" s="499" t="str">
        <f>IF(comparador7=0,"Do not fill",comparador7)</f>
        <v>Do not fill</v>
      </c>
      <c r="N8" s="499" t="str">
        <f>IF(comparador8=0,"Do not fill",comparador8)</f>
        <v>Do not fill</v>
      </c>
      <c r="O8" s="499" t="str">
        <f>IF(comparador9=0,"Do not fill",comparador9)</f>
        <v>Do not fill</v>
      </c>
      <c r="P8" s="499" t="str">
        <f>IF(comparador10=0,"Do not fill",comparador10)</f>
        <v>Do not fill</v>
      </c>
      <c r="R8" s="499"/>
      <c r="S8" s="499" t="str">
        <f>IF(intervencao1=0,"Do not fill",intervencao1)</f>
        <v>Drug 1</v>
      </c>
      <c r="T8" s="499" t="str">
        <f>IF(intervencao2=0,"Do not fill",intervencao2)</f>
        <v>Drug 2</v>
      </c>
      <c r="U8" s="499" t="str">
        <f>IF(intervencao3=0,"Do not fill",intervencao3)</f>
        <v>Do not fill</v>
      </c>
      <c r="V8" s="499" t="str">
        <f>IF(intervencao4=0,"Do not fill",intervencao4)</f>
        <v>Do not fill</v>
      </c>
      <c r="W8" s="499" t="str">
        <f>IF(comparador1=0,"Do not fill",comparador1)</f>
        <v>BSC</v>
      </c>
      <c r="X8" s="499" t="str">
        <f>IF(comparador2=0,"Do not fill",comparador2)</f>
        <v>Do not fill</v>
      </c>
      <c r="Y8" s="499" t="str">
        <f>IF(comparador3=0,"Do not fill",comparador3)</f>
        <v>Do not fill</v>
      </c>
      <c r="Z8" s="499" t="str">
        <f>IF(comparador4=0,"Do not fill",comparador4)</f>
        <v>Do not fill</v>
      </c>
      <c r="AA8" s="499" t="str">
        <f>IF(comparador5=0,"Do not fill",comparador5)</f>
        <v>Do not fill</v>
      </c>
      <c r="AB8" s="499" t="str">
        <f>IF(comparador6=0,"Do not fill",comparador6)</f>
        <v>Do not fill</v>
      </c>
      <c r="AC8" s="499" t="str">
        <f>IF(comparador7=0,"Do not fill",comparador7)</f>
        <v>Do not fill</v>
      </c>
      <c r="AD8" s="499" t="str">
        <f>IF(comparador8=0,"Do not fill",comparador8)</f>
        <v>Do not fill</v>
      </c>
      <c r="AE8" s="499" t="str">
        <f>IF(comparador9=0,"Do not fill",comparador9)</f>
        <v>Do not fill</v>
      </c>
      <c r="AF8" s="499" t="str">
        <f>IF(comparador10=0,"Do not fill",comparador10)</f>
        <v>Do not fill</v>
      </c>
      <c r="AJ8" s="220"/>
      <c r="AK8" s="221" t="str">
        <f>IF(intervencao1=0,"Do not fill",intervencao1)</f>
        <v>Drug 1</v>
      </c>
      <c r="AL8" s="221" t="str">
        <f>IF(intervencao2=0,"Do not fill",intervencao2)</f>
        <v>Drug 2</v>
      </c>
      <c r="AM8" s="221" t="str">
        <f>IF(intervencao3=0,"Do not fill",intervencao3)</f>
        <v>Do not fill</v>
      </c>
      <c r="AN8" s="221" t="str">
        <f>IF(intervencao4=0,"Do not fill",intervencao4)</f>
        <v>Do not fill</v>
      </c>
      <c r="AO8" s="221" t="str">
        <f>IF(comparador1=0,"Do not fill",comparador1)</f>
        <v>BSC</v>
      </c>
      <c r="AP8" s="221" t="str">
        <f>IF(comparador2=0,"Do not fill",comparador2)</f>
        <v>Do not fill</v>
      </c>
      <c r="AQ8" s="221" t="str">
        <f>IF(comparador3=0,"Do not fill",comparador3)</f>
        <v>Do not fill</v>
      </c>
      <c r="AR8" s="221" t="str">
        <f>IF(comparador4=0,"Do not fill",comparador4)</f>
        <v>Do not fill</v>
      </c>
      <c r="AS8" s="221" t="str">
        <f>IF(comparador5=0,"Do not fill",comparador5)</f>
        <v>Do not fill</v>
      </c>
      <c r="AT8" s="221" t="str">
        <f>IF(comparador6=0,"Do not fill",comparador6)</f>
        <v>Do not fill</v>
      </c>
      <c r="AU8" s="221" t="str">
        <f>IF(comparador7=0,"Do not fill",comparador7)</f>
        <v>Do not fill</v>
      </c>
      <c r="AV8" s="221" t="str">
        <f>IF(comparador8=0,"Do not fill",comparador8)</f>
        <v>Do not fill</v>
      </c>
      <c r="AW8" s="221" t="str">
        <f>IF(comparador9=0,"Do not fill",comparador9)</f>
        <v>Do not fill</v>
      </c>
      <c r="AX8" s="222" t="str">
        <f>IF(comparador10=0,"Do not fill",comparador10)</f>
        <v>Do not fill</v>
      </c>
    </row>
    <row r="9" spans="2:50">
      <c r="B9" s="469"/>
      <c r="C9" s="469"/>
      <c r="D9" s="469"/>
      <c r="E9" s="469"/>
      <c r="F9" s="469"/>
      <c r="G9" s="469"/>
      <c r="H9" s="469"/>
      <c r="I9" s="469"/>
      <c r="J9" s="469"/>
      <c r="K9" s="469"/>
      <c r="L9" s="469"/>
      <c r="M9" s="469"/>
      <c r="N9" s="469"/>
      <c r="O9" s="469"/>
      <c r="P9" s="469"/>
      <c r="R9" s="469"/>
      <c r="S9" s="469"/>
      <c r="T9" s="469"/>
      <c r="U9" s="469"/>
      <c r="V9" s="469"/>
      <c r="W9" s="469"/>
      <c r="X9" s="469"/>
      <c r="Y9" s="469"/>
      <c r="Z9" s="469"/>
      <c r="AA9" s="469"/>
      <c r="AB9" s="469"/>
      <c r="AC9" s="469"/>
      <c r="AD9" s="469"/>
      <c r="AE9" s="469"/>
      <c r="AF9" s="469"/>
      <c r="AJ9" s="220" t="s">
        <v>9</v>
      </c>
      <c r="AK9" s="223" t="e">
        <f>LN(2)/'Time on treatment'!$D$65</f>
        <v>#DIV/0!</v>
      </c>
      <c r="AL9" s="223" t="e">
        <f>LN(2)/'Time on treatment'!$D$66</f>
        <v>#DIV/0!</v>
      </c>
      <c r="AM9" s="223" t="e">
        <f>LN(2)/'Time on treatment'!$D$67</f>
        <v>#DIV/0!</v>
      </c>
      <c r="AN9" s="223" t="e">
        <f>LN(2)/'Time on treatment'!$D$68</f>
        <v>#DIV/0!</v>
      </c>
      <c r="AO9" s="223" t="e">
        <f>LN(2)/'Time on treatment'!$D$70</f>
        <v>#DIV/0!</v>
      </c>
      <c r="AP9" s="223" t="e">
        <f>LN(2)/'Time on treatment'!$D$71</f>
        <v>#DIV/0!</v>
      </c>
      <c r="AQ9" s="223" t="e">
        <f>LN(2)/'Time on treatment'!$D$72</f>
        <v>#DIV/0!</v>
      </c>
      <c r="AR9" s="223" t="e">
        <f>LN(2)/'Time on treatment'!$D$73</f>
        <v>#DIV/0!</v>
      </c>
      <c r="AS9" s="223" t="e">
        <f>LN(2)/'Time on treatment'!$D$74</f>
        <v>#DIV/0!</v>
      </c>
      <c r="AT9" s="223" t="e">
        <f>LN(2)/'Time on treatment'!$D$75</f>
        <v>#DIV/0!</v>
      </c>
      <c r="AU9" s="223" t="e">
        <f>LN(2)/'Time on treatment'!$D$75</f>
        <v>#DIV/0!</v>
      </c>
      <c r="AV9" s="223" t="e">
        <f>LN(2)/'Time on treatment'!$D$76</f>
        <v>#DIV/0!</v>
      </c>
      <c r="AW9" s="223" t="e">
        <f>LN(2)/'Time on treatment'!$D$78</f>
        <v>#DIV/0!</v>
      </c>
      <c r="AX9" s="223" t="e">
        <f>LN(2)/'Time on treatment'!$D$79</f>
        <v>#DIV/0!</v>
      </c>
    </row>
    <row r="10" spans="2:50">
      <c r="B10" s="224">
        <v>0</v>
      </c>
      <c r="C10" s="68"/>
      <c r="D10" s="68"/>
      <c r="E10" s="68"/>
      <c r="F10" s="68"/>
      <c r="G10" s="68"/>
      <c r="H10" s="68"/>
      <c r="I10" s="68"/>
      <c r="J10" s="68"/>
      <c r="K10" s="68"/>
      <c r="L10" s="68"/>
      <c r="M10" s="68"/>
      <c r="N10" s="68"/>
      <c r="O10" s="68"/>
      <c r="P10" s="69"/>
      <c r="R10" s="224">
        <v>0</v>
      </c>
      <c r="S10" s="68"/>
      <c r="T10" s="68"/>
      <c r="U10" s="68"/>
      <c r="V10" s="68"/>
      <c r="W10" s="68"/>
      <c r="X10" s="68"/>
      <c r="Y10" s="68"/>
      <c r="Z10" s="68"/>
      <c r="AA10" s="68"/>
      <c r="AB10" s="68"/>
      <c r="AC10" s="68"/>
      <c r="AD10" s="68"/>
      <c r="AE10" s="68"/>
      <c r="AF10" s="69"/>
      <c r="AJ10" s="224">
        <v>0</v>
      </c>
      <c r="AK10" s="225" t="e">
        <f t="shared" ref="AK10:AX19" si="0">EXP(-AK$9*$AJ10)</f>
        <v>#DIV/0!</v>
      </c>
      <c r="AL10" s="225" t="e">
        <f t="shared" si="0"/>
        <v>#DIV/0!</v>
      </c>
      <c r="AM10" s="225" t="e">
        <f t="shared" si="0"/>
        <v>#DIV/0!</v>
      </c>
      <c r="AN10" s="225" t="e">
        <f t="shared" si="0"/>
        <v>#DIV/0!</v>
      </c>
      <c r="AO10" s="225" t="e">
        <f t="shared" si="0"/>
        <v>#DIV/0!</v>
      </c>
      <c r="AP10" s="225" t="e">
        <f t="shared" si="0"/>
        <v>#DIV/0!</v>
      </c>
      <c r="AQ10" s="225" t="e">
        <f t="shared" si="0"/>
        <v>#DIV/0!</v>
      </c>
      <c r="AR10" s="225" t="e">
        <f t="shared" si="0"/>
        <v>#DIV/0!</v>
      </c>
      <c r="AS10" s="225" t="e">
        <f t="shared" si="0"/>
        <v>#DIV/0!</v>
      </c>
      <c r="AT10" s="225" t="e">
        <f t="shared" si="0"/>
        <v>#DIV/0!</v>
      </c>
      <c r="AU10" s="225" t="e">
        <f t="shared" si="0"/>
        <v>#DIV/0!</v>
      </c>
      <c r="AV10" s="225" t="e">
        <f t="shared" si="0"/>
        <v>#DIV/0!</v>
      </c>
      <c r="AW10" s="225" t="e">
        <f t="shared" si="0"/>
        <v>#DIV/0!</v>
      </c>
      <c r="AX10" s="226" t="e">
        <f t="shared" si="0"/>
        <v>#DIV/0!</v>
      </c>
    </row>
    <row r="11" spans="2:50">
      <c r="B11" s="220">
        <v>1</v>
      </c>
      <c r="C11" s="61"/>
      <c r="D11" s="61"/>
      <c r="E11" s="61"/>
      <c r="F11" s="61"/>
      <c r="G11" s="61"/>
      <c r="H11" s="61"/>
      <c r="I11" s="61"/>
      <c r="J11" s="61"/>
      <c r="K11" s="61"/>
      <c r="L11" s="61"/>
      <c r="M11" s="61"/>
      <c r="N11" s="61"/>
      <c r="O11" s="61"/>
      <c r="P11" s="70"/>
      <c r="R11" s="220">
        <v>1</v>
      </c>
      <c r="S11" s="61"/>
      <c r="T11" s="61"/>
      <c r="U11" s="61"/>
      <c r="V11" s="61"/>
      <c r="W11" s="61"/>
      <c r="X11" s="61"/>
      <c r="Y11" s="61"/>
      <c r="Z11" s="61"/>
      <c r="AA11" s="61"/>
      <c r="AB11" s="61"/>
      <c r="AC11" s="61"/>
      <c r="AD11" s="61"/>
      <c r="AE11" s="61"/>
      <c r="AF11" s="70"/>
      <c r="AJ11" s="220">
        <v>1</v>
      </c>
      <c r="AK11" s="227" t="e">
        <f t="shared" si="0"/>
        <v>#DIV/0!</v>
      </c>
      <c r="AL11" s="227" t="e">
        <f t="shared" si="0"/>
        <v>#DIV/0!</v>
      </c>
      <c r="AM11" s="227" t="e">
        <f t="shared" si="0"/>
        <v>#DIV/0!</v>
      </c>
      <c r="AN11" s="227" t="e">
        <f t="shared" si="0"/>
        <v>#DIV/0!</v>
      </c>
      <c r="AO11" s="227" t="e">
        <f t="shared" si="0"/>
        <v>#DIV/0!</v>
      </c>
      <c r="AP11" s="227" t="e">
        <f t="shared" si="0"/>
        <v>#DIV/0!</v>
      </c>
      <c r="AQ11" s="227" t="e">
        <f t="shared" si="0"/>
        <v>#DIV/0!</v>
      </c>
      <c r="AR11" s="227" t="e">
        <f t="shared" si="0"/>
        <v>#DIV/0!</v>
      </c>
      <c r="AS11" s="227" t="e">
        <f t="shared" si="0"/>
        <v>#DIV/0!</v>
      </c>
      <c r="AT11" s="227" t="e">
        <f t="shared" si="0"/>
        <v>#DIV/0!</v>
      </c>
      <c r="AU11" s="227" t="e">
        <f t="shared" si="0"/>
        <v>#DIV/0!</v>
      </c>
      <c r="AV11" s="227" t="e">
        <f t="shared" si="0"/>
        <v>#DIV/0!</v>
      </c>
      <c r="AW11" s="227" t="e">
        <f t="shared" si="0"/>
        <v>#DIV/0!</v>
      </c>
      <c r="AX11" s="228" t="e">
        <f t="shared" si="0"/>
        <v>#DIV/0!</v>
      </c>
    </row>
    <row r="12" spans="2:50">
      <c r="B12" s="220">
        <v>2</v>
      </c>
      <c r="C12" s="61"/>
      <c r="D12" s="61"/>
      <c r="E12" s="61"/>
      <c r="F12" s="61"/>
      <c r="G12" s="61"/>
      <c r="H12" s="61"/>
      <c r="I12" s="61"/>
      <c r="J12" s="61"/>
      <c r="K12" s="61"/>
      <c r="L12" s="61"/>
      <c r="M12" s="61"/>
      <c r="N12" s="61"/>
      <c r="O12" s="61"/>
      <c r="P12" s="70"/>
      <c r="R12" s="220">
        <v>2</v>
      </c>
      <c r="S12" s="61"/>
      <c r="T12" s="61"/>
      <c r="U12" s="61"/>
      <c r="V12" s="61"/>
      <c r="W12" s="61"/>
      <c r="X12" s="61"/>
      <c r="Y12" s="61"/>
      <c r="Z12" s="61"/>
      <c r="AA12" s="61"/>
      <c r="AB12" s="61"/>
      <c r="AC12" s="61"/>
      <c r="AD12" s="61"/>
      <c r="AE12" s="61"/>
      <c r="AF12" s="70"/>
      <c r="AJ12" s="220">
        <v>2</v>
      </c>
      <c r="AK12" s="227" t="e">
        <f t="shared" si="0"/>
        <v>#DIV/0!</v>
      </c>
      <c r="AL12" s="227" t="e">
        <f t="shared" si="0"/>
        <v>#DIV/0!</v>
      </c>
      <c r="AM12" s="227" t="e">
        <f t="shared" si="0"/>
        <v>#DIV/0!</v>
      </c>
      <c r="AN12" s="227" t="e">
        <f t="shared" si="0"/>
        <v>#DIV/0!</v>
      </c>
      <c r="AO12" s="227" t="e">
        <f t="shared" si="0"/>
        <v>#DIV/0!</v>
      </c>
      <c r="AP12" s="227" t="e">
        <f t="shared" si="0"/>
        <v>#DIV/0!</v>
      </c>
      <c r="AQ12" s="227" t="e">
        <f t="shared" si="0"/>
        <v>#DIV/0!</v>
      </c>
      <c r="AR12" s="227" t="e">
        <f t="shared" si="0"/>
        <v>#DIV/0!</v>
      </c>
      <c r="AS12" s="227" t="e">
        <f t="shared" si="0"/>
        <v>#DIV/0!</v>
      </c>
      <c r="AT12" s="227" t="e">
        <f t="shared" si="0"/>
        <v>#DIV/0!</v>
      </c>
      <c r="AU12" s="227" t="e">
        <f t="shared" si="0"/>
        <v>#DIV/0!</v>
      </c>
      <c r="AV12" s="227" t="e">
        <f t="shared" si="0"/>
        <v>#DIV/0!</v>
      </c>
      <c r="AW12" s="227" t="e">
        <f t="shared" si="0"/>
        <v>#DIV/0!</v>
      </c>
      <c r="AX12" s="228" t="e">
        <f t="shared" si="0"/>
        <v>#DIV/0!</v>
      </c>
    </row>
    <row r="13" spans="2:50">
      <c r="B13" s="220">
        <v>3</v>
      </c>
      <c r="C13" s="61"/>
      <c r="D13" s="61"/>
      <c r="E13" s="61"/>
      <c r="F13" s="61"/>
      <c r="G13" s="61"/>
      <c r="H13" s="61"/>
      <c r="I13" s="61"/>
      <c r="J13" s="61"/>
      <c r="K13" s="61"/>
      <c r="L13" s="61"/>
      <c r="M13" s="61"/>
      <c r="N13" s="61"/>
      <c r="O13" s="61"/>
      <c r="P13" s="70"/>
      <c r="R13" s="220">
        <v>3</v>
      </c>
      <c r="S13" s="61"/>
      <c r="T13" s="61"/>
      <c r="U13" s="61"/>
      <c r="V13" s="61"/>
      <c r="W13" s="61"/>
      <c r="X13" s="61"/>
      <c r="Y13" s="61"/>
      <c r="Z13" s="61"/>
      <c r="AA13" s="61"/>
      <c r="AB13" s="61"/>
      <c r="AC13" s="61"/>
      <c r="AD13" s="61"/>
      <c r="AE13" s="61"/>
      <c r="AF13" s="70"/>
      <c r="AJ13" s="220">
        <v>3</v>
      </c>
      <c r="AK13" s="227" t="e">
        <f t="shared" si="0"/>
        <v>#DIV/0!</v>
      </c>
      <c r="AL13" s="227" t="e">
        <f t="shared" si="0"/>
        <v>#DIV/0!</v>
      </c>
      <c r="AM13" s="227" t="e">
        <f t="shared" si="0"/>
        <v>#DIV/0!</v>
      </c>
      <c r="AN13" s="227" t="e">
        <f t="shared" si="0"/>
        <v>#DIV/0!</v>
      </c>
      <c r="AO13" s="227" t="e">
        <f t="shared" si="0"/>
        <v>#DIV/0!</v>
      </c>
      <c r="AP13" s="227" t="e">
        <f t="shared" si="0"/>
        <v>#DIV/0!</v>
      </c>
      <c r="AQ13" s="227" t="e">
        <f t="shared" si="0"/>
        <v>#DIV/0!</v>
      </c>
      <c r="AR13" s="227" t="e">
        <f t="shared" si="0"/>
        <v>#DIV/0!</v>
      </c>
      <c r="AS13" s="227" t="e">
        <f t="shared" si="0"/>
        <v>#DIV/0!</v>
      </c>
      <c r="AT13" s="227" t="e">
        <f t="shared" si="0"/>
        <v>#DIV/0!</v>
      </c>
      <c r="AU13" s="227" t="e">
        <f t="shared" si="0"/>
        <v>#DIV/0!</v>
      </c>
      <c r="AV13" s="227" t="e">
        <f t="shared" si="0"/>
        <v>#DIV/0!</v>
      </c>
      <c r="AW13" s="227" t="e">
        <f t="shared" si="0"/>
        <v>#DIV/0!</v>
      </c>
      <c r="AX13" s="228" t="e">
        <f t="shared" si="0"/>
        <v>#DIV/0!</v>
      </c>
    </row>
    <row r="14" spans="2:50">
      <c r="B14" s="220">
        <v>4</v>
      </c>
      <c r="C14" s="61"/>
      <c r="D14" s="61"/>
      <c r="E14" s="61"/>
      <c r="F14" s="61"/>
      <c r="G14" s="61"/>
      <c r="H14" s="61"/>
      <c r="I14" s="61"/>
      <c r="J14" s="61"/>
      <c r="K14" s="61"/>
      <c r="L14" s="61"/>
      <c r="M14" s="61"/>
      <c r="N14" s="61"/>
      <c r="O14" s="61"/>
      <c r="P14" s="70"/>
      <c r="R14" s="220">
        <v>4</v>
      </c>
      <c r="S14" s="61"/>
      <c r="T14" s="61"/>
      <c r="U14" s="61"/>
      <c r="V14" s="61"/>
      <c r="W14" s="61"/>
      <c r="X14" s="61"/>
      <c r="Y14" s="61"/>
      <c r="Z14" s="61"/>
      <c r="AA14" s="61"/>
      <c r="AB14" s="61"/>
      <c r="AC14" s="61"/>
      <c r="AD14" s="61"/>
      <c r="AE14" s="61"/>
      <c r="AF14" s="70"/>
      <c r="AJ14" s="220">
        <v>4</v>
      </c>
      <c r="AK14" s="227" t="e">
        <f t="shared" si="0"/>
        <v>#DIV/0!</v>
      </c>
      <c r="AL14" s="227" t="e">
        <f t="shared" si="0"/>
        <v>#DIV/0!</v>
      </c>
      <c r="AM14" s="227" t="e">
        <f t="shared" si="0"/>
        <v>#DIV/0!</v>
      </c>
      <c r="AN14" s="227" t="e">
        <f t="shared" si="0"/>
        <v>#DIV/0!</v>
      </c>
      <c r="AO14" s="227" t="e">
        <f t="shared" si="0"/>
        <v>#DIV/0!</v>
      </c>
      <c r="AP14" s="227" t="e">
        <f t="shared" si="0"/>
        <v>#DIV/0!</v>
      </c>
      <c r="AQ14" s="227" t="e">
        <f t="shared" si="0"/>
        <v>#DIV/0!</v>
      </c>
      <c r="AR14" s="227" t="e">
        <f t="shared" si="0"/>
        <v>#DIV/0!</v>
      </c>
      <c r="AS14" s="227" t="e">
        <f t="shared" si="0"/>
        <v>#DIV/0!</v>
      </c>
      <c r="AT14" s="227" t="e">
        <f t="shared" si="0"/>
        <v>#DIV/0!</v>
      </c>
      <c r="AU14" s="227" t="e">
        <f t="shared" si="0"/>
        <v>#DIV/0!</v>
      </c>
      <c r="AV14" s="227" t="e">
        <f t="shared" si="0"/>
        <v>#DIV/0!</v>
      </c>
      <c r="AW14" s="227" t="e">
        <f t="shared" si="0"/>
        <v>#DIV/0!</v>
      </c>
      <c r="AX14" s="228" t="e">
        <f t="shared" si="0"/>
        <v>#DIV/0!</v>
      </c>
    </row>
    <row r="15" spans="2:50">
      <c r="B15" s="220">
        <v>5</v>
      </c>
      <c r="C15" s="61"/>
      <c r="D15" s="61"/>
      <c r="E15" s="61"/>
      <c r="F15" s="61"/>
      <c r="G15" s="61"/>
      <c r="H15" s="61"/>
      <c r="I15" s="61"/>
      <c r="J15" s="61"/>
      <c r="K15" s="61"/>
      <c r="L15" s="61"/>
      <c r="M15" s="61"/>
      <c r="N15" s="61"/>
      <c r="O15" s="61"/>
      <c r="P15" s="70"/>
      <c r="R15" s="220">
        <v>5</v>
      </c>
      <c r="S15" s="61"/>
      <c r="T15" s="61"/>
      <c r="U15" s="61"/>
      <c r="V15" s="61"/>
      <c r="W15" s="61"/>
      <c r="X15" s="61"/>
      <c r="Y15" s="61"/>
      <c r="Z15" s="61"/>
      <c r="AA15" s="61"/>
      <c r="AB15" s="61"/>
      <c r="AC15" s="61"/>
      <c r="AD15" s="61"/>
      <c r="AE15" s="61"/>
      <c r="AF15" s="70"/>
      <c r="AJ15" s="220">
        <v>5</v>
      </c>
      <c r="AK15" s="227" t="e">
        <f t="shared" si="0"/>
        <v>#DIV/0!</v>
      </c>
      <c r="AL15" s="227" t="e">
        <f t="shared" si="0"/>
        <v>#DIV/0!</v>
      </c>
      <c r="AM15" s="227" t="e">
        <f t="shared" si="0"/>
        <v>#DIV/0!</v>
      </c>
      <c r="AN15" s="227" t="e">
        <f t="shared" si="0"/>
        <v>#DIV/0!</v>
      </c>
      <c r="AO15" s="227" t="e">
        <f t="shared" si="0"/>
        <v>#DIV/0!</v>
      </c>
      <c r="AP15" s="227" t="e">
        <f t="shared" si="0"/>
        <v>#DIV/0!</v>
      </c>
      <c r="AQ15" s="227" t="e">
        <f t="shared" si="0"/>
        <v>#DIV/0!</v>
      </c>
      <c r="AR15" s="227" t="e">
        <f t="shared" si="0"/>
        <v>#DIV/0!</v>
      </c>
      <c r="AS15" s="227" t="e">
        <f t="shared" si="0"/>
        <v>#DIV/0!</v>
      </c>
      <c r="AT15" s="227" t="e">
        <f t="shared" si="0"/>
        <v>#DIV/0!</v>
      </c>
      <c r="AU15" s="227" t="e">
        <f t="shared" si="0"/>
        <v>#DIV/0!</v>
      </c>
      <c r="AV15" s="227" t="e">
        <f t="shared" si="0"/>
        <v>#DIV/0!</v>
      </c>
      <c r="AW15" s="227" t="e">
        <f t="shared" si="0"/>
        <v>#DIV/0!</v>
      </c>
      <c r="AX15" s="228" t="e">
        <f t="shared" si="0"/>
        <v>#DIV/0!</v>
      </c>
    </row>
    <row r="16" spans="2:50">
      <c r="B16" s="220">
        <v>6</v>
      </c>
      <c r="C16" s="61"/>
      <c r="D16" s="61"/>
      <c r="E16" s="61"/>
      <c r="F16" s="61"/>
      <c r="G16" s="61"/>
      <c r="H16" s="61"/>
      <c r="I16" s="61"/>
      <c r="J16" s="61"/>
      <c r="K16" s="61"/>
      <c r="L16" s="61"/>
      <c r="M16" s="61"/>
      <c r="N16" s="61"/>
      <c r="O16" s="61"/>
      <c r="P16" s="70"/>
      <c r="R16" s="220">
        <v>6</v>
      </c>
      <c r="S16" s="61"/>
      <c r="T16" s="61"/>
      <c r="U16" s="61"/>
      <c r="V16" s="61"/>
      <c r="W16" s="61"/>
      <c r="X16" s="61"/>
      <c r="Y16" s="61"/>
      <c r="Z16" s="61"/>
      <c r="AA16" s="61"/>
      <c r="AB16" s="61"/>
      <c r="AC16" s="61"/>
      <c r="AD16" s="61"/>
      <c r="AE16" s="61"/>
      <c r="AF16" s="70"/>
      <c r="AJ16" s="220">
        <v>6</v>
      </c>
      <c r="AK16" s="227" t="e">
        <f t="shared" si="0"/>
        <v>#DIV/0!</v>
      </c>
      <c r="AL16" s="227" t="e">
        <f t="shared" si="0"/>
        <v>#DIV/0!</v>
      </c>
      <c r="AM16" s="227" t="e">
        <f t="shared" si="0"/>
        <v>#DIV/0!</v>
      </c>
      <c r="AN16" s="227" t="e">
        <f t="shared" si="0"/>
        <v>#DIV/0!</v>
      </c>
      <c r="AO16" s="227" t="e">
        <f t="shared" si="0"/>
        <v>#DIV/0!</v>
      </c>
      <c r="AP16" s="227" t="e">
        <f t="shared" si="0"/>
        <v>#DIV/0!</v>
      </c>
      <c r="AQ16" s="227" t="e">
        <f t="shared" si="0"/>
        <v>#DIV/0!</v>
      </c>
      <c r="AR16" s="227" t="e">
        <f t="shared" si="0"/>
        <v>#DIV/0!</v>
      </c>
      <c r="AS16" s="227" t="e">
        <f t="shared" si="0"/>
        <v>#DIV/0!</v>
      </c>
      <c r="AT16" s="227" t="e">
        <f t="shared" si="0"/>
        <v>#DIV/0!</v>
      </c>
      <c r="AU16" s="227" t="e">
        <f t="shared" si="0"/>
        <v>#DIV/0!</v>
      </c>
      <c r="AV16" s="227" t="e">
        <f t="shared" si="0"/>
        <v>#DIV/0!</v>
      </c>
      <c r="AW16" s="227" t="e">
        <f t="shared" si="0"/>
        <v>#DIV/0!</v>
      </c>
      <c r="AX16" s="228" t="e">
        <f t="shared" si="0"/>
        <v>#DIV/0!</v>
      </c>
    </row>
    <row r="17" spans="2:50">
      <c r="B17" s="220">
        <v>7</v>
      </c>
      <c r="C17" s="61"/>
      <c r="D17" s="61"/>
      <c r="E17" s="61"/>
      <c r="F17" s="61"/>
      <c r="G17" s="61"/>
      <c r="H17" s="61"/>
      <c r="I17" s="61"/>
      <c r="J17" s="61"/>
      <c r="K17" s="61"/>
      <c r="L17" s="61"/>
      <c r="M17" s="61"/>
      <c r="N17" s="61"/>
      <c r="O17" s="61"/>
      <c r="P17" s="70"/>
      <c r="R17" s="220">
        <v>7</v>
      </c>
      <c r="S17" s="61"/>
      <c r="T17" s="61"/>
      <c r="U17" s="61"/>
      <c r="V17" s="61"/>
      <c r="W17" s="61"/>
      <c r="X17" s="61"/>
      <c r="Y17" s="61"/>
      <c r="Z17" s="61"/>
      <c r="AA17" s="61"/>
      <c r="AB17" s="61"/>
      <c r="AC17" s="61"/>
      <c r="AD17" s="61"/>
      <c r="AE17" s="61"/>
      <c r="AF17" s="70"/>
      <c r="AJ17" s="220">
        <v>7</v>
      </c>
      <c r="AK17" s="227" t="e">
        <f t="shared" si="0"/>
        <v>#DIV/0!</v>
      </c>
      <c r="AL17" s="227" t="e">
        <f t="shared" si="0"/>
        <v>#DIV/0!</v>
      </c>
      <c r="AM17" s="227" t="e">
        <f t="shared" si="0"/>
        <v>#DIV/0!</v>
      </c>
      <c r="AN17" s="227" t="e">
        <f t="shared" si="0"/>
        <v>#DIV/0!</v>
      </c>
      <c r="AO17" s="227" t="e">
        <f t="shared" si="0"/>
        <v>#DIV/0!</v>
      </c>
      <c r="AP17" s="227" t="e">
        <f t="shared" si="0"/>
        <v>#DIV/0!</v>
      </c>
      <c r="AQ17" s="227" t="e">
        <f t="shared" si="0"/>
        <v>#DIV/0!</v>
      </c>
      <c r="AR17" s="227" t="e">
        <f t="shared" si="0"/>
        <v>#DIV/0!</v>
      </c>
      <c r="AS17" s="227" t="e">
        <f t="shared" si="0"/>
        <v>#DIV/0!</v>
      </c>
      <c r="AT17" s="227" t="e">
        <f t="shared" si="0"/>
        <v>#DIV/0!</v>
      </c>
      <c r="AU17" s="227" t="e">
        <f t="shared" si="0"/>
        <v>#DIV/0!</v>
      </c>
      <c r="AV17" s="227" t="e">
        <f t="shared" si="0"/>
        <v>#DIV/0!</v>
      </c>
      <c r="AW17" s="227" t="e">
        <f t="shared" si="0"/>
        <v>#DIV/0!</v>
      </c>
      <c r="AX17" s="228" t="e">
        <f t="shared" si="0"/>
        <v>#DIV/0!</v>
      </c>
    </row>
    <row r="18" spans="2:50">
      <c r="B18" s="220">
        <v>8</v>
      </c>
      <c r="C18" s="61"/>
      <c r="D18" s="61"/>
      <c r="E18" s="61"/>
      <c r="F18" s="61"/>
      <c r="G18" s="61"/>
      <c r="H18" s="61"/>
      <c r="I18" s="61"/>
      <c r="J18" s="61"/>
      <c r="K18" s="61"/>
      <c r="L18" s="61"/>
      <c r="M18" s="61"/>
      <c r="N18" s="61"/>
      <c r="O18" s="61"/>
      <c r="P18" s="70"/>
      <c r="R18" s="220">
        <v>8</v>
      </c>
      <c r="S18" s="61"/>
      <c r="T18" s="61"/>
      <c r="U18" s="61"/>
      <c r="V18" s="61"/>
      <c r="W18" s="61"/>
      <c r="X18" s="61"/>
      <c r="Y18" s="61"/>
      <c r="Z18" s="61"/>
      <c r="AA18" s="61"/>
      <c r="AB18" s="61"/>
      <c r="AC18" s="61"/>
      <c r="AD18" s="61"/>
      <c r="AE18" s="61"/>
      <c r="AF18" s="70"/>
      <c r="AJ18" s="220">
        <v>8</v>
      </c>
      <c r="AK18" s="227" t="e">
        <f t="shared" si="0"/>
        <v>#DIV/0!</v>
      </c>
      <c r="AL18" s="227" t="e">
        <f t="shared" si="0"/>
        <v>#DIV/0!</v>
      </c>
      <c r="AM18" s="227" t="e">
        <f t="shared" si="0"/>
        <v>#DIV/0!</v>
      </c>
      <c r="AN18" s="227" t="e">
        <f t="shared" si="0"/>
        <v>#DIV/0!</v>
      </c>
      <c r="AO18" s="227" t="e">
        <f t="shared" si="0"/>
        <v>#DIV/0!</v>
      </c>
      <c r="AP18" s="227" t="e">
        <f t="shared" si="0"/>
        <v>#DIV/0!</v>
      </c>
      <c r="AQ18" s="227" t="e">
        <f t="shared" si="0"/>
        <v>#DIV/0!</v>
      </c>
      <c r="AR18" s="227" t="e">
        <f t="shared" si="0"/>
        <v>#DIV/0!</v>
      </c>
      <c r="AS18" s="227" t="e">
        <f t="shared" si="0"/>
        <v>#DIV/0!</v>
      </c>
      <c r="AT18" s="227" t="e">
        <f t="shared" si="0"/>
        <v>#DIV/0!</v>
      </c>
      <c r="AU18" s="227" t="e">
        <f t="shared" si="0"/>
        <v>#DIV/0!</v>
      </c>
      <c r="AV18" s="227" t="e">
        <f t="shared" si="0"/>
        <v>#DIV/0!</v>
      </c>
      <c r="AW18" s="227" t="e">
        <f t="shared" si="0"/>
        <v>#DIV/0!</v>
      </c>
      <c r="AX18" s="228" t="e">
        <f t="shared" si="0"/>
        <v>#DIV/0!</v>
      </c>
    </row>
    <row r="19" spans="2:50">
      <c r="B19" s="220">
        <v>9</v>
      </c>
      <c r="C19" s="61"/>
      <c r="D19" s="61"/>
      <c r="E19" s="61"/>
      <c r="F19" s="61"/>
      <c r="G19" s="61"/>
      <c r="H19" s="61"/>
      <c r="I19" s="61"/>
      <c r="J19" s="61"/>
      <c r="K19" s="61"/>
      <c r="L19" s="61"/>
      <c r="M19" s="61"/>
      <c r="N19" s="61"/>
      <c r="O19" s="61"/>
      <c r="P19" s="70"/>
      <c r="R19" s="220">
        <v>9</v>
      </c>
      <c r="S19" s="61"/>
      <c r="T19" s="61"/>
      <c r="U19" s="61"/>
      <c r="V19" s="61"/>
      <c r="W19" s="61"/>
      <c r="X19" s="61"/>
      <c r="Y19" s="61"/>
      <c r="Z19" s="61"/>
      <c r="AA19" s="61"/>
      <c r="AB19" s="61"/>
      <c r="AC19" s="61"/>
      <c r="AD19" s="61"/>
      <c r="AE19" s="61"/>
      <c r="AF19" s="70"/>
      <c r="AJ19" s="220">
        <v>9</v>
      </c>
      <c r="AK19" s="227" t="e">
        <f t="shared" si="0"/>
        <v>#DIV/0!</v>
      </c>
      <c r="AL19" s="227" t="e">
        <f t="shared" si="0"/>
        <v>#DIV/0!</v>
      </c>
      <c r="AM19" s="227" t="e">
        <f t="shared" si="0"/>
        <v>#DIV/0!</v>
      </c>
      <c r="AN19" s="227" t="e">
        <f t="shared" si="0"/>
        <v>#DIV/0!</v>
      </c>
      <c r="AO19" s="227" t="e">
        <f t="shared" si="0"/>
        <v>#DIV/0!</v>
      </c>
      <c r="AP19" s="227" t="e">
        <f t="shared" si="0"/>
        <v>#DIV/0!</v>
      </c>
      <c r="AQ19" s="227" t="e">
        <f t="shared" si="0"/>
        <v>#DIV/0!</v>
      </c>
      <c r="AR19" s="227" t="e">
        <f t="shared" si="0"/>
        <v>#DIV/0!</v>
      </c>
      <c r="AS19" s="227" t="e">
        <f t="shared" si="0"/>
        <v>#DIV/0!</v>
      </c>
      <c r="AT19" s="227" t="e">
        <f t="shared" si="0"/>
        <v>#DIV/0!</v>
      </c>
      <c r="AU19" s="227" t="e">
        <f t="shared" si="0"/>
        <v>#DIV/0!</v>
      </c>
      <c r="AV19" s="227" t="e">
        <f t="shared" si="0"/>
        <v>#DIV/0!</v>
      </c>
      <c r="AW19" s="227" t="e">
        <f t="shared" si="0"/>
        <v>#DIV/0!</v>
      </c>
      <c r="AX19" s="228" t="e">
        <f t="shared" si="0"/>
        <v>#DIV/0!</v>
      </c>
    </row>
    <row r="20" spans="2:50">
      <c r="B20" s="220">
        <v>10</v>
      </c>
      <c r="C20" s="61"/>
      <c r="D20" s="61"/>
      <c r="E20" s="61"/>
      <c r="F20" s="61"/>
      <c r="G20" s="61"/>
      <c r="H20" s="61"/>
      <c r="I20" s="61"/>
      <c r="J20" s="61"/>
      <c r="K20" s="61"/>
      <c r="L20" s="61"/>
      <c r="M20" s="61"/>
      <c r="N20" s="61"/>
      <c r="O20" s="61"/>
      <c r="P20" s="70"/>
      <c r="R20" s="220">
        <v>10</v>
      </c>
      <c r="S20" s="61"/>
      <c r="T20" s="61"/>
      <c r="U20" s="61"/>
      <c r="V20" s="61"/>
      <c r="W20" s="61"/>
      <c r="X20" s="61"/>
      <c r="Y20" s="61"/>
      <c r="Z20" s="61"/>
      <c r="AA20" s="61"/>
      <c r="AB20" s="61"/>
      <c r="AC20" s="61"/>
      <c r="AD20" s="61"/>
      <c r="AE20" s="61"/>
      <c r="AF20" s="70"/>
      <c r="AJ20" s="220">
        <v>10</v>
      </c>
      <c r="AK20" s="227" t="e">
        <f t="shared" ref="AK20:AX29" si="1">EXP(-AK$9*$AJ20)</f>
        <v>#DIV/0!</v>
      </c>
      <c r="AL20" s="227" t="e">
        <f t="shared" si="1"/>
        <v>#DIV/0!</v>
      </c>
      <c r="AM20" s="227" t="e">
        <f t="shared" si="1"/>
        <v>#DIV/0!</v>
      </c>
      <c r="AN20" s="227" t="e">
        <f t="shared" si="1"/>
        <v>#DIV/0!</v>
      </c>
      <c r="AO20" s="227" t="e">
        <f t="shared" si="1"/>
        <v>#DIV/0!</v>
      </c>
      <c r="AP20" s="227" t="e">
        <f t="shared" si="1"/>
        <v>#DIV/0!</v>
      </c>
      <c r="AQ20" s="227" t="e">
        <f t="shared" si="1"/>
        <v>#DIV/0!</v>
      </c>
      <c r="AR20" s="227" t="e">
        <f t="shared" si="1"/>
        <v>#DIV/0!</v>
      </c>
      <c r="AS20" s="227" t="e">
        <f t="shared" si="1"/>
        <v>#DIV/0!</v>
      </c>
      <c r="AT20" s="227" t="e">
        <f t="shared" si="1"/>
        <v>#DIV/0!</v>
      </c>
      <c r="AU20" s="227" t="e">
        <f t="shared" si="1"/>
        <v>#DIV/0!</v>
      </c>
      <c r="AV20" s="227" t="e">
        <f t="shared" si="1"/>
        <v>#DIV/0!</v>
      </c>
      <c r="AW20" s="227" t="e">
        <f t="shared" si="1"/>
        <v>#DIV/0!</v>
      </c>
      <c r="AX20" s="228" t="e">
        <f t="shared" si="1"/>
        <v>#DIV/0!</v>
      </c>
    </row>
    <row r="21" spans="2:50">
      <c r="B21" s="224">
        <v>11</v>
      </c>
      <c r="C21" s="68"/>
      <c r="D21" s="68"/>
      <c r="E21" s="68"/>
      <c r="F21" s="68"/>
      <c r="G21" s="68"/>
      <c r="H21" s="68"/>
      <c r="I21" s="68"/>
      <c r="J21" s="68"/>
      <c r="K21" s="68"/>
      <c r="L21" s="68"/>
      <c r="M21" s="68"/>
      <c r="N21" s="68"/>
      <c r="O21" s="68"/>
      <c r="P21" s="69"/>
      <c r="R21" s="224">
        <v>11</v>
      </c>
      <c r="S21" s="68"/>
      <c r="T21" s="68"/>
      <c r="U21" s="68"/>
      <c r="V21" s="68"/>
      <c r="W21" s="68"/>
      <c r="X21" s="68"/>
      <c r="Y21" s="68"/>
      <c r="Z21" s="68"/>
      <c r="AA21" s="68"/>
      <c r="AB21" s="68"/>
      <c r="AC21" s="68"/>
      <c r="AD21" s="68"/>
      <c r="AE21" s="68"/>
      <c r="AF21" s="69"/>
      <c r="AJ21" s="224">
        <v>11</v>
      </c>
      <c r="AK21" s="225" t="e">
        <f t="shared" si="1"/>
        <v>#DIV/0!</v>
      </c>
      <c r="AL21" s="225" t="e">
        <f t="shared" si="1"/>
        <v>#DIV/0!</v>
      </c>
      <c r="AM21" s="225" t="e">
        <f t="shared" si="1"/>
        <v>#DIV/0!</v>
      </c>
      <c r="AN21" s="225" t="e">
        <f t="shared" si="1"/>
        <v>#DIV/0!</v>
      </c>
      <c r="AO21" s="225" t="e">
        <f t="shared" si="1"/>
        <v>#DIV/0!</v>
      </c>
      <c r="AP21" s="225" t="e">
        <f t="shared" si="1"/>
        <v>#DIV/0!</v>
      </c>
      <c r="AQ21" s="225" t="e">
        <f t="shared" si="1"/>
        <v>#DIV/0!</v>
      </c>
      <c r="AR21" s="225" t="e">
        <f t="shared" si="1"/>
        <v>#DIV/0!</v>
      </c>
      <c r="AS21" s="225" t="e">
        <f t="shared" si="1"/>
        <v>#DIV/0!</v>
      </c>
      <c r="AT21" s="225" t="e">
        <f t="shared" si="1"/>
        <v>#DIV/0!</v>
      </c>
      <c r="AU21" s="225" t="e">
        <f t="shared" si="1"/>
        <v>#DIV/0!</v>
      </c>
      <c r="AV21" s="225" t="e">
        <f t="shared" si="1"/>
        <v>#DIV/0!</v>
      </c>
      <c r="AW21" s="225" t="e">
        <f t="shared" si="1"/>
        <v>#DIV/0!</v>
      </c>
      <c r="AX21" s="226" t="e">
        <f t="shared" si="1"/>
        <v>#DIV/0!</v>
      </c>
    </row>
    <row r="22" spans="2:50" s="229" customFormat="1">
      <c r="B22" s="224">
        <v>12</v>
      </c>
      <c r="C22" s="68"/>
      <c r="D22" s="68"/>
      <c r="E22" s="68"/>
      <c r="F22" s="68"/>
      <c r="G22" s="68"/>
      <c r="H22" s="68"/>
      <c r="I22" s="68"/>
      <c r="J22" s="68"/>
      <c r="K22" s="68"/>
      <c r="L22" s="68"/>
      <c r="M22" s="68"/>
      <c r="N22" s="68"/>
      <c r="O22" s="68"/>
      <c r="P22" s="69"/>
      <c r="R22" s="224">
        <v>12</v>
      </c>
      <c r="S22" s="68"/>
      <c r="T22" s="68"/>
      <c r="U22" s="68"/>
      <c r="V22" s="68"/>
      <c r="W22" s="68"/>
      <c r="X22" s="68"/>
      <c r="Y22" s="68"/>
      <c r="Z22" s="68"/>
      <c r="AA22" s="68"/>
      <c r="AB22" s="68"/>
      <c r="AC22" s="68"/>
      <c r="AD22" s="68"/>
      <c r="AE22" s="68"/>
      <c r="AF22" s="69"/>
      <c r="AJ22" s="224">
        <v>12</v>
      </c>
      <c r="AK22" s="225" t="e">
        <f t="shared" si="1"/>
        <v>#DIV/0!</v>
      </c>
      <c r="AL22" s="225" t="e">
        <f t="shared" si="1"/>
        <v>#DIV/0!</v>
      </c>
      <c r="AM22" s="225" t="e">
        <f t="shared" si="1"/>
        <v>#DIV/0!</v>
      </c>
      <c r="AN22" s="225" t="e">
        <f t="shared" si="1"/>
        <v>#DIV/0!</v>
      </c>
      <c r="AO22" s="225" t="e">
        <f t="shared" si="1"/>
        <v>#DIV/0!</v>
      </c>
      <c r="AP22" s="225" t="e">
        <f t="shared" si="1"/>
        <v>#DIV/0!</v>
      </c>
      <c r="AQ22" s="225" t="e">
        <f t="shared" si="1"/>
        <v>#DIV/0!</v>
      </c>
      <c r="AR22" s="225" t="e">
        <f t="shared" si="1"/>
        <v>#DIV/0!</v>
      </c>
      <c r="AS22" s="225" t="e">
        <f t="shared" si="1"/>
        <v>#DIV/0!</v>
      </c>
      <c r="AT22" s="225" t="e">
        <f t="shared" si="1"/>
        <v>#DIV/0!</v>
      </c>
      <c r="AU22" s="225" t="e">
        <f t="shared" si="1"/>
        <v>#DIV/0!</v>
      </c>
      <c r="AV22" s="225" t="e">
        <f t="shared" si="1"/>
        <v>#DIV/0!</v>
      </c>
      <c r="AW22" s="225" t="e">
        <f t="shared" si="1"/>
        <v>#DIV/0!</v>
      </c>
      <c r="AX22" s="226" t="e">
        <f t="shared" si="1"/>
        <v>#DIV/0!</v>
      </c>
    </row>
    <row r="23" spans="2:50">
      <c r="B23" s="220">
        <v>13</v>
      </c>
      <c r="C23" s="61"/>
      <c r="D23" s="61"/>
      <c r="E23" s="61"/>
      <c r="F23" s="61"/>
      <c r="G23" s="61"/>
      <c r="H23" s="61"/>
      <c r="I23" s="61"/>
      <c r="J23" s="61"/>
      <c r="K23" s="61"/>
      <c r="L23" s="61"/>
      <c r="M23" s="61"/>
      <c r="N23" s="61"/>
      <c r="O23" s="61"/>
      <c r="P23" s="70"/>
      <c r="R23" s="220">
        <v>13</v>
      </c>
      <c r="S23" s="61"/>
      <c r="T23" s="61"/>
      <c r="U23" s="61"/>
      <c r="V23" s="61"/>
      <c r="W23" s="61"/>
      <c r="X23" s="61"/>
      <c r="Y23" s="61"/>
      <c r="Z23" s="61"/>
      <c r="AA23" s="61"/>
      <c r="AB23" s="61"/>
      <c r="AC23" s="61"/>
      <c r="AD23" s="61"/>
      <c r="AE23" s="61"/>
      <c r="AF23" s="70"/>
      <c r="AJ23" s="220">
        <v>13</v>
      </c>
      <c r="AK23" s="227" t="e">
        <f t="shared" si="1"/>
        <v>#DIV/0!</v>
      </c>
      <c r="AL23" s="227" t="e">
        <f t="shared" si="1"/>
        <v>#DIV/0!</v>
      </c>
      <c r="AM23" s="227" t="e">
        <f t="shared" si="1"/>
        <v>#DIV/0!</v>
      </c>
      <c r="AN23" s="227" t="e">
        <f t="shared" si="1"/>
        <v>#DIV/0!</v>
      </c>
      <c r="AO23" s="227" t="e">
        <f t="shared" si="1"/>
        <v>#DIV/0!</v>
      </c>
      <c r="AP23" s="227" t="e">
        <f t="shared" si="1"/>
        <v>#DIV/0!</v>
      </c>
      <c r="AQ23" s="227" t="e">
        <f t="shared" si="1"/>
        <v>#DIV/0!</v>
      </c>
      <c r="AR23" s="227" t="e">
        <f t="shared" si="1"/>
        <v>#DIV/0!</v>
      </c>
      <c r="AS23" s="227" t="e">
        <f t="shared" si="1"/>
        <v>#DIV/0!</v>
      </c>
      <c r="AT23" s="227" t="e">
        <f t="shared" si="1"/>
        <v>#DIV/0!</v>
      </c>
      <c r="AU23" s="227" t="e">
        <f t="shared" si="1"/>
        <v>#DIV/0!</v>
      </c>
      <c r="AV23" s="227" t="e">
        <f t="shared" si="1"/>
        <v>#DIV/0!</v>
      </c>
      <c r="AW23" s="227" t="e">
        <f t="shared" si="1"/>
        <v>#DIV/0!</v>
      </c>
      <c r="AX23" s="228" t="e">
        <f t="shared" si="1"/>
        <v>#DIV/0!</v>
      </c>
    </row>
    <row r="24" spans="2:50">
      <c r="B24" s="220">
        <v>14</v>
      </c>
      <c r="C24" s="61"/>
      <c r="D24" s="61"/>
      <c r="E24" s="61"/>
      <c r="F24" s="61"/>
      <c r="G24" s="61"/>
      <c r="H24" s="61"/>
      <c r="I24" s="61"/>
      <c r="J24" s="61"/>
      <c r="K24" s="61"/>
      <c r="L24" s="61"/>
      <c r="M24" s="61"/>
      <c r="N24" s="61"/>
      <c r="O24" s="61"/>
      <c r="P24" s="70"/>
      <c r="R24" s="220">
        <v>14</v>
      </c>
      <c r="S24" s="61"/>
      <c r="T24" s="61"/>
      <c r="U24" s="61"/>
      <c r="V24" s="61"/>
      <c r="W24" s="61"/>
      <c r="X24" s="61"/>
      <c r="Y24" s="61"/>
      <c r="Z24" s="61"/>
      <c r="AA24" s="61"/>
      <c r="AB24" s="61"/>
      <c r="AC24" s="61"/>
      <c r="AD24" s="61"/>
      <c r="AE24" s="61"/>
      <c r="AF24" s="70"/>
      <c r="AJ24" s="220">
        <v>14</v>
      </c>
      <c r="AK24" s="227" t="e">
        <f t="shared" si="1"/>
        <v>#DIV/0!</v>
      </c>
      <c r="AL24" s="227" t="e">
        <f t="shared" si="1"/>
        <v>#DIV/0!</v>
      </c>
      <c r="AM24" s="227" t="e">
        <f t="shared" si="1"/>
        <v>#DIV/0!</v>
      </c>
      <c r="AN24" s="227" t="e">
        <f t="shared" si="1"/>
        <v>#DIV/0!</v>
      </c>
      <c r="AO24" s="227" t="e">
        <f t="shared" si="1"/>
        <v>#DIV/0!</v>
      </c>
      <c r="AP24" s="227" t="e">
        <f t="shared" si="1"/>
        <v>#DIV/0!</v>
      </c>
      <c r="AQ24" s="227" t="e">
        <f t="shared" si="1"/>
        <v>#DIV/0!</v>
      </c>
      <c r="AR24" s="227" t="e">
        <f t="shared" si="1"/>
        <v>#DIV/0!</v>
      </c>
      <c r="AS24" s="227" t="e">
        <f t="shared" si="1"/>
        <v>#DIV/0!</v>
      </c>
      <c r="AT24" s="227" t="e">
        <f t="shared" si="1"/>
        <v>#DIV/0!</v>
      </c>
      <c r="AU24" s="227" t="e">
        <f t="shared" si="1"/>
        <v>#DIV/0!</v>
      </c>
      <c r="AV24" s="227" t="e">
        <f t="shared" si="1"/>
        <v>#DIV/0!</v>
      </c>
      <c r="AW24" s="227" t="e">
        <f t="shared" si="1"/>
        <v>#DIV/0!</v>
      </c>
      <c r="AX24" s="228" t="e">
        <f t="shared" si="1"/>
        <v>#DIV/0!</v>
      </c>
    </row>
    <row r="25" spans="2:50">
      <c r="B25" s="220">
        <v>15</v>
      </c>
      <c r="C25" s="61"/>
      <c r="D25" s="61"/>
      <c r="E25" s="61"/>
      <c r="F25" s="61"/>
      <c r="G25" s="61"/>
      <c r="H25" s="61"/>
      <c r="I25" s="61"/>
      <c r="J25" s="61"/>
      <c r="K25" s="61"/>
      <c r="L25" s="61"/>
      <c r="M25" s="61"/>
      <c r="N25" s="61"/>
      <c r="O25" s="61"/>
      <c r="P25" s="70"/>
      <c r="R25" s="220">
        <v>15</v>
      </c>
      <c r="S25" s="61"/>
      <c r="T25" s="61"/>
      <c r="U25" s="61"/>
      <c r="V25" s="61"/>
      <c r="W25" s="61"/>
      <c r="X25" s="61"/>
      <c r="Y25" s="61"/>
      <c r="Z25" s="61"/>
      <c r="AA25" s="61"/>
      <c r="AB25" s="61"/>
      <c r="AC25" s="61"/>
      <c r="AD25" s="61"/>
      <c r="AE25" s="61"/>
      <c r="AF25" s="70"/>
      <c r="AJ25" s="220">
        <v>15</v>
      </c>
      <c r="AK25" s="227" t="e">
        <f t="shared" si="1"/>
        <v>#DIV/0!</v>
      </c>
      <c r="AL25" s="227" t="e">
        <f t="shared" si="1"/>
        <v>#DIV/0!</v>
      </c>
      <c r="AM25" s="227" t="e">
        <f t="shared" si="1"/>
        <v>#DIV/0!</v>
      </c>
      <c r="AN25" s="227" t="e">
        <f t="shared" si="1"/>
        <v>#DIV/0!</v>
      </c>
      <c r="AO25" s="227" t="e">
        <f t="shared" si="1"/>
        <v>#DIV/0!</v>
      </c>
      <c r="AP25" s="227" t="e">
        <f t="shared" si="1"/>
        <v>#DIV/0!</v>
      </c>
      <c r="AQ25" s="227" t="e">
        <f t="shared" si="1"/>
        <v>#DIV/0!</v>
      </c>
      <c r="AR25" s="227" t="e">
        <f t="shared" si="1"/>
        <v>#DIV/0!</v>
      </c>
      <c r="AS25" s="227" t="e">
        <f t="shared" si="1"/>
        <v>#DIV/0!</v>
      </c>
      <c r="AT25" s="227" t="e">
        <f t="shared" si="1"/>
        <v>#DIV/0!</v>
      </c>
      <c r="AU25" s="227" t="e">
        <f t="shared" si="1"/>
        <v>#DIV/0!</v>
      </c>
      <c r="AV25" s="227" t="e">
        <f t="shared" si="1"/>
        <v>#DIV/0!</v>
      </c>
      <c r="AW25" s="227" t="e">
        <f t="shared" si="1"/>
        <v>#DIV/0!</v>
      </c>
      <c r="AX25" s="228" t="e">
        <f t="shared" si="1"/>
        <v>#DIV/0!</v>
      </c>
    </row>
    <row r="26" spans="2:50">
      <c r="B26" s="220">
        <v>16</v>
      </c>
      <c r="C26" s="61"/>
      <c r="D26" s="61"/>
      <c r="E26" s="61"/>
      <c r="F26" s="61"/>
      <c r="G26" s="61"/>
      <c r="H26" s="61"/>
      <c r="I26" s="61"/>
      <c r="J26" s="61"/>
      <c r="K26" s="61"/>
      <c r="L26" s="61"/>
      <c r="M26" s="61"/>
      <c r="N26" s="61"/>
      <c r="O26" s="61"/>
      <c r="P26" s="70"/>
      <c r="R26" s="220">
        <v>16</v>
      </c>
      <c r="S26" s="61"/>
      <c r="T26" s="61"/>
      <c r="U26" s="61"/>
      <c r="V26" s="61"/>
      <c r="W26" s="61"/>
      <c r="X26" s="61"/>
      <c r="Y26" s="61"/>
      <c r="Z26" s="61"/>
      <c r="AA26" s="61"/>
      <c r="AB26" s="61"/>
      <c r="AC26" s="61"/>
      <c r="AD26" s="61"/>
      <c r="AE26" s="61"/>
      <c r="AF26" s="70"/>
      <c r="AJ26" s="220">
        <v>16</v>
      </c>
      <c r="AK26" s="227" t="e">
        <f t="shared" si="1"/>
        <v>#DIV/0!</v>
      </c>
      <c r="AL26" s="227" t="e">
        <f t="shared" si="1"/>
        <v>#DIV/0!</v>
      </c>
      <c r="AM26" s="227" t="e">
        <f t="shared" si="1"/>
        <v>#DIV/0!</v>
      </c>
      <c r="AN26" s="227" t="e">
        <f t="shared" si="1"/>
        <v>#DIV/0!</v>
      </c>
      <c r="AO26" s="227" t="e">
        <f t="shared" si="1"/>
        <v>#DIV/0!</v>
      </c>
      <c r="AP26" s="227" t="e">
        <f t="shared" si="1"/>
        <v>#DIV/0!</v>
      </c>
      <c r="AQ26" s="227" t="e">
        <f t="shared" si="1"/>
        <v>#DIV/0!</v>
      </c>
      <c r="AR26" s="227" t="e">
        <f t="shared" si="1"/>
        <v>#DIV/0!</v>
      </c>
      <c r="AS26" s="227" t="e">
        <f t="shared" si="1"/>
        <v>#DIV/0!</v>
      </c>
      <c r="AT26" s="227" t="e">
        <f t="shared" si="1"/>
        <v>#DIV/0!</v>
      </c>
      <c r="AU26" s="227" t="e">
        <f t="shared" si="1"/>
        <v>#DIV/0!</v>
      </c>
      <c r="AV26" s="227" t="e">
        <f t="shared" si="1"/>
        <v>#DIV/0!</v>
      </c>
      <c r="AW26" s="227" t="e">
        <f t="shared" si="1"/>
        <v>#DIV/0!</v>
      </c>
      <c r="AX26" s="228" t="e">
        <f t="shared" si="1"/>
        <v>#DIV/0!</v>
      </c>
    </row>
    <row r="27" spans="2:50">
      <c r="B27" s="220">
        <v>17</v>
      </c>
      <c r="C27" s="61"/>
      <c r="D27" s="61"/>
      <c r="E27" s="61"/>
      <c r="F27" s="61"/>
      <c r="G27" s="61"/>
      <c r="H27" s="61"/>
      <c r="I27" s="61"/>
      <c r="J27" s="61"/>
      <c r="K27" s="61"/>
      <c r="L27" s="61"/>
      <c r="M27" s="61"/>
      <c r="N27" s="61"/>
      <c r="O27" s="61"/>
      <c r="P27" s="70"/>
      <c r="R27" s="220">
        <v>17</v>
      </c>
      <c r="S27" s="61"/>
      <c r="T27" s="61"/>
      <c r="U27" s="61"/>
      <c r="V27" s="61"/>
      <c r="W27" s="61"/>
      <c r="X27" s="61"/>
      <c r="Y27" s="61"/>
      <c r="Z27" s="61"/>
      <c r="AA27" s="61"/>
      <c r="AB27" s="61"/>
      <c r="AC27" s="61"/>
      <c r="AD27" s="61"/>
      <c r="AE27" s="61"/>
      <c r="AF27" s="70"/>
      <c r="AJ27" s="220">
        <v>17</v>
      </c>
      <c r="AK27" s="227" t="e">
        <f t="shared" si="1"/>
        <v>#DIV/0!</v>
      </c>
      <c r="AL27" s="227" t="e">
        <f t="shared" si="1"/>
        <v>#DIV/0!</v>
      </c>
      <c r="AM27" s="227" t="e">
        <f t="shared" si="1"/>
        <v>#DIV/0!</v>
      </c>
      <c r="AN27" s="227" t="e">
        <f t="shared" si="1"/>
        <v>#DIV/0!</v>
      </c>
      <c r="AO27" s="227" t="e">
        <f t="shared" si="1"/>
        <v>#DIV/0!</v>
      </c>
      <c r="AP27" s="227" t="e">
        <f t="shared" si="1"/>
        <v>#DIV/0!</v>
      </c>
      <c r="AQ27" s="227" t="e">
        <f t="shared" si="1"/>
        <v>#DIV/0!</v>
      </c>
      <c r="AR27" s="227" t="e">
        <f t="shared" si="1"/>
        <v>#DIV/0!</v>
      </c>
      <c r="AS27" s="227" t="e">
        <f t="shared" si="1"/>
        <v>#DIV/0!</v>
      </c>
      <c r="AT27" s="227" t="e">
        <f t="shared" si="1"/>
        <v>#DIV/0!</v>
      </c>
      <c r="AU27" s="227" t="e">
        <f t="shared" si="1"/>
        <v>#DIV/0!</v>
      </c>
      <c r="AV27" s="227" t="e">
        <f t="shared" si="1"/>
        <v>#DIV/0!</v>
      </c>
      <c r="AW27" s="227" t="e">
        <f t="shared" si="1"/>
        <v>#DIV/0!</v>
      </c>
      <c r="AX27" s="228" t="e">
        <f t="shared" si="1"/>
        <v>#DIV/0!</v>
      </c>
    </row>
    <row r="28" spans="2:50">
      <c r="B28" s="220">
        <v>18</v>
      </c>
      <c r="C28" s="61"/>
      <c r="D28" s="61"/>
      <c r="E28" s="61"/>
      <c r="F28" s="61"/>
      <c r="G28" s="61"/>
      <c r="H28" s="61"/>
      <c r="I28" s="61"/>
      <c r="J28" s="61"/>
      <c r="K28" s="61"/>
      <c r="L28" s="61"/>
      <c r="M28" s="61"/>
      <c r="N28" s="61"/>
      <c r="O28" s="61"/>
      <c r="P28" s="70"/>
      <c r="R28" s="220">
        <v>18</v>
      </c>
      <c r="S28" s="61"/>
      <c r="T28" s="61"/>
      <c r="U28" s="61"/>
      <c r="V28" s="61"/>
      <c r="W28" s="61"/>
      <c r="X28" s="61"/>
      <c r="Y28" s="61"/>
      <c r="Z28" s="61"/>
      <c r="AA28" s="61"/>
      <c r="AB28" s="61"/>
      <c r="AC28" s="61"/>
      <c r="AD28" s="61"/>
      <c r="AE28" s="61"/>
      <c r="AF28" s="70"/>
      <c r="AJ28" s="220">
        <v>18</v>
      </c>
      <c r="AK28" s="227" t="e">
        <f t="shared" si="1"/>
        <v>#DIV/0!</v>
      </c>
      <c r="AL28" s="227" t="e">
        <f t="shared" si="1"/>
        <v>#DIV/0!</v>
      </c>
      <c r="AM28" s="227" t="e">
        <f t="shared" si="1"/>
        <v>#DIV/0!</v>
      </c>
      <c r="AN28" s="227" t="e">
        <f t="shared" si="1"/>
        <v>#DIV/0!</v>
      </c>
      <c r="AO28" s="227" t="e">
        <f t="shared" si="1"/>
        <v>#DIV/0!</v>
      </c>
      <c r="AP28" s="227" t="e">
        <f t="shared" si="1"/>
        <v>#DIV/0!</v>
      </c>
      <c r="AQ28" s="227" t="e">
        <f t="shared" si="1"/>
        <v>#DIV/0!</v>
      </c>
      <c r="AR28" s="227" t="e">
        <f t="shared" si="1"/>
        <v>#DIV/0!</v>
      </c>
      <c r="AS28" s="227" t="e">
        <f t="shared" si="1"/>
        <v>#DIV/0!</v>
      </c>
      <c r="AT28" s="227" t="e">
        <f t="shared" si="1"/>
        <v>#DIV/0!</v>
      </c>
      <c r="AU28" s="227" t="e">
        <f t="shared" si="1"/>
        <v>#DIV/0!</v>
      </c>
      <c r="AV28" s="227" t="e">
        <f t="shared" si="1"/>
        <v>#DIV/0!</v>
      </c>
      <c r="AW28" s="227" t="e">
        <f t="shared" si="1"/>
        <v>#DIV/0!</v>
      </c>
      <c r="AX28" s="228" t="e">
        <f t="shared" si="1"/>
        <v>#DIV/0!</v>
      </c>
    </row>
    <row r="29" spans="2:50">
      <c r="B29" s="220">
        <v>19</v>
      </c>
      <c r="C29" s="61"/>
      <c r="D29" s="61"/>
      <c r="E29" s="61"/>
      <c r="F29" s="61"/>
      <c r="G29" s="61"/>
      <c r="H29" s="61"/>
      <c r="I29" s="61"/>
      <c r="J29" s="61"/>
      <c r="K29" s="61"/>
      <c r="L29" s="61"/>
      <c r="M29" s="61"/>
      <c r="N29" s="61"/>
      <c r="O29" s="61"/>
      <c r="P29" s="70"/>
      <c r="R29" s="220">
        <v>19</v>
      </c>
      <c r="S29" s="61"/>
      <c r="T29" s="61"/>
      <c r="U29" s="61"/>
      <c r="V29" s="61"/>
      <c r="W29" s="61"/>
      <c r="X29" s="61"/>
      <c r="Y29" s="61"/>
      <c r="Z29" s="61"/>
      <c r="AA29" s="61"/>
      <c r="AB29" s="61"/>
      <c r="AC29" s="61"/>
      <c r="AD29" s="61"/>
      <c r="AE29" s="61"/>
      <c r="AF29" s="70"/>
      <c r="AJ29" s="220">
        <v>19</v>
      </c>
      <c r="AK29" s="227" t="e">
        <f t="shared" si="1"/>
        <v>#DIV/0!</v>
      </c>
      <c r="AL29" s="227" t="e">
        <f t="shared" si="1"/>
        <v>#DIV/0!</v>
      </c>
      <c r="AM29" s="227" t="e">
        <f t="shared" si="1"/>
        <v>#DIV/0!</v>
      </c>
      <c r="AN29" s="227" t="e">
        <f t="shared" si="1"/>
        <v>#DIV/0!</v>
      </c>
      <c r="AO29" s="227" t="e">
        <f t="shared" si="1"/>
        <v>#DIV/0!</v>
      </c>
      <c r="AP29" s="227" t="e">
        <f t="shared" si="1"/>
        <v>#DIV/0!</v>
      </c>
      <c r="AQ29" s="227" t="e">
        <f t="shared" si="1"/>
        <v>#DIV/0!</v>
      </c>
      <c r="AR29" s="227" t="e">
        <f t="shared" si="1"/>
        <v>#DIV/0!</v>
      </c>
      <c r="AS29" s="227" t="e">
        <f t="shared" si="1"/>
        <v>#DIV/0!</v>
      </c>
      <c r="AT29" s="227" t="e">
        <f t="shared" si="1"/>
        <v>#DIV/0!</v>
      </c>
      <c r="AU29" s="227" t="e">
        <f t="shared" si="1"/>
        <v>#DIV/0!</v>
      </c>
      <c r="AV29" s="227" t="e">
        <f t="shared" si="1"/>
        <v>#DIV/0!</v>
      </c>
      <c r="AW29" s="227" t="e">
        <f t="shared" si="1"/>
        <v>#DIV/0!</v>
      </c>
      <c r="AX29" s="228" t="e">
        <f t="shared" si="1"/>
        <v>#DIV/0!</v>
      </c>
    </row>
    <row r="30" spans="2:50">
      <c r="B30" s="220">
        <v>20</v>
      </c>
      <c r="C30" s="61"/>
      <c r="D30" s="61"/>
      <c r="E30" s="61"/>
      <c r="F30" s="61"/>
      <c r="G30" s="61"/>
      <c r="H30" s="61"/>
      <c r="I30" s="61"/>
      <c r="J30" s="61"/>
      <c r="K30" s="61"/>
      <c r="L30" s="61"/>
      <c r="M30" s="61"/>
      <c r="N30" s="61"/>
      <c r="O30" s="61"/>
      <c r="P30" s="70"/>
      <c r="R30" s="220">
        <v>20</v>
      </c>
      <c r="S30" s="61"/>
      <c r="T30" s="61"/>
      <c r="U30" s="61"/>
      <c r="V30" s="61"/>
      <c r="W30" s="61"/>
      <c r="X30" s="61"/>
      <c r="Y30" s="61"/>
      <c r="Z30" s="61"/>
      <c r="AA30" s="61"/>
      <c r="AB30" s="61"/>
      <c r="AC30" s="61"/>
      <c r="AD30" s="61"/>
      <c r="AE30" s="61"/>
      <c r="AF30" s="70"/>
      <c r="AJ30" s="220">
        <v>20</v>
      </c>
      <c r="AK30" s="227" t="e">
        <f t="shared" ref="AK30:AX42" si="2">EXP(-AK$9*$AJ30)</f>
        <v>#DIV/0!</v>
      </c>
      <c r="AL30" s="227" t="e">
        <f t="shared" si="2"/>
        <v>#DIV/0!</v>
      </c>
      <c r="AM30" s="227" t="e">
        <f t="shared" si="2"/>
        <v>#DIV/0!</v>
      </c>
      <c r="AN30" s="227" t="e">
        <f t="shared" si="2"/>
        <v>#DIV/0!</v>
      </c>
      <c r="AO30" s="227" t="e">
        <f t="shared" si="2"/>
        <v>#DIV/0!</v>
      </c>
      <c r="AP30" s="227" t="e">
        <f t="shared" si="2"/>
        <v>#DIV/0!</v>
      </c>
      <c r="AQ30" s="227" t="e">
        <f t="shared" si="2"/>
        <v>#DIV/0!</v>
      </c>
      <c r="AR30" s="227" t="e">
        <f t="shared" si="2"/>
        <v>#DIV/0!</v>
      </c>
      <c r="AS30" s="227" t="e">
        <f t="shared" si="2"/>
        <v>#DIV/0!</v>
      </c>
      <c r="AT30" s="227" t="e">
        <f t="shared" si="2"/>
        <v>#DIV/0!</v>
      </c>
      <c r="AU30" s="227" t="e">
        <f t="shared" si="2"/>
        <v>#DIV/0!</v>
      </c>
      <c r="AV30" s="227" t="e">
        <f t="shared" si="2"/>
        <v>#DIV/0!</v>
      </c>
      <c r="AW30" s="227" t="e">
        <f t="shared" si="2"/>
        <v>#DIV/0!</v>
      </c>
      <c r="AX30" s="228" t="e">
        <f t="shared" si="2"/>
        <v>#DIV/0!</v>
      </c>
    </row>
    <row r="31" spans="2:50">
      <c r="B31" s="220">
        <v>21</v>
      </c>
      <c r="C31" s="61"/>
      <c r="D31" s="61"/>
      <c r="E31" s="61"/>
      <c r="F31" s="61"/>
      <c r="G31" s="61"/>
      <c r="H31" s="61"/>
      <c r="I31" s="61"/>
      <c r="J31" s="61"/>
      <c r="K31" s="61"/>
      <c r="L31" s="61"/>
      <c r="M31" s="61"/>
      <c r="N31" s="61"/>
      <c r="O31" s="61"/>
      <c r="P31" s="70"/>
      <c r="R31" s="220">
        <v>21</v>
      </c>
      <c r="S31" s="61"/>
      <c r="T31" s="61"/>
      <c r="U31" s="61"/>
      <c r="V31" s="61"/>
      <c r="W31" s="61"/>
      <c r="X31" s="61"/>
      <c r="Y31" s="61"/>
      <c r="Z31" s="61"/>
      <c r="AA31" s="61"/>
      <c r="AB31" s="61"/>
      <c r="AC31" s="61"/>
      <c r="AD31" s="61"/>
      <c r="AE31" s="61"/>
      <c r="AF31" s="70"/>
      <c r="AJ31" s="220">
        <v>21</v>
      </c>
      <c r="AK31" s="227" t="e">
        <f t="shared" si="2"/>
        <v>#DIV/0!</v>
      </c>
      <c r="AL31" s="227" t="e">
        <f t="shared" si="2"/>
        <v>#DIV/0!</v>
      </c>
      <c r="AM31" s="227" t="e">
        <f t="shared" si="2"/>
        <v>#DIV/0!</v>
      </c>
      <c r="AN31" s="227" t="e">
        <f t="shared" si="2"/>
        <v>#DIV/0!</v>
      </c>
      <c r="AO31" s="227" t="e">
        <f t="shared" si="2"/>
        <v>#DIV/0!</v>
      </c>
      <c r="AP31" s="227" t="e">
        <f t="shared" si="2"/>
        <v>#DIV/0!</v>
      </c>
      <c r="AQ31" s="227" t="e">
        <f t="shared" si="2"/>
        <v>#DIV/0!</v>
      </c>
      <c r="AR31" s="227" t="e">
        <f t="shared" si="2"/>
        <v>#DIV/0!</v>
      </c>
      <c r="AS31" s="227" t="e">
        <f t="shared" si="2"/>
        <v>#DIV/0!</v>
      </c>
      <c r="AT31" s="227" t="e">
        <f t="shared" si="2"/>
        <v>#DIV/0!</v>
      </c>
      <c r="AU31" s="227" t="e">
        <f t="shared" si="2"/>
        <v>#DIV/0!</v>
      </c>
      <c r="AV31" s="227" t="e">
        <f t="shared" si="2"/>
        <v>#DIV/0!</v>
      </c>
      <c r="AW31" s="227" t="e">
        <f t="shared" si="2"/>
        <v>#DIV/0!</v>
      </c>
      <c r="AX31" s="228" t="e">
        <f t="shared" si="2"/>
        <v>#DIV/0!</v>
      </c>
    </row>
    <row r="32" spans="2:50">
      <c r="B32" s="220">
        <v>22</v>
      </c>
      <c r="C32" s="61"/>
      <c r="D32" s="61"/>
      <c r="E32" s="61"/>
      <c r="F32" s="61"/>
      <c r="G32" s="61"/>
      <c r="H32" s="61"/>
      <c r="I32" s="61"/>
      <c r="J32" s="61"/>
      <c r="K32" s="61"/>
      <c r="L32" s="61"/>
      <c r="M32" s="61"/>
      <c r="N32" s="61"/>
      <c r="O32" s="61"/>
      <c r="P32" s="70"/>
      <c r="R32" s="220">
        <v>22</v>
      </c>
      <c r="S32" s="61"/>
      <c r="T32" s="61"/>
      <c r="U32" s="61"/>
      <c r="V32" s="61"/>
      <c r="W32" s="61"/>
      <c r="X32" s="61"/>
      <c r="Y32" s="61"/>
      <c r="Z32" s="61"/>
      <c r="AA32" s="61"/>
      <c r="AB32" s="61"/>
      <c r="AC32" s="61"/>
      <c r="AD32" s="61"/>
      <c r="AE32" s="61"/>
      <c r="AF32" s="70"/>
      <c r="AJ32" s="220">
        <v>22</v>
      </c>
      <c r="AK32" s="227" t="e">
        <f t="shared" si="2"/>
        <v>#DIV/0!</v>
      </c>
      <c r="AL32" s="227" t="e">
        <f t="shared" si="2"/>
        <v>#DIV/0!</v>
      </c>
      <c r="AM32" s="227" t="e">
        <f t="shared" si="2"/>
        <v>#DIV/0!</v>
      </c>
      <c r="AN32" s="227" t="e">
        <f t="shared" si="2"/>
        <v>#DIV/0!</v>
      </c>
      <c r="AO32" s="227" t="e">
        <f t="shared" si="2"/>
        <v>#DIV/0!</v>
      </c>
      <c r="AP32" s="227" t="e">
        <f t="shared" si="2"/>
        <v>#DIV/0!</v>
      </c>
      <c r="AQ32" s="227" t="e">
        <f t="shared" si="2"/>
        <v>#DIV/0!</v>
      </c>
      <c r="AR32" s="227" t="e">
        <f t="shared" si="2"/>
        <v>#DIV/0!</v>
      </c>
      <c r="AS32" s="227" t="e">
        <f t="shared" si="2"/>
        <v>#DIV/0!</v>
      </c>
      <c r="AT32" s="227" t="e">
        <f t="shared" si="2"/>
        <v>#DIV/0!</v>
      </c>
      <c r="AU32" s="227" t="e">
        <f t="shared" si="2"/>
        <v>#DIV/0!</v>
      </c>
      <c r="AV32" s="227" t="e">
        <f t="shared" si="2"/>
        <v>#DIV/0!</v>
      </c>
      <c r="AW32" s="227" t="e">
        <f t="shared" si="2"/>
        <v>#DIV/0!</v>
      </c>
      <c r="AX32" s="228" t="e">
        <f t="shared" si="2"/>
        <v>#DIV/0!</v>
      </c>
    </row>
    <row r="33" spans="2:50">
      <c r="B33" s="220">
        <v>23</v>
      </c>
      <c r="C33" s="61"/>
      <c r="D33" s="61"/>
      <c r="E33" s="61"/>
      <c r="F33" s="61"/>
      <c r="G33" s="61"/>
      <c r="H33" s="61"/>
      <c r="I33" s="61"/>
      <c r="J33" s="61"/>
      <c r="K33" s="61"/>
      <c r="L33" s="61"/>
      <c r="M33" s="61"/>
      <c r="N33" s="61"/>
      <c r="O33" s="61"/>
      <c r="P33" s="70"/>
      <c r="R33" s="220">
        <v>23</v>
      </c>
      <c r="S33" s="61"/>
      <c r="T33" s="61"/>
      <c r="U33" s="61"/>
      <c r="V33" s="61"/>
      <c r="W33" s="61"/>
      <c r="X33" s="61"/>
      <c r="Y33" s="61"/>
      <c r="Z33" s="61"/>
      <c r="AA33" s="61"/>
      <c r="AB33" s="61"/>
      <c r="AC33" s="61"/>
      <c r="AD33" s="61"/>
      <c r="AE33" s="61"/>
      <c r="AF33" s="70"/>
      <c r="AJ33" s="220">
        <v>23</v>
      </c>
      <c r="AK33" s="227" t="e">
        <f t="shared" si="2"/>
        <v>#DIV/0!</v>
      </c>
      <c r="AL33" s="227" t="e">
        <f t="shared" si="2"/>
        <v>#DIV/0!</v>
      </c>
      <c r="AM33" s="227" t="e">
        <f t="shared" si="2"/>
        <v>#DIV/0!</v>
      </c>
      <c r="AN33" s="227" t="e">
        <f t="shared" si="2"/>
        <v>#DIV/0!</v>
      </c>
      <c r="AO33" s="227" t="e">
        <f t="shared" si="2"/>
        <v>#DIV/0!</v>
      </c>
      <c r="AP33" s="227" t="e">
        <f t="shared" si="2"/>
        <v>#DIV/0!</v>
      </c>
      <c r="AQ33" s="227" t="e">
        <f t="shared" si="2"/>
        <v>#DIV/0!</v>
      </c>
      <c r="AR33" s="227" t="e">
        <f t="shared" si="2"/>
        <v>#DIV/0!</v>
      </c>
      <c r="AS33" s="227" t="e">
        <f t="shared" si="2"/>
        <v>#DIV/0!</v>
      </c>
      <c r="AT33" s="227" t="e">
        <f t="shared" si="2"/>
        <v>#DIV/0!</v>
      </c>
      <c r="AU33" s="227" t="e">
        <f t="shared" si="2"/>
        <v>#DIV/0!</v>
      </c>
      <c r="AV33" s="227" t="e">
        <f t="shared" si="2"/>
        <v>#DIV/0!</v>
      </c>
      <c r="AW33" s="227" t="e">
        <f t="shared" si="2"/>
        <v>#DIV/0!</v>
      </c>
      <c r="AX33" s="228" t="e">
        <f t="shared" si="2"/>
        <v>#DIV/0!</v>
      </c>
    </row>
    <row r="34" spans="2:50">
      <c r="B34" s="224">
        <v>24</v>
      </c>
      <c r="C34" s="68"/>
      <c r="D34" s="68"/>
      <c r="E34" s="68"/>
      <c r="F34" s="68"/>
      <c r="G34" s="68"/>
      <c r="H34" s="68"/>
      <c r="I34" s="68"/>
      <c r="J34" s="68"/>
      <c r="K34" s="68"/>
      <c r="L34" s="68"/>
      <c r="M34" s="68"/>
      <c r="N34" s="68"/>
      <c r="O34" s="68"/>
      <c r="P34" s="69"/>
      <c r="R34" s="224">
        <v>24</v>
      </c>
      <c r="S34" s="68"/>
      <c r="T34" s="68"/>
      <c r="U34" s="68"/>
      <c r="V34" s="68"/>
      <c r="W34" s="68"/>
      <c r="X34" s="68"/>
      <c r="Y34" s="68"/>
      <c r="Z34" s="68"/>
      <c r="AA34" s="68"/>
      <c r="AB34" s="68"/>
      <c r="AC34" s="68"/>
      <c r="AD34" s="68"/>
      <c r="AE34" s="68"/>
      <c r="AF34" s="69"/>
      <c r="AJ34" s="224">
        <v>24</v>
      </c>
      <c r="AK34" s="225" t="e">
        <f t="shared" si="2"/>
        <v>#DIV/0!</v>
      </c>
      <c r="AL34" s="225" t="e">
        <f t="shared" si="2"/>
        <v>#DIV/0!</v>
      </c>
      <c r="AM34" s="225" t="e">
        <f t="shared" si="2"/>
        <v>#DIV/0!</v>
      </c>
      <c r="AN34" s="225" t="e">
        <f t="shared" si="2"/>
        <v>#DIV/0!</v>
      </c>
      <c r="AO34" s="225" t="e">
        <f t="shared" si="2"/>
        <v>#DIV/0!</v>
      </c>
      <c r="AP34" s="225" t="e">
        <f t="shared" si="2"/>
        <v>#DIV/0!</v>
      </c>
      <c r="AQ34" s="225" t="e">
        <f t="shared" si="2"/>
        <v>#DIV/0!</v>
      </c>
      <c r="AR34" s="225" t="e">
        <f t="shared" si="2"/>
        <v>#DIV/0!</v>
      </c>
      <c r="AS34" s="225" t="e">
        <f t="shared" si="2"/>
        <v>#DIV/0!</v>
      </c>
      <c r="AT34" s="225" t="e">
        <f t="shared" si="2"/>
        <v>#DIV/0!</v>
      </c>
      <c r="AU34" s="225" t="e">
        <f t="shared" si="2"/>
        <v>#DIV/0!</v>
      </c>
      <c r="AV34" s="225" t="e">
        <f t="shared" si="2"/>
        <v>#DIV/0!</v>
      </c>
      <c r="AW34" s="225" t="e">
        <f t="shared" si="2"/>
        <v>#DIV/0!</v>
      </c>
      <c r="AX34" s="226" t="e">
        <f t="shared" si="2"/>
        <v>#DIV/0!</v>
      </c>
    </row>
    <row r="35" spans="2:50" s="229" customFormat="1">
      <c r="B35" s="220">
        <v>25</v>
      </c>
      <c r="C35" s="61"/>
      <c r="D35" s="61"/>
      <c r="E35" s="61"/>
      <c r="F35" s="61"/>
      <c r="G35" s="61"/>
      <c r="H35" s="61"/>
      <c r="I35" s="61"/>
      <c r="J35" s="61"/>
      <c r="K35" s="61"/>
      <c r="L35" s="61"/>
      <c r="M35" s="61"/>
      <c r="N35" s="61"/>
      <c r="O35" s="61"/>
      <c r="P35" s="70"/>
      <c r="R35" s="220">
        <v>25</v>
      </c>
      <c r="S35" s="61"/>
      <c r="T35" s="61"/>
      <c r="U35" s="61"/>
      <c r="V35" s="61"/>
      <c r="W35" s="61"/>
      <c r="X35" s="61"/>
      <c r="Y35" s="61"/>
      <c r="Z35" s="61"/>
      <c r="AA35" s="61"/>
      <c r="AB35" s="61"/>
      <c r="AC35" s="61"/>
      <c r="AD35" s="61"/>
      <c r="AE35" s="61"/>
      <c r="AF35" s="70"/>
      <c r="AJ35" s="220">
        <v>25</v>
      </c>
      <c r="AK35" s="227" t="e">
        <f t="shared" si="2"/>
        <v>#DIV/0!</v>
      </c>
      <c r="AL35" s="227" t="e">
        <f t="shared" si="2"/>
        <v>#DIV/0!</v>
      </c>
      <c r="AM35" s="227" t="e">
        <f t="shared" si="2"/>
        <v>#DIV/0!</v>
      </c>
      <c r="AN35" s="227" t="e">
        <f t="shared" si="2"/>
        <v>#DIV/0!</v>
      </c>
      <c r="AO35" s="227" t="e">
        <f t="shared" si="2"/>
        <v>#DIV/0!</v>
      </c>
      <c r="AP35" s="227" t="e">
        <f t="shared" si="2"/>
        <v>#DIV/0!</v>
      </c>
      <c r="AQ35" s="227" t="e">
        <f t="shared" si="2"/>
        <v>#DIV/0!</v>
      </c>
      <c r="AR35" s="227" t="e">
        <f t="shared" si="2"/>
        <v>#DIV/0!</v>
      </c>
      <c r="AS35" s="227" t="e">
        <f t="shared" si="2"/>
        <v>#DIV/0!</v>
      </c>
      <c r="AT35" s="227" t="e">
        <f t="shared" si="2"/>
        <v>#DIV/0!</v>
      </c>
      <c r="AU35" s="227" t="e">
        <f t="shared" si="2"/>
        <v>#DIV/0!</v>
      </c>
      <c r="AV35" s="227" t="e">
        <f t="shared" si="2"/>
        <v>#DIV/0!</v>
      </c>
      <c r="AW35" s="227" t="e">
        <f t="shared" si="2"/>
        <v>#DIV/0!</v>
      </c>
      <c r="AX35" s="228" t="e">
        <f t="shared" si="2"/>
        <v>#DIV/0!</v>
      </c>
    </row>
    <row r="36" spans="2:50">
      <c r="B36" s="220">
        <v>26</v>
      </c>
      <c r="C36" s="61"/>
      <c r="D36" s="61"/>
      <c r="E36" s="61"/>
      <c r="F36" s="61"/>
      <c r="G36" s="61"/>
      <c r="H36" s="61"/>
      <c r="I36" s="61"/>
      <c r="J36" s="61"/>
      <c r="K36" s="61"/>
      <c r="L36" s="61"/>
      <c r="M36" s="61"/>
      <c r="N36" s="61"/>
      <c r="O36" s="61"/>
      <c r="P36" s="70"/>
      <c r="R36" s="220">
        <v>26</v>
      </c>
      <c r="S36" s="61"/>
      <c r="T36" s="61"/>
      <c r="U36" s="61"/>
      <c r="V36" s="61"/>
      <c r="W36" s="61"/>
      <c r="X36" s="61"/>
      <c r="Y36" s="61"/>
      <c r="Z36" s="61"/>
      <c r="AA36" s="61"/>
      <c r="AB36" s="61"/>
      <c r="AC36" s="61"/>
      <c r="AD36" s="61"/>
      <c r="AE36" s="61"/>
      <c r="AF36" s="70"/>
      <c r="AJ36" s="220">
        <v>26</v>
      </c>
      <c r="AK36" s="227" t="e">
        <f t="shared" si="2"/>
        <v>#DIV/0!</v>
      </c>
      <c r="AL36" s="227" t="e">
        <f t="shared" si="2"/>
        <v>#DIV/0!</v>
      </c>
      <c r="AM36" s="227" t="e">
        <f t="shared" si="2"/>
        <v>#DIV/0!</v>
      </c>
      <c r="AN36" s="227" t="e">
        <f t="shared" si="2"/>
        <v>#DIV/0!</v>
      </c>
      <c r="AO36" s="227" t="e">
        <f t="shared" si="2"/>
        <v>#DIV/0!</v>
      </c>
      <c r="AP36" s="227" t="e">
        <f t="shared" si="2"/>
        <v>#DIV/0!</v>
      </c>
      <c r="AQ36" s="227" t="e">
        <f t="shared" si="2"/>
        <v>#DIV/0!</v>
      </c>
      <c r="AR36" s="227" t="e">
        <f t="shared" si="2"/>
        <v>#DIV/0!</v>
      </c>
      <c r="AS36" s="227" t="e">
        <f t="shared" si="2"/>
        <v>#DIV/0!</v>
      </c>
      <c r="AT36" s="227" t="e">
        <f t="shared" si="2"/>
        <v>#DIV/0!</v>
      </c>
      <c r="AU36" s="227" t="e">
        <f t="shared" si="2"/>
        <v>#DIV/0!</v>
      </c>
      <c r="AV36" s="227" t="e">
        <f t="shared" si="2"/>
        <v>#DIV/0!</v>
      </c>
      <c r="AW36" s="227" t="e">
        <f t="shared" si="2"/>
        <v>#DIV/0!</v>
      </c>
      <c r="AX36" s="228" t="e">
        <f t="shared" si="2"/>
        <v>#DIV/0!</v>
      </c>
    </row>
    <row r="37" spans="2:50">
      <c r="B37" s="220">
        <v>27</v>
      </c>
      <c r="C37" s="61"/>
      <c r="D37" s="61"/>
      <c r="E37" s="61"/>
      <c r="F37" s="61"/>
      <c r="G37" s="61"/>
      <c r="H37" s="61"/>
      <c r="I37" s="61"/>
      <c r="J37" s="61"/>
      <c r="K37" s="61"/>
      <c r="L37" s="61"/>
      <c r="M37" s="61"/>
      <c r="N37" s="61"/>
      <c r="O37" s="61"/>
      <c r="P37" s="70"/>
      <c r="R37" s="220">
        <v>27</v>
      </c>
      <c r="S37" s="61"/>
      <c r="T37" s="61"/>
      <c r="U37" s="61"/>
      <c r="V37" s="61"/>
      <c r="W37" s="61"/>
      <c r="X37" s="61"/>
      <c r="Y37" s="61"/>
      <c r="Z37" s="61"/>
      <c r="AA37" s="61"/>
      <c r="AB37" s="61"/>
      <c r="AC37" s="61"/>
      <c r="AD37" s="61"/>
      <c r="AE37" s="61"/>
      <c r="AF37" s="70"/>
      <c r="AJ37" s="220">
        <v>27</v>
      </c>
      <c r="AK37" s="227" t="e">
        <f t="shared" si="2"/>
        <v>#DIV/0!</v>
      </c>
      <c r="AL37" s="227" t="e">
        <f t="shared" si="2"/>
        <v>#DIV/0!</v>
      </c>
      <c r="AM37" s="227" t="e">
        <f t="shared" si="2"/>
        <v>#DIV/0!</v>
      </c>
      <c r="AN37" s="227" t="e">
        <f t="shared" si="2"/>
        <v>#DIV/0!</v>
      </c>
      <c r="AO37" s="227" t="e">
        <f t="shared" si="2"/>
        <v>#DIV/0!</v>
      </c>
      <c r="AP37" s="227" t="e">
        <f t="shared" si="2"/>
        <v>#DIV/0!</v>
      </c>
      <c r="AQ37" s="227" t="e">
        <f t="shared" si="2"/>
        <v>#DIV/0!</v>
      </c>
      <c r="AR37" s="227" t="e">
        <f t="shared" si="2"/>
        <v>#DIV/0!</v>
      </c>
      <c r="AS37" s="227" t="e">
        <f t="shared" si="2"/>
        <v>#DIV/0!</v>
      </c>
      <c r="AT37" s="227" t="e">
        <f t="shared" si="2"/>
        <v>#DIV/0!</v>
      </c>
      <c r="AU37" s="227" t="e">
        <f t="shared" si="2"/>
        <v>#DIV/0!</v>
      </c>
      <c r="AV37" s="227" t="e">
        <f t="shared" si="2"/>
        <v>#DIV/0!</v>
      </c>
      <c r="AW37" s="227" t="e">
        <f t="shared" si="2"/>
        <v>#DIV/0!</v>
      </c>
      <c r="AX37" s="228" t="e">
        <f t="shared" si="2"/>
        <v>#DIV/0!</v>
      </c>
    </row>
    <row r="38" spans="2:50">
      <c r="B38" s="220">
        <v>28</v>
      </c>
      <c r="C38" s="61"/>
      <c r="D38" s="61"/>
      <c r="E38" s="61"/>
      <c r="F38" s="61"/>
      <c r="G38" s="61"/>
      <c r="H38" s="61"/>
      <c r="I38" s="61"/>
      <c r="J38" s="61"/>
      <c r="K38" s="61"/>
      <c r="L38" s="61"/>
      <c r="M38" s="61"/>
      <c r="N38" s="61"/>
      <c r="O38" s="61"/>
      <c r="P38" s="70"/>
      <c r="R38" s="220">
        <v>28</v>
      </c>
      <c r="S38" s="61"/>
      <c r="T38" s="61"/>
      <c r="U38" s="61"/>
      <c r="V38" s="61"/>
      <c r="W38" s="61"/>
      <c r="X38" s="61"/>
      <c r="Y38" s="61"/>
      <c r="Z38" s="61"/>
      <c r="AA38" s="61"/>
      <c r="AB38" s="61"/>
      <c r="AC38" s="61"/>
      <c r="AD38" s="61"/>
      <c r="AE38" s="61"/>
      <c r="AF38" s="70"/>
      <c r="AJ38" s="220">
        <v>28</v>
      </c>
      <c r="AK38" s="227" t="e">
        <f t="shared" si="2"/>
        <v>#DIV/0!</v>
      </c>
      <c r="AL38" s="227" t="e">
        <f t="shared" si="2"/>
        <v>#DIV/0!</v>
      </c>
      <c r="AM38" s="227" t="e">
        <f t="shared" si="2"/>
        <v>#DIV/0!</v>
      </c>
      <c r="AN38" s="227" t="e">
        <f t="shared" si="2"/>
        <v>#DIV/0!</v>
      </c>
      <c r="AO38" s="227" t="e">
        <f t="shared" si="2"/>
        <v>#DIV/0!</v>
      </c>
      <c r="AP38" s="227" t="e">
        <f t="shared" si="2"/>
        <v>#DIV/0!</v>
      </c>
      <c r="AQ38" s="227" t="e">
        <f t="shared" si="2"/>
        <v>#DIV/0!</v>
      </c>
      <c r="AR38" s="227" t="e">
        <f t="shared" si="2"/>
        <v>#DIV/0!</v>
      </c>
      <c r="AS38" s="227" t="e">
        <f t="shared" si="2"/>
        <v>#DIV/0!</v>
      </c>
      <c r="AT38" s="227" t="e">
        <f t="shared" si="2"/>
        <v>#DIV/0!</v>
      </c>
      <c r="AU38" s="227" t="e">
        <f t="shared" si="2"/>
        <v>#DIV/0!</v>
      </c>
      <c r="AV38" s="227" t="e">
        <f t="shared" si="2"/>
        <v>#DIV/0!</v>
      </c>
      <c r="AW38" s="227" t="e">
        <f t="shared" si="2"/>
        <v>#DIV/0!</v>
      </c>
      <c r="AX38" s="228" t="e">
        <f t="shared" si="2"/>
        <v>#DIV/0!</v>
      </c>
    </row>
    <row r="39" spans="2:50">
      <c r="B39" s="220">
        <v>29</v>
      </c>
      <c r="C39" s="61"/>
      <c r="D39" s="61"/>
      <c r="E39" s="61"/>
      <c r="F39" s="61"/>
      <c r="G39" s="61"/>
      <c r="H39" s="61"/>
      <c r="I39" s="61"/>
      <c r="J39" s="61"/>
      <c r="K39" s="61"/>
      <c r="L39" s="61"/>
      <c r="M39" s="61"/>
      <c r="N39" s="61"/>
      <c r="O39" s="61"/>
      <c r="P39" s="70"/>
      <c r="R39" s="220">
        <v>29</v>
      </c>
      <c r="S39" s="61"/>
      <c r="T39" s="61"/>
      <c r="U39" s="61"/>
      <c r="V39" s="61"/>
      <c r="W39" s="61"/>
      <c r="X39" s="61"/>
      <c r="Y39" s="61"/>
      <c r="Z39" s="61"/>
      <c r="AA39" s="61"/>
      <c r="AB39" s="61"/>
      <c r="AC39" s="61"/>
      <c r="AD39" s="61"/>
      <c r="AE39" s="61"/>
      <c r="AF39" s="70"/>
      <c r="AJ39" s="220">
        <v>29</v>
      </c>
      <c r="AK39" s="227" t="e">
        <f t="shared" si="2"/>
        <v>#DIV/0!</v>
      </c>
      <c r="AL39" s="227" t="e">
        <f t="shared" si="2"/>
        <v>#DIV/0!</v>
      </c>
      <c r="AM39" s="227" t="e">
        <f t="shared" si="2"/>
        <v>#DIV/0!</v>
      </c>
      <c r="AN39" s="227" t="e">
        <f t="shared" si="2"/>
        <v>#DIV/0!</v>
      </c>
      <c r="AO39" s="227" t="e">
        <f t="shared" si="2"/>
        <v>#DIV/0!</v>
      </c>
      <c r="AP39" s="227" t="e">
        <f t="shared" si="2"/>
        <v>#DIV/0!</v>
      </c>
      <c r="AQ39" s="227" t="e">
        <f t="shared" si="2"/>
        <v>#DIV/0!</v>
      </c>
      <c r="AR39" s="227" t="e">
        <f t="shared" si="2"/>
        <v>#DIV/0!</v>
      </c>
      <c r="AS39" s="227" t="e">
        <f t="shared" si="2"/>
        <v>#DIV/0!</v>
      </c>
      <c r="AT39" s="227" t="e">
        <f t="shared" si="2"/>
        <v>#DIV/0!</v>
      </c>
      <c r="AU39" s="227" t="e">
        <f t="shared" si="2"/>
        <v>#DIV/0!</v>
      </c>
      <c r="AV39" s="227" t="e">
        <f t="shared" si="2"/>
        <v>#DIV/0!</v>
      </c>
      <c r="AW39" s="227" t="e">
        <f t="shared" si="2"/>
        <v>#DIV/0!</v>
      </c>
      <c r="AX39" s="228" t="e">
        <f t="shared" si="2"/>
        <v>#DIV/0!</v>
      </c>
    </row>
    <row r="40" spans="2:50">
      <c r="B40" s="220">
        <v>30</v>
      </c>
      <c r="C40" s="61"/>
      <c r="D40" s="61"/>
      <c r="E40" s="61"/>
      <c r="F40" s="61"/>
      <c r="G40" s="61"/>
      <c r="H40" s="61"/>
      <c r="I40" s="61"/>
      <c r="J40" s="61"/>
      <c r="K40" s="61"/>
      <c r="L40" s="61"/>
      <c r="M40" s="61"/>
      <c r="N40" s="61"/>
      <c r="O40" s="61"/>
      <c r="P40" s="70"/>
      <c r="R40" s="220">
        <v>30</v>
      </c>
      <c r="S40" s="61"/>
      <c r="T40" s="61"/>
      <c r="U40" s="61"/>
      <c r="V40" s="61"/>
      <c r="W40" s="61"/>
      <c r="X40" s="61"/>
      <c r="Y40" s="61"/>
      <c r="Z40" s="61"/>
      <c r="AA40" s="61"/>
      <c r="AB40" s="61"/>
      <c r="AC40" s="61"/>
      <c r="AD40" s="61"/>
      <c r="AE40" s="61"/>
      <c r="AF40" s="70"/>
      <c r="AJ40" s="220">
        <v>30</v>
      </c>
      <c r="AK40" s="227" t="e">
        <f t="shared" si="2"/>
        <v>#DIV/0!</v>
      </c>
      <c r="AL40" s="227" t="e">
        <f t="shared" si="2"/>
        <v>#DIV/0!</v>
      </c>
      <c r="AM40" s="227" t="e">
        <f t="shared" si="2"/>
        <v>#DIV/0!</v>
      </c>
      <c r="AN40" s="227" t="e">
        <f t="shared" si="2"/>
        <v>#DIV/0!</v>
      </c>
      <c r="AO40" s="227" t="e">
        <f t="shared" si="2"/>
        <v>#DIV/0!</v>
      </c>
      <c r="AP40" s="227" t="e">
        <f t="shared" si="2"/>
        <v>#DIV/0!</v>
      </c>
      <c r="AQ40" s="227" t="e">
        <f t="shared" si="2"/>
        <v>#DIV/0!</v>
      </c>
      <c r="AR40" s="227" t="e">
        <f t="shared" si="2"/>
        <v>#DIV/0!</v>
      </c>
      <c r="AS40" s="227" t="e">
        <f t="shared" si="2"/>
        <v>#DIV/0!</v>
      </c>
      <c r="AT40" s="227" t="e">
        <f t="shared" si="2"/>
        <v>#DIV/0!</v>
      </c>
      <c r="AU40" s="227" t="e">
        <f t="shared" si="2"/>
        <v>#DIV/0!</v>
      </c>
      <c r="AV40" s="227" t="e">
        <f t="shared" si="2"/>
        <v>#DIV/0!</v>
      </c>
      <c r="AW40" s="227" t="e">
        <f t="shared" si="2"/>
        <v>#DIV/0!</v>
      </c>
      <c r="AX40" s="228" t="e">
        <f t="shared" si="2"/>
        <v>#DIV/0!</v>
      </c>
    </row>
    <row r="41" spans="2:50">
      <c r="B41" s="220">
        <v>31</v>
      </c>
      <c r="C41" s="61"/>
      <c r="D41" s="61"/>
      <c r="E41" s="61"/>
      <c r="F41" s="61"/>
      <c r="G41" s="61"/>
      <c r="H41" s="61"/>
      <c r="I41" s="61"/>
      <c r="J41" s="61"/>
      <c r="K41" s="61"/>
      <c r="L41" s="61"/>
      <c r="M41" s="61"/>
      <c r="N41" s="61"/>
      <c r="O41" s="61"/>
      <c r="P41" s="70"/>
      <c r="R41" s="220">
        <v>31</v>
      </c>
      <c r="S41" s="61"/>
      <c r="T41" s="61"/>
      <c r="U41" s="61"/>
      <c r="V41" s="61"/>
      <c r="W41" s="61"/>
      <c r="X41" s="61"/>
      <c r="Y41" s="61"/>
      <c r="Z41" s="61"/>
      <c r="AA41" s="61"/>
      <c r="AB41" s="61"/>
      <c r="AC41" s="61"/>
      <c r="AD41" s="61"/>
      <c r="AE41" s="61"/>
      <c r="AF41" s="70"/>
      <c r="AJ41" s="220">
        <v>31</v>
      </c>
      <c r="AK41" s="227" t="e">
        <f t="shared" si="2"/>
        <v>#DIV/0!</v>
      </c>
      <c r="AL41" s="227" t="e">
        <f t="shared" si="2"/>
        <v>#DIV/0!</v>
      </c>
      <c r="AM41" s="227" t="e">
        <f t="shared" si="2"/>
        <v>#DIV/0!</v>
      </c>
      <c r="AN41" s="227" t="e">
        <f t="shared" si="2"/>
        <v>#DIV/0!</v>
      </c>
      <c r="AO41" s="227" t="e">
        <f t="shared" si="2"/>
        <v>#DIV/0!</v>
      </c>
      <c r="AP41" s="227" t="e">
        <f t="shared" si="2"/>
        <v>#DIV/0!</v>
      </c>
      <c r="AQ41" s="227" t="e">
        <f t="shared" si="2"/>
        <v>#DIV/0!</v>
      </c>
      <c r="AR41" s="227" t="e">
        <f t="shared" si="2"/>
        <v>#DIV/0!</v>
      </c>
      <c r="AS41" s="227" t="e">
        <f t="shared" si="2"/>
        <v>#DIV/0!</v>
      </c>
      <c r="AT41" s="227" t="e">
        <f t="shared" si="2"/>
        <v>#DIV/0!</v>
      </c>
      <c r="AU41" s="227" t="e">
        <f t="shared" si="2"/>
        <v>#DIV/0!</v>
      </c>
      <c r="AV41" s="227" t="e">
        <f t="shared" si="2"/>
        <v>#DIV/0!</v>
      </c>
      <c r="AW41" s="227" t="e">
        <f t="shared" si="2"/>
        <v>#DIV/0!</v>
      </c>
      <c r="AX41" s="228" t="e">
        <f t="shared" si="2"/>
        <v>#DIV/0!</v>
      </c>
    </row>
    <row r="42" spans="2:50">
      <c r="B42" s="220">
        <v>32</v>
      </c>
      <c r="C42" s="61"/>
      <c r="D42" s="61"/>
      <c r="E42" s="61"/>
      <c r="F42" s="61"/>
      <c r="G42" s="61"/>
      <c r="H42" s="61"/>
      <c r="I42" s="61"/>
      <c r="J42" s="61"/>
      <c r="K42" s="61"/>
      <c r="L42" s="61"/>
      <c r="M42" s="61"/>
      <c r="N42" s="61"/>
      <c r="O42" s="61"/>
      <c r="P42" s="70"/>
      <c r="R42" s="220">
        <v>32</v>
      </c>
      <c r="S42" s="61"/>
      <c r="T42" s="61"/>
      <c r="U42" s="61"/>
      <c r="V42" s="61"/>
      <c r="W42" s="61"/>
      <c r="X42" s="61"/>
      <c r="Y42" s="61"/>
      <c r="Z42" s="61"/>
      <c r="AA42" s="61"/>
      <c r="AB42" s="61"/>
      <c r="AC42" s="61"/>
      <c r="AD42" s="61"/>
      <c r="AE42" s="61"/>
      <c r="AF42" s="70"/>
      <c r="AJ42" s="220">
        <v>32</v>
      </c>
      <c r="AK42" s="227" t="e">
        <f t="shared" si="2"/>
        <v>#DIV/0!</v>
      </c>
      <c r="AL42" s="227" t="e">
        <f t="shared" si="2"/>
        <v>#DIV/0!</v>
      </c>
      <c r="AM42" s="227" t="e">
        <f t="shared" si="2"/>
        <v>#DIV/0!</v>
      </c>
      <c r="AN42" s="227" t="e">
        <f t="shared" si="2"/>
        <v>#DIV/0!</v>
      </c>
      <c r="AO42" s="227" t="e">
        <f t="shared" si="2"/>
        <v>#DIV/0!</v>
      </c>
      <c r="AP42" s="227" t="e">
        <f t="shared" si="2"/>
        <v>#DIV/0!</v>
      </c>
      <c r="AQ42" s="227" t="e">
        <f t="shared" si="2"/>
        <v>#DIV/0!</v>
      </c>
      <c r="AR42" s="227" t="e">
        <f t="shared" si="2"/>
        <v>#DIV/0!</v>
      </c>
      <c r="AS42" s="227" t="e">
        <f t="shared" si="2"/>
        <v>#DIV/0!</v>
      </c>
      <c r="AT42" s="227" t="e">
        <f t="shared" si="2"/>
        <v>#DIV/0!</v>
      </c>
      <c r="AU42" s="227" t="e">
        <f t="shared" si="2"/>
        <v>#DIV/0!</v>
      </c>
      <c r="AV42" s="227" t="e">
        <f t="shared" si="2"/>
        <v>#DIV/0!</v>
      </c>
      <c r="AW42" s="227" t="e">
        <f t="shared" si="2"/>
        <v>#DIV/0!</v>
      </c>
      <c r="AX42" s="228" t="e">
        <f t="shared" si="2"/>
        <v>#DIV/0!</v>
      </c>
    </row>
    <row r="43" spans="2:50">
      <c r="B43" s="220">
        <v>33</v>
      </c>
      <c r="C43" s="61"/>
      <c r="D43" s="61"/>
      <c r="E43" s="61"/>
      <c r="F43" s="61"/>
      <c r="G43" s="61"/>
      <c r="H43" s="61"/>
      <c r="I43" s="61"/>
      <c r="J43" s="61"/>
      <c r="K43" s="61"/>
      <c r="L43" s="61"/>
      <c r="M43" s="61"/>
      <c r="N43" s="61"/>
      <c r="O43" s="61"/>
      <c r="P43" s="70"/>
      <c r="R43" s="220">
        <v>33</v>
      </c>
      <c r="S43" s="61"/>
      <c r="T43" s="61"/>
      <c r="U43" s="61"/>
      <c r="V43" s="61"/>
      <c r="W43" s="61"/>
      <c r="X43" s="61"/>
      <c r="Y43" s="61"/>
      <c r="Z43" s="61"/>
      <c r="AA43" s="61"/>
      <c r="AB43" s="61"/>
      <c r="AC43" s="61"/>
      <c r="AD43" s="61"/>
      <c r="AE43" s="61"/>
      <c r="AF43" s="70"/>
      <c r="AJ43" s="220">
        <v>33</v>
      </c>
      <c r="AK43" s="227" t="e">
        <f t="shared" ref="AK43:AX58" si="3">EXP(-AK$9*$AJ43)</f>
        <v>#DIV/0!</v>
      </c>
      <c r="AL43" s="227" t="e">
        <f t="shared" si="3"/>
        <v>#DIV/0!</v>
      </c>
      <c r="AM43" s="227" t="e">
        <f t="shared" si="3"/>
        <v>#DIV/0!</v>
      </c>
      <c r="AN43" s="227" t="e">
        <f t="shared" si="3"/>
        <v>#DIV/0!</v>
      </c>
      <c r="AO43" s="227" t="e">
        <f t="shared" si="3"/>
        <v>#DIV/0!</v>
      </c>
      <c r="AP43" s="227" t="e">
        <f t="shared" si="3"/>
        <v>#DIV/0!</v>
      </c>
      <c r="AQ43" s="227" t="e">
        <f t="shared" si="3"/>
        <v>#DIV/0!</v>
      </c>
      <c r="AR43" s="227" t="e">
        <f t="shared" si="3"/>
        <v>#DIV/0!</v>
      </c>
      <c r="AS43" s="227" t="e">
        <f t="shared" si="3"/>
        <v>#DIV/0!</v>
      </c>
      <c r="AT43" s="227" t="e">
        <f t="shared" si="3"/>
        <v>#DIV/0!</v>
      </c>
      <c r="AU43" s="227" t="e">
        <f t="shared" si="3"/>
        <v>#DIV/0!</v>
      </c>
      <c r="AV43" s="227" t="e">
        <f t="shared" si="3"/>
        <v>#DIV/0!</v>
      </c>
      <c r="AW43" s="227" t="e">
        <f t="shared" si="3"/>
        <v>#DIV/0!</v>
      </c>
      <c r="AX43" s="228" t="e">
        <f t="shared" si="3"/>
        <v>#DIV/0!</v>
      </c>
    </row>
    <row r="44" spans="2:50">
      <c r="B44" s="220">
        <v>34</v>
      </c>
      <c r="C44" s="61"/>
      <c r="D44" s="61"/>
      <c r="E44" s="61"/>
      <c r="F44" s="61"/>
      <c r="G44" s="61"/>
      <c r="H44" s="61"/>
      <c r="I44" s="61"/>
      <c r="J44" s="61"/>
      <c r="K44" s="61"/>
      <c r="L44" s="61"/>
      <c r="M44" s="61"/>
      <c r="N44" s="61"/>
      <c r="O44" s="61"/>
      <c r="P44" s="70"/>
      <c r="R44" s="220">
        <v>34</v>
      </c>
      <c r="S44" s="61"/>
      <c r="T44" s="61"/>
      <c r="U44" s="61"/>
      <c r="V44" s="61"/>
      <c r="W44" s="61"/>
      <c r="X44" s="61"/>
      <c r="Y44" s="61"/>
      <c r="Z44" s="61"/>
      <c r="AA44" s="61"/>
      <c r="AB44" s="61"/>
      <c r="AC44" s="61"/>
      <c r="AD44" s="61"/>
      <c r="AE44" s="61"/>
      <c r="AF44" s="70"/>
      <c r="AJ44" s="220">
        <v>34</v>
      </c>
      <c r="AK44" s="227" t="e">
        <f t="shared" si="3"/>
        <v>#DIV/0!</v>
      </c>
      <c r="AL44" s="227" t="e">
        <f t="shared" si="3"/>
        <v>#DIV/0!</v>
      </c>
      <c r="AM44" s="227" t="e">
        <f t="shared" si="3"/>
        <v>#DIV/0!</v>
      </c>
      <c r="AN44" s="227" t="e">
        <f t="shared" si="3"/>
        <v>#DIV/0!</v>
      </c>
      <c r="AO44" s="227" t="e">
        <f t="shared" si="3"/>
        <v>#DIV/0!</v>
      </c>
      <c r="AP44" s="227" t="e">
        <f t="shared" si="3"/>
        <v>#DIV/0!</v>
      </c>
      <c r="AQ44" s="227" t="e">
        <f t="shared" si="3"/>
        <v>#DIV/0!</v>
      </c>
      <c r="AR44" s="227" t="e">
        <f t="shared" si="3"/>
        <v>#DIV/0!</v>
      </c>
      <c r="AS44" s="227" t="e">
        <f t="shared" si="3"/>
        <v>#DIV/0!</v>
      </c>
      <c r="AT44" s="227" t="e">
        <f t="shared" si="3"/>
        <v>#DIV/0!</v>
      </c>
      <c r="AU44" s="227" t="e">
        <f t="shared" si="3"/>
        <v>#DIV/0!</v>
      </c>
      <c r="AV44" s="227" t="e">
        <f t="shared" si="3"/>
        <v>#DIV/0!</v>
      </c>
      <c r="AW44" s="227" t="e">
        <f t="shared" si="3"/>
        <v>#DIV/0!</v>
      </c>
      <c r="AX44" s="228" t="e">
        <f t="shared" si="3"/>
        <v>#DIV/0!</v>
      </c>
    </row>
    <row r="45" spans="2:50">
      <c r="B45" s="220">
        <v>35</v>
      </c>
      <c r="C45" s="61"/>
      <c r="D45" s="61"/>
      <c r="E45" s="61"/>
      <c r="F45" s="61"/>
      <c r="G45" s="61"/>
      <c r="H45" s="61"/>
      <c r="I45" s="61"/>
      <c r="J45" s="61"/>
      <c r="K45" s="61"/>
      <c r="L45" s="61"/>
      <c r="M45" s="61"/>
      <c r="N45" s="61"/>
      <c r="O45" s="61"/>
      <c r="P45" s="70"/>
      <c r="R45" s="220">
        <v>35</v>
      </c>
      <c r="S45" s="61"/>
      <c r="T45" s="61"/>
      <c r="U45" s="61"/>
      <c r="V45" s="61"/>
      <c r="W45" s="61"/>
      <c r="X45" s="61"/>
      <c r="Y45" s="61"/>
      <c r="Z45" s="61"/>
      <c r="AA45" s="61"/>
      <c r="AB45" s="61"/>
      <c r="AC45" s="61"/>
      <c r="AD45" s="61"/>
      <c r="AE45" s="61"/>
      <c r="AF45" s="70"/>
      <c r="AJ45" s="220">
        <v>35</v>
      </c>
      <c r="AK45" s="227" t="e">
        <f t="shared" si="3"/>
        <v>#DIV/0!</v>
      </c>
      <c r="AL45" s="227" t="e">
        <f t="shared" si="3"/>
        <v>#DIV/0!</v>
      </c>
      <c r="AM45" s="227" t="e">
        <f t="shared" si="3"/>
        <v>#DIV/0!</v>
      </c>
      <c r="AN45" s="227" t="e">
        <f t="shared" si="3"/>
        <v>#DIV/0!</v>
      </c>
      <c r="AO45" s="227" t="e">
        <f t="shared" si="3"/>
        <v>#DIV/0!</v>
      </c>
      <c r="AP45" s="227" t="e">
        <f t="shared" si="3"/>
        <v>#DIV/0!</v>
      </c>
      <c r="AQ45" s="227" t="e">
        <f t="shared" si="3"/>
        <v>#DIV/0!</v>
      </c>
      <c r="AR45" s="227" t="e">
        <f t="shared" si="3"/>
        <v>#DIV/0!</v>
      </c>
      <c r="AS45" s="227" t="e">
        <f t="shared" si="3"/>
        <v>#DIV/0!</v>
      </c>
      <c r="AT45" s="227" t="e">
        <f t="shared" si="3"/>
        <v>#DIV/0!</v>
      </c>
      <c r="AU45" s="227" t="e">
        <f t="shared" si="3"/>
        <v>#DIV/0!</v>
      </c>
      <c r="AV45" s="227" t="e">
        <f t="shared" si="3"/>
        <v>#DIV/0!</v>
      </c>
      <c r="AW45" s="227" t="e">
        <f t="shared" si="3"/>
        <v>#DIV/0!</v>
      </c>
      <c r="AX45" s="228" t="e">
        <f t="shared" si="3"/>
        <v>#DIV/0!</v>
      </c>
    </row>
    <row r="46" spans="2:50">
      <c r="B46" s="224">
        <v>36</v>
      </c>
      <c r="C46" s="68"/>
      <c r="D46" s="68"/>
      <c r="E46" s="68"/>
      <c r="F46" s="68"/>
      <c r="G46" s="68"/>
      <c r="H46" s="68"/>
      <c r="I46" s="68"/>
      <c r="J46" s="68"/>
      <c r="K46" s="68"/>
      <c r="L46" s="68"/>
      <c r="M46" s="68"/>
      <c r="N46" s="68"/>
      <c r="O46" s="68"/>
      <c r="P46" s="69"/>
      <c r="R46" s="224">
        <v>36</v>
      </c>
      <c r="S46" s="68"/>
      <c r="T46" s="68"/>
      <c r="U46" s="68"/>
      <c r="V46" s="68"/>
      <c r="W46" s="68"/>
      <c r="X46" s="68"/>
      <c r="Y46" s="68"/>
      <c r="Z46" s="68"/>
      <c r="AA46" s="68"/>
      <c r="AB46" s="68"/>
      <c r="AC46" s="68"/>
      <c r="AD46" s="68"/>
      <c r="AE46" s="68"/>
      <c r="AF46" s="69"/>
      <c r="AJ46" s="224">
        <v>36</v>
      </c>
      <c r="AK46" s="225" t="e">
        <f t="shared" si="3"/>
        <v>#DIV/0!</v>
      </c>
      <c r="AL46" s="225" t="e">
        <f t="shared" si="3"/>
        <v>#DIV/0!</v>
      </c>
      <c r="AM46" s="225" t="e">
        <f t="shared" si="3"/>
        <v>#DIV/0!</v>
      </c>
      <c r="AN46" s="225" t="e">
        <f t="shared" si="3"/>
        <v>#DIV/0!</v>
      </c>
      <c r="AO46" s="225" t="e">
        <f t="shared" si="3"/>
        <v>#DIV/0!</v>
      </c>
      <c r="AP46" s="225" t="e">
        <f t="shared" si="3"/>
        <v>#DIV/0!</v>
      </c>
      <c r="AQ46" s="225" t="e">
        <f t="shared" si="3"/>
        <v>#DIV/0!</v>
      </c>
      <c r="AR46" s="225" t="e">
        <f t="shared" si="3"/>
        <v>#DIV/0!</v>
      </c>
      <c r="AS46" s="225" t="e">
        <f t="shared" si="3"/>
        <v>#DIV/0!</v>
      </c>
      <c r="AT46" s="225" t="e">
        <f t="shared" si="3"/>
        <v>#DIV/0!</v>
      </c>
      <c r="AU46" s="225" t="e">
        <f t="shared" si="3"/>
        <v>#DIV/0!</v>
      </c>
      <c r="AV46" s="225" t="e">
        <f t="shared" si="3"/>
        <v>#DIV/0!</v>
      </c>
      <c r="AW46" s="225" t="e">
        <f t="shared" si="3"/>
        <v>#DIV/0!</v>
      </c>
      <c r="AX46" s="226" t="e">
        <f t="shared" si="3"/>
        <v>#DIV/0!</v>
      </c>
    </row>
    <row r="47" spans="2:50" s="229" customFormat="1">
      <c r="B47" s="220">
        <v>37</v>
      </c>
      <c r="C47" s="61"/>
      <c r="D47" s="61"/>
      <c r="E47" s="61"/>
      <c r="F47" s="61"/>
      <c r="G47" s="61"/>
      <c r="H47" s="61"/>
      <c r="I47" s="61"/>
      <c r="J47" s="61"/>
      <c r="K47" s="61"/>
      <c r="L47" s="61"/>
      <c r="M47" s="61"/>
      <c r="N47" s="61"/>
      <c r="O47" s="61"/>
      <c r="P47" s="70"/>
      <c r="R47" s="220">
        <v>37</v>
      </c>
      <c r="S47" s="61"/>
      <c r="T47" s="61"/>
      <c r="U47" s="61"/>
      <c r="V47" s="61"/>
      <c r="W47" s="61"/>
      <c r="X47" s="61"/>
      <c r="Y47" s="61"/>
      <c r="Z47" s="61"/>
      <c r="AA47" s="61"/>
      <c r="AB47" s="61"/>
      <c r="AC47" s="61"/>
      <c r="AD47" s="61"/>
      <c r="AE47" s="61"/>
      <c r="AF47" s="70"/>
      <c r="AJ47" s="220">
        <v>37</v>
      </c>
      <c r="AK47" s="227" t="e">
        <f t="shared" si="3"/>
        <v>#DIV/0!</v>
      </c>
      <c r="AL47" s="227" t="e">
        <f t="shared" si="3"/>
        <v>#DIV/0!</v>
      </c>
      <c r="AM47" s="227" t="e">
        <f t="shared" si="3"/>
        <v>#DIV/0!</v>
      </c>
      <c r="AN47" s="227" t="e">
        <f t="shared" si="3"/>
        <v>#DIV/0!</v>
      </c>
      <c r="AO47" s="227" t="e">
        <f t="shared" si="3"/>
        <v>#DIV/0!</v>
      </c>
      <c r="AP47" s="227" t="e">
        <f t="shared" si="3"/>
        <v>#DIV/0!</v>
      </c>
      <c r="AQ47" s="227" t="e">
        <f t="shared" si="3"/>
        <v>#DIV/0!</v>
      </c>
      <c r="AR47" s="227" t="e">
        <f t="shared" si="3"/>
        <v>#DIV/0!</v>
      </c>
      <c r="AS47" s="227" t="e">
        <f t="shared" si="3"/>
        <v>#DIV/0!</v>
      </c>
      <c r="AT47" s="227" t="e">
        <f t="shared" si="3"/>
        <v>#DIV/0!</v>
      </c>
      <c r="AU47" s="227" t="e">
        <f t="shared" si="3"/>
        <v>#DIV/0!</v>
      </c>
      <c r="AV47" s="227" t="e">
        <f t="shared" si="3"/>
        <v>#DIV/0!</v>
      </c>
      <c r="AW47" s="227" t="e">
        <f t="shared" si="3"/>
        <v>#DIV/0!</v>
      </c>
      <c r="AX47" s="228" t="e">
        <f t="shared" si="3"/>
        <v>#DIV/0!</v>
      </c>
    </row>
    <row r="48" spans="2:50">
      <c r="B48" s="220">
        <v>38</v>
      </c>
      <c r="C48" s="61"/>
      <c r="D48" s="61"/>
      <c r="E48" s="61"/>
      <c r="F48" s="61"/>
      <c r="G48" s="61"/>
      <c r="H48" s="61"/>
      <c r="I48" s="61"/>
      <c r="J48" s="61"/>
      <c r="K48" s="61"/>
      <c r="L48" s="61"/>
      <c r="M48" s="61"/>
      <c r="N48" s="61"/>
      <c r="O48" s="61"/>
      <c r="P48" s="70"/>
      <c r="R48" s="220">
        <v>38</v>
      </c>
      <c r="S48" s="61"/>
      <c r="T48" s="61"/>
      <c r="U48" s="61"/>
      <c r="V48" s="61"/>
      <c r="W48" s="61"/>
      <c r="X48" s="61"/>
      <c r="Y48" s="61"/>
      <c r="Z48" s="61"/>
      <c r="AA48" s="61"/>
      <c r="AB48" s="61"/>
      <c r="AC48" s="61"/>
      <c r="AD48" s="61"/>
      <c r="AE48" s="61"/>
      <c r="AF48" s="70"/>
      <c r="AJ48" s="220">
        <v>38</v>
      </c>
      <c r="AK48" s="227" t="e">
        <f t="shared" si="3"/>
        <v>#DIV/0!</v>
      </c>
      <c r="AL48" s="227" t="e">
        <f t="shared" si="3"/>
        <v>#DIV/0!</v>
      </c>
      <c r="AM48" s="227" t="e">
        <f t="shared" si="3"/>
        <v>#DIV/0!</v>
      </c>
      <c r="AN48" s="227" t="e">
        <f t="shared" si="3"/>
        <v>#DIV/0!</v>
      </c>
      <c r="AO48" s="227" t="e">
        <f t="shared" si="3"/>
        <v>#DIV/0!</v>
      </c>
      <c r="AP48" s="227" t="e">
        <f t="shared" si="3"/>
        <v>#DIV/0!</v>
      </c>
      <c r="AQ48" s="227" t="e">
        <f t="shared" si="3"/>
        <v>#DIV/0!</v>
      </c>
      <c r="AR48" s="227" t="e">
        <f t="shared" si="3"/>
        <v>#DIV/0!</v>
      </c>
      <c r="AS48" s="227" t="e">
        <f t="shared" si="3"/>
        <v>#DIV/0!</v>
      </c>
      <c r="AT48" s="227" t="e">
        <f t="shared" si="3"/>
        <v>#DIV/0!</v>
      </c>
      <c r="AU48" s="227" t="e">
        <f t="shared" si="3"/>
        <v>#DIV/0!</v>
      </c>
      <c r="AV48" s="227" t="e">
        <f t="shared" si="3"/>
        <v>#DIV/0!</v>
      </c>
      <c r="AW48" s="227" t="e">
        <f t="shared" si="3"/>
        <v>#DIV/0!</v>
      </c>
      <c r="AX48" s="228" t="e">
        <f t="shared" si="3"/>
        <v>#DIV/0!</v>
      </c>
    </row>
    <row r="49" spans="2:50">
      <c r="B49" s="220">
        <v>39</v>
      </c>
      <c r="C49" s="61"/>
      <c r="D49" s="61"/>
      <c r="E49" s="61"/>
      <c r="F49" s="61"/>
      <c r="G49" s="61"/>
      <c r="H49" s="61"/>
      <c r="I49" s="61"/>
      <c r="J49" s="61"/>
      <c r="K49" s="61"/>
      <c r="L49" s="61"/>
      <c r="M49" s="61"/>
      <c r="N49" s="61"/>
      <c r="O49" s="61"/>
      <c r="P49" s="70"/>
      <c r="R49" s="220">
        <v>39</v>
      </c>
      <c r="S49" s="61"/>
      <c r="T49" s="61"/>
      <c r="U49" s="61"/>
      <c r="V49" s="61"/>
      <c r="W49" s="61"/>
      <c r="X49" s="61"/>
      <c r="Y49" s="61"/>
      <c r="Z49" s="61"/>
      <c r="AA49" s="61"/>
      <c r="AB49" s="61"/>
      <c r="AC49" s="61"/>
      <c r="AD49" s="61"/>
      <c r="AE49" s="61"/>
      <c r="AF49" s="70"/>
      <c r="AJ49" s="220">
        <v>39</v>
      </c>
      <c r="AK49" s="227" t="e">
        <f t="shared" si="3"/>
        <v>#DIV/0!</v>
      </c>
      <c r="AL49" s="227" t="e">
        <f t="shared" si="3"/>
        <v>#DIV/0!</v>
      </c>
      <c r="AM49" s="227" t="e">
        <f t="shared" si="3"/>
        <v>#DIV/0!</v>
      </c>
      <c r="AN49" s="227" t="e">
        <f t="shared" si="3"/>
        <v>#DIV/0!</v>
      </c>
      <c r="AO49" s="227" t="e">
        <f t="shared" si="3"/>
        <v>#DIV/0!</v>
      </c>
      <c r="AP49" s="227" t="e">
        <f t="shared" si="3"/>
        <v>#DIV/0!</v>
      </c>
      <c r="AQ49" s="227" t="e">
        <f t="shared" si="3"/>
        <v>#DIV/0!</v>
      </c>
      <c r="AR49" s="227" t="e">
        <f t="shared" si="3"/>
        <v>#DIV/0!</v>
      </c>
      <c r="AS49" s="227" t="e">
        <f t="shared" si="3"/>
        <v>#DIV/0!</v>
      </c>
      <c r="AT49" s="227" t="e">
        <f t="shared" si="3"/>
        <v>#DIV/0!</v>
      </c>
      <c r="AU49" s="227" t="e">
        <f t="shared" si="3"/>
        <v>#DIV/0!</v>
      </c>
      <c r="AV49" s="227" t="e">
        <f t="shared" si="3"/>
        <v>#DIV/0!</v>
      </c>
      <c r="AW49" s="227" t="e">
        <f t="shared" si="3"/>
        <v>#DIV/0!</v>
      </c>
      <c r="AX49" s="228" t="e">
        <f t="shared" si="3"/>
        <v>#DIV/0!</v>
      </c>
    </row>
    <row r="50" spans="2:50">
      <c r="B50" s="220">
        <v>40</v>
      </c>
      <c r="C50" s="61"/>
      <c r="D50" s="61"/>
      <c r="E50" s="61"/>
      <c r="F50" s="61"/>
      <c r="G50" s="61"/>
      <c r="H50" s="61"/>
      <c r="I50" s="61"/>
      <c r="J50" s="61"/>
      <c r="K50" s="61"/>
      <c r="L50" s="61"/>
      <c r="M50" s="61"/>
      <c r="N50" s="61"/>
      <c r="O50" s="61"/>
      <c r="P50" s="70"/>
      <c r="R50" s="220">
        <v>40</v>
      </c>
      <c r="S50" s="61"/>
      <c r="T50" s="61"/>
      <c r="U50" s="61"/>
      <c r="V50" s="61"/>
      <c r="W50" s="61"/>
      <c r="X50" s="61"/>
      <c r="Y50" s="61"/>
      <c r="Z50" s="61"/>
      <c r="AA50" s="61"/>
      <c r="AB50" s="61"/>
      <c r="AC50" s="61"/>
      <c r="AD50" s="61"/>
      <c r="AE50" s="61"/>
      <c r="AF50" s="70"/>
      <c r="AJ50" s="220">
        <v>40</v>
      </c>
      <c r="AK50" s="227" t="e">
        <f t="shared" si="3"/>
        <v>#DIV/0!</v>
      </c>
      <c r="AL50" s="227" t="e">
        <f t="shared" si="3"/>
        <v>#DIV/0!</v>
      </c>
      <c r="AM50" s="227" t="e">
        <f t="shared" si="3"/>
        <v>#DIV/0!</v>
      </c>
      <c r="AN50" s="227" t="e">
        <f t="shared" si="3"/>
        <v>#DIV/0!</v>
      </c>
      <c r="AO50" s="227" t="e">
        <f t="shared" si="3"/>
        <v>#DIV/0!</v>
      </c>
      <c r="AP50" s="227" t="e">
        <f t="shared" si="3"/>
        <v>#DIV/0!</v>
      </c>
      <c r="AQ50" s="227" t="e">
        <f t="shared" si="3"/>
        <v>#DIV/0!</v>
      </c>
      <c r="AR50" s="227" t="e">
        <f t="shared" si="3"/>
        <v>#DIV/0!</v>
      </c>
      <c r="AS50" s="227" t="e">
        <f t="shared" si="3"/>
        <v>#DIV/0!</v>
      </c>
      <c r="AT50" s="227" t="e">
        <f t="shared" si="3"/>
        <v>#DIV/0!</v>
      </c>
      <c r="AU50" s="227" t="e">
        <f t="shared" si="3"/>
        <v>#DIV/0!</v>
      </c>
      <c r="AV50" s="227" t="e">
        <f t="shared" si="3"/>
        <v>#DIV/0!</v>
      </c>
      <c r="AW50" s="227" t="e">
        <f t="shared" si="3"/>
        <v>#DIV/0!</v>
      </c>
      <c r="AX50" s="228" t="e">
        <f t="shared" si="3"/>
        <v>#DIV/0!</v>
      </c>
    </row>
    <row r="51" spans="2:50">
      <c r="B51" s="220">
        <v>41</v>
      </c>
      <c r="C51" s="61"/>
      <c r="D51" s="61"/>
      <c r="E51" s="61"/>
      <c r="F51" s="61"/>
      <c r="G51" s="61"/>
      <c r="H51" s="61"/>
      <c r="I51" s="61"/>
      <c r="J51" s="61"/>
      <c r="K51" s="61"/>
      <c r="L51" s="61"/>
      <c r="M51" s="61"/>
      <c r="N51" s="61"/>
      <c r="O51" s="61"/>
      <c r="P51" s="70"/>
      <c r="R51" s="220">
        <v>41</v>
      </c>
      <c r="S51" s="61"/>
      <c r="T51" s="61"/>
      <c r="U51" s="61"/>
      <c r="V51" s="61"/>
      <c r="W51" s="61"/>
      <c r="X51" s="61"/>
      <c r="Y51" s="61"/>
      <c r="Z51" s="61"/>
      <c r="AA51" s="61"/>
      <c r="AB51" s="61"/>
      <c r="AC51" s="61"/>
      <c r="AD51" s="61"/>
      <c r="AE51" s="61"/>
      <c r="AF51" s="70"/>
      <c r="AJ51" s="220">
        <v>41</v>
      </c>
      <c r="AK51" s="227" t="e">
        <f t="shared" si="3"/>
        <v>#DIV/0!</v>
      </c>
      <c r="AL51" s="227" t="e">
        <f t="shared" si="3"/>
        <v>#DIV/0!</v>
      </c>
      <c r="AM51" s="227" t="e">
        <f t="shared" si="3"/>
        <v>#DIV/0!</v>
      </c>
      <c r="AN51" s="227" t="e">
        <f t="shared" si="3"/>
        <v>#DIV/0!</v>
      </c>
      <c r="AO51" s="227" t="e">
        <f t="shared" si="3"/>
        <v>#DIV/0!</v>
      </c>
      <c r="AP51" s="227" t="e">
        <f t="shared" si="3"/>
        <v>#DIV/0!</v>
      </c>
      <c r="AQ51" s="227" t="e">
        <f t="shared" si="3"/>
        <v>#DIV/0!</v>
      </c>
      <c r="AR51" s="227" t="e">
        <f t="shared" si="3"/>
        <v>#DIV/0!</v>
      </c>
      <c r="AS51" s="227" t="e">
        <f t="shared" si="3"/>
        <v>#DIV/0!</v>
      </c>
      <c r="AT51" s="227" t="e">
        <f t="shared" si="3"/>
        <v>#DIV/0!</v>
      </c>
      <c r="AU51" s="227" t="e">
        <f t="shared" si="3"/>
        <v>#DIV/0!</v>
      </c>
      <c r="AV51" s="227" t="e">
        <f t="shared" si="3"/>
        <v>#DIV/0!</v>
      </c>
      <c r="AW51" s="227" t="e">
        <f t="shared" si="3"/>
        <v>#DIV/0!</v>
      </c>
      <c r="AX51" s="228" t="e">
        <f t="shared" si="3"/>
        <v>#DIV/0!</v>
      </c>
    </row>
    <row r="52" spans="2:50">
      <c r="B52" s="220">
        <v>42</v>
      </c>
      <c r="C52" s="61"/>
      <c r="D52" s="61"/>
      <c r="E52" s="61"/>
      <c r="F52" s="61"/>
      <c r="G52" s="61"/>
      <c r="H52" s="61"/>
      <c r="I52" s="61"/>
      <c r="J52" s="61"/>
      <c r="K52" s="61"/>
      <c r="L52" s="61"/>
      <c r="M52" s="61"/>
      <c r="N52" s="61"/>
      <c r="O52" s="61"/>
      <c r="P52" s="70"/>
      <c r="R52" s="220">
        <v>42</v>
      </c>
      <c r="S52" s="61"/>
      <c r="T52" s="61"/>
      <c r="U52" s="61"/>
      <c r="V52" s="61"/>
      <c r="W52" s="61"/>
      <c r="X52" s="61"/>
      <c r="Y52" s="61"/>
      <c r="Z52" s="61"/>
      <c r="AA52" s="61"/>
      <c r="AB52" s="61"/>
      <c r="AC52" s="61"/>
      <c r="AD52" s="61"/>
      <c r="AE52" s="61"/>
      <c r="AF52" s="70"/>
      <c r="AJ52" s="220">
        <v>42</v>
      </c>
      <c r="AK52" s="227" t="e">
        <f t="shared" si="3"/>
        <v>#DIV/0!</v>
      </c>
      <c r="AL52" s="227" t="e">
        <f t="shared" si="3"/>
        <v>#DIV/0!</v>
      </c>
      <c r="AM52" s="227" t="e">
        <f t="shared" si="3"/>
        <v>#DIV/0!</v>
      </c>
      <c r="AN52" s="227" t="e">
        <f t="shared" si="3"/>
        <v>#DIV/0!</v>
      </c>
      <c r="AO52" s="227" t="e">
        <f t="shared" si="3"/>
        <v>#DIV/0!</v>
      </c>
      <c r="AP52" s="227" t="e">
        <f t="shared" si="3"/>
        <v>#DIV/0!</v>
      </c>
      <c r="AQ52" s="227" t="e">
        <f t="shared" si="3"/>
        <v>#DIV/0!</v>
      </c>
      <c r="AR52" s="227" t="e">
        <f t="shared" si="3"/>
        <v>#DIV/0!</v>
      </c>
      <c r="AS52" s="227" t="e">
        <f t="shared" si="3"/>
        <v>#DIV/0!</v>
      </c>
      <c r="AT52" s="227" t="e">
        <f t="shared" si="3"/>
        <v>#DIV/0!</v>
      </c>
      <c r="AU52" s="227" t="e">
        <f t="shared" si="3"/>
        <v>#DIV/0!</v>
      </c>
      <c r="AV52" s="227" t="e">
        <f t="shared" si="3"/>
        <v>#DIV/0!</v>
      </c>
      <c r="AW52" s="227" t="e">
        <f t="shared" si="3"/>
        <v>#DIV/0!</v>
      </c>
      <c r="AX52" s="228" t="e">
        <f t="shared" si="3"/>
        <v>#DIV/0!</v>
      </c>
    </row>
    <row r="53" spans="2:50">
      <c r="B53" s="220">
        <v>43</v>
      </c>
      <c r="C53" s="61"/>
      <c r="D53" s="61"/>
      <c r="E53" s="61"/>
      <c r="F53" s="61"/>
      <c r="G53" s="61"/>
      <c r="H53" s="61"/>
      <c r="I53" s="61"/>
      <c r="J53" s="61"/>
      <c r="K53" s="61"/>
      <c r="L53" s="61"/>
      <c r="M53" s="61"/>
      <c r="N53" s="61"/>
      <c r="O53" s="61"/>
      <c r="P53" s="70"/>
      <c r="R53" s="220">
        <v>43</v>
      </c>
      <c r="S53" s="61"/>
      <c r="T53" s="61"/>
      <c r="U53" s="61"/>
      <c r="V53" s="61"/>
      <c r="W53" s="61"/>
      <c r="X53" s="61"/>
      <c r="Y53" s="61"/>
      <c r="Z53" s="61"/>
      <c r="AA53" s="61"/>
      <c r="AB53" s="61"/>
      <c r="AC53" s="61"/>
      <c r="AD53" s="61"/>
      <c r="AE53" s="61"/>
      <c r="AF53" s="70"/>
      <c r="AJ53" s="220">
        <v>43</v>
      </c>
      <c r="AK53" s="227" t="e">
        <f t="shared" si="3"/>
        <v>#DIV/0!</v>
      </c>
      <c r="AL53" s="227" t="e">
        <f t="shared" si="3"/>
        <v>#DIV/0!</v>
      </c>
      <c r="AM53" s="227" t="e">
        <f t="shared" si="3"/>
        <v>#DIV/0!</v>
      </c>
      <c r="AN53" s="227" t="e">
        <f t="shared" si="3"/>
        <v>#DIV/0!</v>
      </c>
      <c r="AO53" s="227" t="e">
        <f t="shared" si="3"/>
        <v>#DIV/0!</v>
      </c>
      <c r="AP53" s="227" t="e">
        <f t="shared" si="3"/>
        <v>#DIV/0!</v>
      </c>
      <c r="AQ53" s="227" t="e">
        <f t="shared" si="3"/>
        <v>#DIV/0!</v>
      </c>
      <c r="AR53" s="227" t="e">
        <f t="shared" si="3"/>
        <v>#DIV/0!</v>
      </c>
      <c r="AS53" s="227" t="e">
        <f t="shared" si="3"/>
        <v>#DIV/0!</v>
      </c>
      <c r="AT53" s="227" t="e">
        <f t="shared" si="3"/>
        <v>#DIV/0!</v>
      </c>
      <c r="AU53" s="227" t="e">
        <f t="shared" si="3"/>
        <v>#DIV/0!</v>
      </c>
      <c r="AV53" s="227" t="e">
        <f t="shared" si="3"/>
        <v>#DIV/0!</v>
      </c>
      <c r="AW53" s="227" t="e">
        <f t="shared" si="3"/>
        <v>#DIV/0!</v>
      </c>
      <c r="AX53" s="228" t="e">
        <f t="shared" si="3"/>
        <v>#DIV/0!</v>
      </c>
    </row>
    <row r="54" spans="2:50">
      <c r="B54" s="220">
        <v>44</v>
      </c>
      <c r="C54" s="61"/>
      <c r="D54" s="61"/>
      <c r="E54" s="61"/>
      <c r="F54" s="61"/>
      <c r="G54" s="61"/>
      <c r="H54" s="61"/>
      <c r="I54" s="61"/>
      <c r="J54" s="61"/>
      <c r="K54" s="61"/>
      <c r="L54" s="61"/>
      <c r="M54" s="61"/>
      <c r="N54" s="61"/>
      <c r="O54" s="61"/>
      <c r="P54" s="70"/>
      <c r="R54" s="220">
        <v>44</v>
      </c>
      <c r="S54" s="61"/>
      <c r="T54" s="61"/>
      <c r="U54" s="61"/>
      <c r="V54" s="61"/>
      <c r="W54" s="61"/>
      <c r="X54" s="61"/>
      <c r="Y54" s="61"/>
      <c r="Z54" s="61"/>
      <c r="AA54" s="61"/>
      <c r="AB54" s="61"/>
      <c r="AC54" s="61"/>
      <c r="AD54" s="61"/>
      <c r="AE54" s="61"/>
      <c r="AF54" s="70"/>
      <c r="AJ54" s="220">
        <v>44</v>
      </c>
      <c r="AK54" s="227" t="e">
        <f t="shared" si="3"/>
        <v>#DIV/0!</v>
      </c>
      <c r="AL54" s="227" t="e">
        <f t="shared" si="3"/>
        <v>#DIV/0!</v>
      </c>
      <c r="AM54" s="227" t="e">
        <f t="shared" si="3"/>
        <v>#DIV/0!</v>
      </c>
      <c r="AN54" s="227" t="e">
        <f t="shared" si="3"/>
        <v>#DIV/0!</v>
      </c>
      <c r="AO54" s="227" t="e">
        <f t="shared" si="3"/>
        <v>#DIV/0!</v>
      </c>
      <c r="AP54" s="227" t="e">
        <f t="shared" si="3"/>
        <v>#DIV/0!</v>
      </c>
      <c r="AQ54" s="227" t="e">
        <f t="shared" si="3"/>
        <v>#DIV/0!</v>
      </c>
      <c r="AR54" s="227" t="e">
        <f t="shared" si="3"/>
        <v>#DIV/0!</v>
      </c>
      <c r="AS54" s="227" t="e">
        <f t="shared" si="3"/>
        <v>#DIV/0!</v>
      </c>
      <c r="AT54" s="227" t="e">
        <f t="shared" si="3"/>
        <v>#DIV/0!</v>
      </c>
      <c r="AU54" s="227" t="e">
        <f t="shared" si="3"/>
        <v>#DIV/0!</v>
      </c>
      <c r="AV54" s="227" t="e">
        <f t="shared" si="3"/>
        <v>#DIV/0!</v>
      </c>
      <c r="AW54" s="227" t="e">
        <f t="shared" si="3"/>
        <v>#DIV/0!</v>
      </c>
      <c r="AX54" s="228" t="e">
        <f t="shared" si="3"/>
        <v>#DIV/0!</v>
      </c>
    </row>
    <row r="55" spans="2:50">
      <c r="B55" s="220">
        <v>45</v>
      </c>
      <c r="C55" s="61"/>
      <c r="D55" s="61"/>
      <c r="E55" s="61"/>
      <c r="F55" s="61"/>
      <c r="G55" s="61"/>
      <c r="H55" s="61"/>
      <c r="I55" s="61"/>
      <c r="J55" s="61"/>
      <c r="K55" s="61"/>
      <c r="L55" s="61"/>
      <c r="M55" s="61"/>
      <c r="N55" s="61"/>
      <c r="O55" s="61"/>
      <c r="P55" s="70"/>
      <c r="R55" s="220">
        <v>45</v>
      </c>
      <c r="S55" s="61"/>
      <c r="T55" s="61"/>
      <c r="U55" s="61"/>
      <c r="V55" s="61"/>
      <c r="W55" s="61"/>
      <c r="X55" s="61"/>
      <c r="Y55" s="61"/>
      <c r="Z55" s="61"/>
      <c r="AA55" s="61"/>
      <c r="AB55" s="61"/>
      <c r="AC55" s="61"/>
      <c r="AD55" s="61"/>
      <c r="AE55" s="61"/>
      <c r="AF55" s="70"/>
      <c r="AJ55" s="220">
        <v>45</v>
      </c>
      <c r="AK55" s="227" t="e">
        <f t="shared" si="3"/>
        <v>#DIV/0!</v>
      </c>
      <c r="AL55" s="227" t="e">
        <f t="shared" si="3"/>
        <v>#DIV/0!</v>
      </c>
      <c r="AM55" s="227" t="e">
        <f t="shared" si="3"/>
        <v>#DIV/0!</v>
      </c>
      <c r="AN55" s="227" t="e">
        <f t="shared" si="3"/>
        <v>#DIV/0!</v>
      </c>
      <c r="AO55" s="227" t="e">
        <f t="shared" si="3"/>
        <v>#DIV/0!</v>
      </c>
      <c r="AP55" s="227" t="e">
        <f t="shared" si="3"/>
        <v>#DIV/0!</v>
      </c>
      <c r="AQ55" s="227" t="e">
        <f t="shared" si="3"/>
        <v>#DIV/0!</v>
      </c>
      <c r="AR55" s="227" t="e">
        <f t="shared" si="3"/>
        <v>#DIV/0!</v>
      </c>
      <c r="AS55" s="227" t="e">
        <f t="shared" si="3"/>
        <v>#DIV/0!</v>
      </c>
      <c r="AT55" s="227" t="e">
        <f t="shared" si="3"/>
        <v>#DIV/0!</v>
      </c>
      <c r="AU55" s="227" t="e">
        <f t="shared" si="3"/>
        <v>#DIV/0!</v>
      </c>
      <c r="AV55" s="227" t="e">
        <f t="shared" si="3"/>
        <v>#DIV/0!</v>
      </c>
      <c r="AW55" s="227" t="e">
        <f t="shared" si="3"/>
        <v>#DIV/0!</v>
      </c>
      <c r="AX55" s="228" t="e">
        <f t="shared" si="3"/>
        <v>#DIV/0!</v>
      </c>
    </row>
    <row r="56" spans="2:50">
      <c r="B56" s="220">
        <v>46</v>
      </c>
      <c r="C56" s="61"/>
      <c r="D56" s="61"/>
      <c r="E56" s="61"/>
      <c r="F56" s="61"/>
      <c r="G56" s="61"/>
      <c r="H56" s="61"/>
      <c r="I56" s="61"/>
      <c r="J56" s="61"/>
      <c r="K56" s="61"/>
      <c r="L56" s="61"/>
      <c r="M56" s="61"/>
      <c r="N56" s="61"/>
      <c r="O56" s="61"/>
      <c r="P56" s="70"/>
      <c r="R56" s="220">
        <v>46</v>
      </c>
      <c r="S56" s="61"/>
      <c r="T56" s="61"/>
      <c r="U56" s="61"/>
      <c r="V56" s="61"/>
      <c r="W56" s="61"/>
      <c r="X56" s="61"/>
      <c r="Y56" s="61"/>
      <c r="Z56" s="61"/>
      <c r="AA56" s="61"/>
      <c r="AB56" s="61"/>
      <c r="AC56" s="61"/>
      <c r="AD56" s="61"/>
      <c r="AE56" s="61"/>
      <c r="AF56" s="70"/>
      <c r="AJ56" s="220">
        <v>46</v>
      </c>
      <c r="AK56" s="227" t="e">
        <f t="shared" si="3"/>
        <v>#DIV/0!</v>
      </c>
      <c r="AL56" s="227" t="e">
        <f t="shared" si="3"/>
        <v>#DIV/0!</v>
      </c>
      <c r="AM56" s="227" t="e">
        <f t="shared" si="3"/>
        <v>#DIV/0!</v>
      </c>
      <c r="AN56" s="227" t="e">
        <f t="shared" si="3"/>
        <v>#DIV/0!</v>
      </c>
      <c r="AO56" s="227" t="e">
        <f t="shared" si="3"/>
        <v>#DIV/0!</v>
      </c>
      <c r="AP56" s="227" t="e">
        <f t="shared" si="3"/>
        <v>#DIV/0!</v>
      </c>
      <c r="AQ56" s="227" t="e">
        <f t="shared" si="3"/>
        <v>#DIV/0!</v>
      </c>
      <c r="AR56" s="227" t="e">
        <f t="shared" si="3"/>
        <v>#DIV/0!</v>
      </c>
      <c r="AS56" s="227" t="e">
        <f t="shared" si="3"/>
        <v>#DIV/0!</v>
      </c>
      <c r="AT56" s="227" t="e">
        <f t="shared" si="3"/>
        <v>#DIV/0!</v>
      </c>
      <c r="AU56" s="227" t="e">
        <f t="shared" si="3"/>
        <v>#DIV/0!</v>
      </c>
      <c r="AV56" s="227" t="e">
        <f t="shared" si="3"/>
        <v>#DIV/0!</v>
      </c>
      <c r="AW56" s="227" t="e">
        <f t="shared" si="3"/>
        <v>#DIV/0!</v>
      </c>
      <c r="AX56" s="228" t="e">
        <f t="shared" si="3"/>
        <v>#DIV/0!</v>
      </c>
    </row>
    <row r="57" spans="2:50">
      <c r="B57" s="220">
        <v>47</v>
      </c>
      <c r="C57" s="61"/>
      <c r="D57" s="61"/>
      <c r="E57" s="61"/>
      <c r="F57" s="61"/>
      <c r="G57" s="61"/>
      <c r="H57" s="61"/>
      <c r="I57" s="61"/>
      <c r="J57" s="61"/>
      <c r="K57" s="61"/>
      <c r="L57" s="61"/>
      <c r="M57" s="61"/>
      <c r="N57" s="61"/>
      <c r="O57" s="61"/>
      <c r="P57" s="70"/>
      <c r="R57" s="220">
        <v>47</v>
      </c>
      <c r="S57" s="61"/>
      <c r="T57" s="61"/>
      <c r="U57" s="61"/>
      <c r="V57" s="61"/>
      <c r="W57" s="61"/>
      <c r="X57" s="61"/>
      <c r="Y57" s="61"/>
      <c r="Z57" s="61"/>
      <c r="AA57" s="61"/>
      <c r="AB57" s="61"/>
      <c r="AC57" s="61"/>
      <c r="AD57" s="61"/>
      <c r="AE57" s="61"/>
      <c r="AF57" s="70"/>
      <c r="AJ57" s="220">
        <v>47</v>
      </c>
      <c r="AK57" s="227" t="e">
        <f t="shared" si="3"/>
        <v>#DIV/0!</v>
      </c>
      <c r="AL57" s="227" t="e">
        <f t="shared" si="3"/>
        <v>#DIV/0!</v>
      </c>
      <c r="AM57" s="227" t="e">
        <f t="shared" si="3"/>
        <v>#DIV/0!</v>
      </c>
      <c r="AN57" s="227" t="e">
        <f t="shared" si="3"/>
        <v>#DIV/0!</v>
      </c>
      <c r="AO57" s="227" t="e">
        <f t="shared" si="3"/>
        <v>#DIV/0!</v>
      </c>
      <c r="AP57" s="227" t="e">
        <f t="shared" si="3"/>
        <v>#DIV/0!</v>
      </c>
      <c r="AQ57" s="227" t="e">
        <f t="shared" si="3"/>
        <v>#DIV/0!</v>
      </c>
      <c r="AR57" s="227" t="e">
        <f t="shared" si="3"/>
        <v>#DIV/0!</v>
      </c>
      <c r="AS57" s="227" t="e">
        <f t="shared" si="3"/>
        <v>#DIV/0!</v>
      </c>
      <c r="AT57" s="227" t="e">
        <f t="shared" si="3"/>
        <v>#DIV/0!</v>
      </c>
      <c r="AU57" s="227" t="e">
        <f t="shared" si="3"/>
        <v>#DIV/0!</v>
      </c>
      <c r="AV57" s="227" t="e">
        <f t="shared" si="3"/>
        <v>#DIV/0!</v>
      </c>
      <c r="AW57" s="227" t="e">
        <f t="shared" si="3"/>
        <v>#DIV/0!</v>
      </c>
      <c r="AX57" s="228" t="e">
        <f t="shared" si="3"/>
        <v>#DIV/0!</v>
      </c>
    </row>
    <row r="58" spans="2:50">
      <c r="B58" s="224">
        <v>48</v>
      </c>
      <c r="C58" s="68"/>
      <c r="D58" s="68"/>
      <c r="E58" s="68"/>
      <c r="F58" s="68"/>
      <c r="G58" s="68"/>
      <c r="H58" s="68"/>
      <c r="I58" s="68"/>
      <c r="J58" s="68"/>
      <c r="K58" s="68"/>
      <c r="L58" s="68"/>
      <c r="M58" s="68"/>
      <c r="N58" s="68"/>
      <c r="O58" s="68"/>
      <c r="P58" s="69"/>
      <c r="R58" s="224">
        <v>48</v>
      </c>
      <c r="S58" s="68"/>
      <c r="T58" s="68"/>
      <c r="U58" s="68"/>
      <c r="V58" s="68"/>
      <c r="W58" s="68"/>
      <c r="X58" s="68"/>
      <c r="Y58" s="68"/>
      <c r="Z58" s="68"/>
      <c r="AA58" s="68"/>
      <c r="AB58" s="68"/>
      <c r="AC58" s="68"/>
      <c r="AD58" s="68"/>
      <c r="AE58" s="68"/>
      <c r="AF58" s="69"/>
      <c r="AJ58" s="224">
        <v>48</v>
      </c>
      <c r="AK58" s="225" t="e">
        <f t="shared" si="3"/>
        <v>#DIV/0!</v>
      </c>
      <c r="AL58" s="225" t="e">
        <f t="shared" si="3"/>
        <v>#DIV/0!</v>
      </c>
      <c r="AM58" s="225" t="e">
        <f t="shared" si="3"/>
        <v>#DIV/0!</v>
      </c>
      <c r="AN58" s="225" t="e">
        <f t="shared" si="3"/>
        <v>#DIV/0!</v>
      </c>
      <c r="AO58" s="225" t="e">
        <f t="shared" si="3"/>
        <v>#DIV/0!</v>
      </c>
      <c r="AP58" s="225" t="e">
        <f t="shared" si="3"/>
        <v>#DIV/0!</v>
      </c>
      <c r="AQ58" s="225" t="e">
        <f t="shared" si="3"/>
        <v>#DIV/0!</v>
      </c>
      <c r="AR58" s="225" t="e">
        <f t="shared" si="3"/>
        <v>#DIV/0!</v>
      </c>
      <c r="AS58" s="225" t="e">
        <f t="shared" si="3"/>
        <v>#DIV/0!</v>
      </c>
      <c r="AT58" s="225" t="e">
        <f t="shared" si="3"/>
        <v>#DIV/0!</v>
      </c>
      <c r="AU58" s="225" t="e">
        <f t="shared" si="3"/>
        <v>#DIV/0!</v>
      </c>
      <c r="AV58" s="225" t="e">
        <f t="shared" si="3"/>
        <v>#DIV/0!</v>
      </c>
      <c r="AW58" s="225" t="e">
        <f t="shared" si="3"/>
        <v>#DIV/0!</v>
      </c>
      <c r="AX58" s="226" t="e">
        <f t="shared" si="3"/>
        <v>#DIV/0!</v>
      </c>
    </row>
    <row r="59" spans="2:50" s="229" customFormat="1"/>
    <row r="71" spans="2:36" s="229" customFormat="1"/>
    <row r="72" spans="2:36" ht="15.6">
      <c r="B72" s="219" t="s">
        <v>268</v>
      </c>
      <c r="R72" s="219" t="s">
        <v>269</v>
      </c>
      <c r="AJ72" s="219" t="s">
        <v>272</v>
      </c>
    </row>
    <row r="73" spans="2:36" hidden="1"/>
    <row r="74" spans="2:36" hidden="1"/>
    <row r="75" spans="2:36" hidden="1"/>
    <row r="76" spans="2:36" hidden="1"/>
    <row r="77" spans="2:36" hidden="1"/>
    <row r="78" spans="2:36" hidden="1"/>
    <row r="79" spans="2:36" hidden="1"/>
    <row r="80" spans="2:36" hidden="1"/>
    <row r="81" hidden="1"/>
    <row r="82" hidden="1"/>
    <row r="83" hidden="1"/>
    <row r="84" hidden="1"/>
    <row r="85" hidden="1"/>
    <row r="86" hidden="1"/>
    <row r="87" hidden="1"/>
    <row r="88" hidden="1"/>
    <row r="89" hidden="1"/>
    <row r="90" hidden="1"/>
    <row r="91" hidden="1"/>
    <row r="92" hidden="1"/>
    <row r="93" hidden="1"/>
    <row r="94" hidden="1"/>
    <row r="95" hidden="1"/>
    <row r="96" hidden="1"/>
    <row r="97" spans="2:50" hidden="1"/>
    <row r="98" spans="2:50" hidden="1"/>
    <row r="99" spans="2:50" hidden="1"/>
    <row r="100" spans="2:50" hidden="1"/>
    <row r="101" spans="2:50" hidden="1"/>
    <row r="102" spans="2:50" hidden="1"/>
    <row r="103" spans="2:50" hidden="1"/>
    <row r="104" spans="2:50" hidden="1"/>
    <row r="105" spans="2:50" hidden="1"/>
    <row r="106" spans="2:50" hidden="1"/>
    <row r="107" spans="2:50">
      <c r="B107" s="500" t="s">
        <v>270</v>
      </c>
      <c r="C107" s="501"/>
      <c r="D107" s="501"/>
      <c r="E107" s="501"/>
      <c r="F107" s="501"/>
      <c r="G107" s="501"/>
      <c r="H107" s="501"/>
      <c r="I107" s="501"/>
      <c r="J107" s="501"/>
      <c r="K107" s="501"/>
      <c r="L107" s="501"/>
      <c r="M107" s="501"/>
      <c r="N107" s="501"/>
      <c r="O107" s="501"/>
      <c r="P107" s="502"/>
      <c r="R107" s="500" t="s">
        <v>271</v>
      </c>
      <c r="S107" s="501"/>
      <c r="T107" s="501"/>
      <c r="U107" s="501"/>
      <c r="V107" s="501"/>
      <c r="W107" s="501"/>
      <c r="X107" s="501"/>
      <c r="Y107" s="501"/>
      <c r="Z107" s="501"/>
      <c r="AA107" s="501"/>
      <c r="AB107" s="501"/>
      <c r="AC107" s="501"/>
      <c r="AD107" s="501"/>
      <c r="AE107" s="501"/>
      <c r="AF107" s="502"/>
      <c r="AJ107" s="500" t="s">
        <v>10</v>
      </c>
      <c r="AK107" s="501"/>
      <c r="AL107" s="501"/>
      <c r="AM107" s="501"/>
      <c r="AN107" s="501"/>
      <c r="AO107" s="501"/>
      <c r="AP107" s="501"/>
      <c r="AQ107" s="501"/>
      <c r="AR107" s="501"/>
      <c r="AS107" s="501"/>
      <c r="AT107" s="501"/>
      <c r="AU107" s="501"/>
      <c r="AV107" s="501"/>
      <c r="AW107" s="501"/>
      <c r="AX107" s="502"/>
    </row>
    <row r="108" spans="2:50">
      <c r="B108" s="499"/>
      <c r="C108" s="499" t="str">
        <f>IF(intervencao1=0,"Do not fill",intervencao1)</f>
        <v>Drug 1</v>
      </c>
      <c r="D108" s="499" t="str">
        <f>IF(intervencao2=0,"Do not fill",intervencao2)</f>
        <v>Drug 2</v>
      </c>
      <c r="E108" s="499" t="str">
        <f>IF(intervencao3=0,"Do not fill",intervencao3)</f>
        <v>Do not fill</v>
      </c>
      <c r="F108" s="499" t="str">
        <f>IF(intervencao4=0,"Do not fill",intervencao4)</f>
        <v>Do not fill</v>
      </c>
      <c r="G108" s="499" t="str">
        <f>IF(comparador1=0,"Do not fill",comparador1)</f>
        <v>BSC</v>
      </c>
      <c r="H108" s="499" t="str">
        <f>IF(comparador2=0,"Do not fill",comparador2)</f>
        <v>Do not fill</v>
      </c>
      <c r="I108" s="499" t="str">
        <f>IF(comparador3=0,"Do not fill",comparador3)</f>
        <v>Do not fill</v>
      </c>
      <c r="J108" s="499" t="str">
        <f>IF(comparador4=0,"Do not fill",comparador4)</f>
        <v>Do not fill</v>
      </c>
      <c r="K108" s="499" t="str">
        <f>IF(comparador5=0,"Do not fill",comparador5)</f>
        <v>Do not fill</v>
      </c>
      <c r="L108" s="499" t="str">
        <f>IF(comparador6=0,"Do not fill",comparador6)</f>
        <v>Do not fill</v>
      </c>
      <c r="M108" s="499" t="str">
        <f>IF(comparador7=0,"Do not fill",comparador7)</f>
        <v>Do not fill</v>
      </c>
      <c r="N108" s="499" t="str">
        <f>IF(comparador8=0,"Do not fill",comparador8)</f>
        <v>Do not fill</v>
      </c>
      <c r="O108" s="499" t="str">
        <f>IF(comparador9=0,"Do not fill",comparador9)</f>
        <v>Do not fill</v>
      </c>
      <c r="P108" s="499" t="str">
        <f>IF(comparador10=0,"Do not fill",comparador10)</f>
        <v>Do not fill</v>
      </c>
      <c r="R108" s="499"/>
      <c r="S108" s="499" t="str">
        <f>IF(intervencao1=0,"Do not fill",intervencao1)</f>
        <v>Drug 1</v>
      </c>
      <c r="T108" s="499" t="str">
        <f>IF(intervencao2=0,"Do not fill",intervencao2)</f>
        <v>Drug 2</v>
      </c>
      <c r="U108" s="499" t="str">
        <f>IF(intervencao3=0,"Do not fill",intervencao3)</f>
        <v>Do not fill</v>
      </c>
      <c r="V108" s="499" t="str">
        <f>IF(intervencao4=0,"Do not fill",intervencao4)</f>
        <v>Do not fill</v>
      </c>
      <c r="W108" s="499" t="str">
        <f>IF(comparador1=0,"Do not fill",comparador1)</f>
        <v>BSC</v>
      </c>
      <c r="X108" s="499" t="str">
        <f>IF(comparador2=0,"Do not fill",comparador2)</f>
        <v>Do not fill</v>
      </c>
      <c r="Y108" s="499" t="str">
        <f>IF(comparador3=0,"Do not fill",comparador3)</f>
        <v>Do not fill</v>
      </c>
      <c r="Z108" s="499" t="str">
        <f>IF(comparador4=0,"Do not fill",comparador4)</f>
        <v>Do not fill</v>
      </c>
      <c r="AA108" s="499" t="str">
        <f>IF(comparador5=0,"Do not fill",comparador5)</f>
        <v>Do not fill</v>
      </c>
      <c r="AB108" s="499" t="str">
        <f>IF(comparador6=0,"Do not fill",comparador6)</f>
        <v>Do not fill</v>
      </c>
      <c r="AC108" s="499" t="str">
        <f>IF(comparador7=0,"Do not fill",comparador7)</f>
        <v>Do not fill</v>
      </c>
      <c r="AD108" s="499" t="str">
        <f>IF(comparador8=0,"Do not fill",comparador8)</f>
        <v>Do not fill</v>
      </c>
      <c r="AE108" s="499" t="str">
        <f>IF(comparador9=0,"Do not fill",comparador9)</f>
        <v>Do not fill</v>
      </c>
      <c r="AF108" s="499" t="str">
        <f>IF(comparador10=0,"Do not fill",comparador10)</f>
        <v>Do not fill</v>
      </c>
      <c r="AJ108" s="220"/>
      <c r="AK108" s="221" t="str">
        <f>IF(intervencao1=0,"Do not fill",intervencao1)</f>
        <v>Drug 1</v>
      </c>
      <c r="AL108" s="221" t="str">
        <f>IF(intervencao2=0,"Do not fill",intervencao2)</f>
        <v>Drug 2</v>
      </c>
      <c r="AM108" s="221" t="str">
        <f>IF(intervencao3=0,"Do not fill",intervencao3)</f>
        <v>Do not fill</v>
      </c>
      <c r="AN108" s="221" t="str">
        <f>IF(intervencao4=0,"Do not fill",intervencao4)</f>
        <v>Do not fill</v>
      </c>
      <c r="AO108" s="221" t="str">
        <f>IF(comparador1=0,"Do not fill",comparador1)</f>
        <v>BSC</v>
      </c>
      <c r="AP108" s="221" t="str">
        <f>IF(comparador2=0,"Do not fill",comparador2)</f>
        <v>Do not fill</v>
      </c>
      <c r="AQ108" s="221" t="str">
        <f>IF(comparador3=0,"Do not fill",comparador3)</f>
        <v>Do not fill</v>
      </c>
      <c r="AR108" s="221" t="str">
        <f>IF(comparador4=0,"Do not fill",comparador4)</f>
        <v>Do not fill</v>
      </c>
      <c r="AS108" s="221" t="str">
        <f>IF(comparador5=0,"Do not fill",comparador5)</f>
        <v>Do not fill</v>
      </c>
      <c r="AT108" s="221" t="str">
        <f>IF(comparador6=0,"Do not fill",comparador6)</f>
        <v>Do not fill</v>
      </c>
      <c r="AU108" s="221" t="str">
        <f>IF(comparador7=0,"Do not fill",comparador7)</f>
        <v>Do not fill</v>
      </c>
      <c r="AV108" s="221" t="str">
        <f>IF(comparador8=0,"Do not fill",comparador8)</f>
        <v>Do not fill</v>
      </c>
      <c r="AW108" s="221" t="str">
        <f>IF(comparador9=0,"Do not fill",comparador9)</f>
        <v>Do not fill</v>
      </c>
      <c r="AX108" s="222" t="str">
        <f>IF(comparador10=0,"Do not fill",comparador10)</f>
        <v>Do not fill</v>
      </c>
    </row>
    <row r="109" spans="2:50">
      <c r="B109" s="469"/>
      <c r="C109" s="469"/>
      <c r="D109" s="469"/>
      <c r="E109" s="469"/>
      <c r="F109" s="469"/>
      <c r="G109" s="469"/>
      <c r="H109" s="469"/>
      <c r="I109" s="469"/>
      <c r="J109" s="469"/>
      <c r="K109" s="469"/>
      <c r="L109" s="469"/>
      <c r="M109" s="469"/>
      <c r="N109" s="469"/>
      <c r="O109" s="469"/>
      <c r="P109" s="469"/>
      <c r="R109" s="469"/>
      <c r="S109" s="469"/>
      <c r="T109" s="469"/>
      <c r="U109" s="469"/>
      <c r="V109" s="469"/>
      <c r="W109" s="469"/>
      <c r="X109" s="469"/>
      <c r="Y109" s="469"/>
      <c r="Z109" s="469"/>
      <c r="AA109" s="469"/>
      <c r="AB109" s="469"/>
      <c r="AC109" s="469"/>
      <c r="AD109" s="469"/>
      <c r="AE109" s="469"/>
      <c r="AF109" s="469"/>
      <c r="AJ109" s="220" t="s">
        <v>9</v>
      </c>
      <c r="AK109" s="223" t="e">
        <f>LN(2)/'Time on treatment'!$D$113</f>
        <v>#DIV/0!</v>
      </c>
      <c r="AL109" s="223" t="e">
        <f>LN(2)/'Time on treatment'!$D$114</f>
        <v>#DIV/0!</v>
      </c>
      <c r="AM109" s="223" t="e">
        <f>LN(2)/'Time on treatment'!$D$115</f>
        <v>#DIV/0!</v>
      </c>
      <c r="AN109" s="223" t="e">
        <f>LN(2)/'Time on treatment'!$D$116</f>
        <v>#DIV/0!</v>
      </c>
      <c r="AO109" s="223" t="e">
        <f>LN(2)/'Time on treatment'!$D$118</f>
        <v>#DIV/0!</v>
      </c>
      <c r="AP109" s="223" t="e">
        <f>LN(2)/'Time on treatment'!$D$119</f>
        <v>#DIV/0!</v>
      </c>
      <c r="AQ109" s="223" t="e">
        <f>LN(2)/'Time on treatment'!$D$120</f>
        <v>#DIV/0!</v>
      </c>
      <c r="AR109" s="223" t="e">
        <f>LN(2)/'Time on treatment'!$D$121</f>
        <v>#DIV/0!</v>
      </c>
      <c r="AS109" s="223" t="e">
        <f>LN(2)/'Time on treatment'!$D$122</f>
        <v>#DIV/0!</v>
      </c>
      <c r="AT109" s="223" t="e">
        <f>LN(2)/'Time on treatment'!$D$123</f>
        <v>#DIV/0!</v>
      </c>
      <c r="AU109" s="223" t="e">
        <f>LN(2)/'Time on treatment'!$D$124</f>
        <v>#DIV/0!</v>
      </c>
      <c r="AV109" s="223" t="e">
        <f>LN(2)/'Time on treatment'!$D$125</f>
        <v>#DIV/0!</v>
      </c>
      <c r="AW109" s="223" t="e">
        <f>LN(2)/'Time on treatment'!$D$126</f>
        <v>#DIV/0!</v>
      </c>
      <c r="AX109" s="223" t="e">
        <f>LN(2)/'Time on treatment'!$D$127</f>
        <v>#DIV/0!</v>
      </c>
    </row>
    <row r="110" spans="2:50">
      <c r="B110" s="224">
        <v>0</v>
      </c>
      <c r="C110" s="68"/>
      <c r="D110" s="68"/>
      <c r="E110" s="68"/>
      <c r="F110" s="68"/>
      <c r="G110" s="68"/>
      <c r="H110" s="68"/>
      <c r="I110" s="68"/>
      <c r="J110" s="68"/>
      <c r="K110" s="68"/>
      <c r="L110" s="68"/>
      <c r="M110" s="68"/>
      <c r="N110" s="68"/>
      <c r="O110" s="68"/>
      <c r="P110" s="68"/>
      <c r="R110" s="224">
        <v>0</v>
      </c>
      <c r="S110" s="68"/>
      <c r="T110" s="68"/>
      <c r="U110" s="68"/>
      <c r="V110" s="68"/>
      <c r="W110" s="68"/>
      <c r="X110" s="68"/>
      <c r="Y110" s="68"/>
      <c r="Z110" s="68"/>
      <c r="AA110" s="68"/>
      <c r="AB110" s="68"/>
      <c r="AC110" s="68"/>
      <c r="AD110" s="68"/>
      <c r="AE110" s="68"/>
      <c r="AF110" s="68"/>
      <c r="AJ110" s="224">
        <v>0</v>
      </c>
      <c r="AK110" s="225" t="e">
        <f t="shared" ref="AK110:AX110" si="4">EXP(-AK$109*$AJ110)</f>
        <v>#DIV/0!</v>
      </c>
      <c r="AL110" s="225" t="e">
        <f t="shared" si="4"/>
        <v>#DIV/0!</v>
      </c>
      <c r="AM110" s="225" t="e">
        <f t="shared" si="4"/>
        <v>#DIV/0!</v>
      </c>
      <c r="AN110" s="225" t="e">
        <f t="shared" si="4"/>
        <v>#DIV/0!</v>
      </c>
      <c r="AO110" s="225" t="e">
        <f t="shared" si="4"/>
        <v>#DIV/0!</v>
      </c>
      <c r="AP110" s="225" t="e">
        <f t="shared" si="4"/>
        <v>#DIV/0!</v>
      </c>
      <c r="AQ110" s="225" t="e">
        <f t="shared" si="4"/>
        <v>#DIV/0!</v>
      </c>
      <c r="AR110" s="225" t="e">
        <f t="shared" si="4"/>
        <v>#DIV/0!</v>
      </c>
      <c r="AS110" s="225" t="e">
        <f t="shared" si="4"/>
        <v>#DIV/0!</v>
      </c>
      <c r="AT110" s="225" t="e">
        <f t="shared" si="4"/>
        <v>#DIV/0!</v>
      </c>
      <c r="AU110" s="225" t="e">
        <f t="shared" si="4"/>
        <v>#DIV/0!</v>
      </c>
      <c r="AV110" s="225" t="e">
        <f t="shared" si="4"/>
        <v>#DIV/0!</v>
      </c>
      <c r="AW110" s="225" t="e">
        <f t="shared" si="4"/>
        <v>#DIV/0!</v>
      </c>
      <c r="AX110" s="226" t="e">
        <f t="shared" si="4"/>
        <v>#DIV/0!</v>
      </c>
    </row>
    <row r="111" spans="2:50">
      <c r="B111" s="220">
        <v>1</v>
      </c>
      <c r="C111" s="61"/>
      <c r="D111" s="61"/>
      <c r="E111" s="61"/>
      <c r="F111" s="61"/>
      <c r="G111" s="61"/>
      <c r="H111" s="61"/>
      <c r="I111" s="61"/>
      <c r="J111" s="61"/>
      <c r="K111" s="61"/>
      <c r="L111" s="61"/>
      <c r="M111" s="61"/>
      <c r="N111" s="61"/>
      <c r="O111" s="61"/>
      <c r="P111" s="61"/>
      <c r="R111" s="220">
        <v>1</v>
      </c>
      <c r="S111" s="61"/>
      <c r="T111" s="61"/>
      <c r="U111" s="61"/>
      <c r="V111" s="61"/>
      <c r="W111" s="61"/>
      <c r="X111" s="61"/>
      <c r="Y111" s="61"/>
      <c r="Z111" s="61"/>
      <c r="AA111" s="61"/>
      <c r="AB111" s="61"/>
      <c r="AC111" s="61"/>
      <c r="AD111" s="61"/>
      <c r="AE111" s="61"/>
      <c r="AF111" s="61"/>
      <c r="AJ111" s="220">
        <v>1</v>
      </c>
      <c r="AK111" s="225" t="e">
        <f t="shared" ref="AK111:AX158" si="5">EXP(-AK$109*$AJ111)</f>
        <v>#DIV/0!</v>
      </c>
      <c r="AL111" s="225" t="e">
        <f t="shared" si="5"/>
        <v>#DIV/0!</v>
      </c>
      <c r="AM111" s="225" t="e">
        <f t="shared" si="5"/>
        <v>#DIV/0!</v>
      </c>
      <c r="AN111" s="225" t="e">
        <f t="shared" si="5"/>
        <v>#DIV/0!</v>
      </c>
      <c r="AO111" s="225" t="e">
        <f t="shared" si="5"/>
        <v>#DIV/0!</v>
      </c>
      <c r="AP111" s="225" t="e">
        <f t="shared" si="5"/>
        <v>#DIV/0!</v>
      </c>
      <c r="AQ111" s="225" t="e">
        <f t="shared" si="5"/>
        <v>#DIV/0!</v>
      </c>
      <c r="AR111" s="225" t="e">
        <f t="shared" si="5"/>
        <v>#DIV/0!</v>
      </c>
      <c r="AS111" s="225" t="e">
        <f t="shared" si="5"/>
        <v>#DIV/0!</v>
      </c>
      <c r="AT111" s="225" t="e">
        <f t="shared" si="5"/>
        <v>#DIV/0!</v>
      </c>
      <c r="AU111" s="225" t="e">
        <f t="shared" si="5"/>
        <v>#DIV/0!</v>
      </c>
      <c r="AV111" s="225" t="e">
        <f t="shared" si="5"/>
        <v>#DIV/0!</v>
      </c>
      <c r="AW111" s="225" t="e">
        <f t="shared" si="5"/>
        <v>#DIV/0!</v>
      </c>
      <c r="AX111" s="226" t="e">
        <f t="shared" si="5"/>
        <v>#DIV/0!</v>
      </c>
    </row>
    <row r="112" spans="2:50">
      <c r="B112" s="220">
        <v>2</v>
      </c>
      <c r="C112" s="61"/>
      <c r="D112" s="61"/>
      <c r="E112" s="61"/>
      <c r="F112" s="61"/>
      <c r="G112" s="61"/>
      <c r="H112" s="61"/>
      <c r="I112" s="61"/>
      <c r="J112" s="61"/>
      <c r="K112" s="61"/>
      <c r="L112" s="61"/>
      <c r="M112" s="61"/>
      <c r="N112" s="61"/>
      <c r="O112" s="61"/>
      <c r="P112" s="61"/>
      <c r="R112" s="220">
        <v>2</v>
      </c>
      <c r="S112" s="68"/>
      <c r="T112" s="68"/>
      <c r="U112" s="68"/>
      <c r="V112" s="68"/>
      <c r="W112" s="68"/>
      <c r="X112" s="68"/>
      <c r="Y112" s="68"/>
      <c r="Z112" s="68"/>
      <c r="AA112" s="68"/>
      <c r="AB112" s="68"/>
      <c r="AC112" s="68"/>
      <c r="AD112" s="68"/>
      <c r="AE112" s="68"/>
      <c r="AF112" s="68"/>
      <c r="AJ112" s="220">
        <v>2</v>
      </c>
      <c r="AK112" s="225" t="e">
        <f t="shared" si="5"/>
        <v>#DIV/0!</v>
      </c>
      <c r="AL112" s="225" t="e">
        <f t="shared" si="5"/>
        <v>#DIV/0!</v>
      </c>
      <c r="AM112" s="225" t="e">
        <f t="shared" si="5"/>
        <v>#DIV/0!</v>
      </c>
      <c r="AN112" s="225" t="e">
        <f t="shared" si="5"/>
        <v>#DIV/0!</v>
      </c>
      <c r="AO112" s="225" t="e">
        <f t="shared" si="5"/>
        <v>#DIV/0!</v>
      </c>
      <c r="AP112" s="225" t="e">
        <f t="shared" si="5"/>
        <v>#DIV/0!</v>
      </c>
      <c r="AQ112" s="225" t="e">
        <f t="shared" si="5"/>
        <v>#DIV/0!</v>
      </c>
      <c r="AR112" s="225" t="e">
        <f t="shared" si="5"/>
        <v>#DIV/0!</v>
      </c>
      <c r="AS112" s="225" t="e">
        <f t="shared" si="5"/>
        <v>#DIV/0!</v>
      </c>
      <c r="AT112" s="225" t="e">
        <f t="shared" si="5"/>
        <v>#DIV/0!</v>
      </c>
      <c r="AU112" s="225" t="e">
        <f t="shared" si="5"/>
        <v>#DIV/0!</v>
      </c>
      <c r="AV112" s="225" t="e">
        <f t="shared" si="5"/>
        <v>#DIV/0!</v>
      </c>
      <c r="AW112" s="225" t="e">
        <f t="shared" si="5"/>
        <v>#DIV/0!</v>
      </c>
      <c r="AX112" s="226" t="e">
        <f t="shared" si="5"/>
        <v>#DIV/0!</v>
      </c>
    </row>
    <row r="113" spans="2:50">
      <c r="B113" s="220">
        <v>3</v>
      </c>
      <c r="C113" s="61"/>
      <c r="D113" s="61"/>
      <c r="E113" s="61"/>
      <c r="F113" s="61"/>
      <c r="G113" s="61"/>
      <c r="H113" s="61"/>
      <c r="I113" s="61"/>
      <c r="J113" s="61"/>
      <c r="K113" s="61"/>
      <c r="L113" s="61"/>
      <c r="M113" s="61"/>
      <c r="N113" s="61"/>
      <c r="O113" s="61"/>
      <c r="P113" s="61"/>
      <c r="R113" s="220">
        <v>3</v>
      </c>
      <c r="S113" s="61"/>
      <c r="T113" s="61"/>
      <c r="U113" s="61"/>
      <c r="V113" s="61"/>
      <c r="W113" s="61"/>
      <c r="X113" s="61"/>
      <c r="Y113" s="61"/>
      <c r="Z113" s="61"/>
      <c r="AA113" s="61"/>
      <c r="AB113" s="61"/>
      <c r="AC113" s="61"/>
      <c r="AD113" s="61"/>
      <c r="AE113" s="61"/>
      <c r="AF113" s="61"/>
      <c r="AJ113" s="220">
        <v>3</v>
      </c>
      <c r="AK113" s="225" t="e">
        <f t="shared" si="5"/>
        <v>#DIV/0!</v>
      </c>
      <c r="AL113" s="225" t="e">
        <f t="shared" si="5"/>
        <v>#DIV/0!</v>
      </c>
      <c r="AM113" s="225" t="e">
        <f t="shared" si="5"/>
        <v>#DIV/0!</v>
      </c>
      <c r="AN113" s="225" t="e">
        <f t="shared" si="5"/>
        <v>#DIV/0!</v>
      </c>
      <c r="AO113" s="225" t="e">
        <f t="shared" si="5"/>
        <v>#DIV/0!</v>
      </c>
      <c r="AP113" s="225" t="e">
        <f t="shared" si="5"/>
        <v>#DIV/0!</v>
      </c>
      <c r="AQ113" s="225" t="e">
        <f t="shared" si="5"/>
        <v>#DIV/0!</v>
      </c>
      <c r="AR113" s="225" t="e">
        <f t="shared" si="5"/>
        <v>#DIV/0!</v>
      </c>
      <c r="AS113" s="225" t="e">
        <f t="shared" si="5"/>
        <v>#DIV/0!</v>
      </c>
      <c r="AT113" s="225" t="e">
        <f t="shared" si="5"/>
        <v>#DIV/0!</v>
      </c>
      <c r="AU113" s="225" t="e">
        <f t="shared" si="5"/>
        <v>#DIV/0!</v>
      </c>
      <c r="AV113" s="225" t="e">
        <f t="shared" si="5"/>
        <v>#DIV/0!</v>
      </c>
      <c r="AW113" s="225" t="e">
        <f t="shared" si="5"/>
        <v>#DIV/0!</v>
      </c>
      <c r="AX113" s="226" t="e">
        <f t="shared" si="5"/>
        <v>#DIV/0!</v>
      </c>
    </row>
    <row r="114" spans="2:50">
      <c r="B114" s="220">
        <v>4</v>
      </c>
      <c r="C114" s="68"/>
      <c r="D114" s="68"/>
      <c r="E114" s="68"/>
      <c r="F114" s="68"/>
      <c r="G114" s="68"/>
      <c r="H114" s="68"/>
      <c r="I114" s="68"/>
      <c r="J114" s="68"/>
      <c r="K114" s="68"/>
      <c r="L114" s="68"/>
      <c r="M114" s="68"/>
      <c r="N114" s="68"/>
      <c r="O114" s="68"/>
      <c r="P114" s="68"/>
      <c r="R114" s="220">
        <v>4</v>
      </c>
      <c r="S114" s="68"/>
      <c r="T114" s="68"/>
      <c r="U114" s="68"/>
      <c r="V114" s="68"/>
      <c r="W114" s="68"/>
      <c r="X114" s="68"/>
      <c r="Y114" s="68"/>
      <c r="Z114" s="68"/>
      <c r="AA114" s="68"/>
      <c r="AB114" s="68"/>
      <c r="AC114" s="68"/>
      <c r="AD114" s="68"/>
      <c r="AE114" s="68"/>
      <c r="AF114" s="68"/>
      <c r="AJ114" s="220">
        <v>4</v>
      </c>
      <c r="AK114" s="225" t="e">
        <f t="shared" si="5"/>
        <v>#DIV/0!</v>
      </c>
      <c r="AL114" s="225" t="e">
        <f t="shared" si="5"/>
        <v>#DIV/0!</v>
      </c>
      <c r="AM114" s="225" t="e">
        <f t="shared" si="5"/>
        <v>#DIV/0!</v>
      </c>
      <c r="AN114" s="225" t="e">
        <f t="shared" si="5"/>
        <v>#DIV/0!</v>
      </c>
      <c r="AO114" s="225" t="e">
        <f t="shared" si="5"/>
        <v>#DIV/0!</v>
      </c>
      <c r="AP114" s="225" t="e">
        <f t="shared" si="5"/>
        <v>#DIV/0!</v>
      </c>
      <c r="AQ114" s="225" t="e">
        <f t="shared" si="5"/>
        <v>#DIV/0!</v>
      </c>
      <c r="AR114" s="225" t="e">
        <f t="shared" si="5"/>
        <v>#DIV/0!</v>
      </c>
      <c r="AS114" s="225" t="e">
        <f t="shared" si="5"/>
        <v>#DIV/0!</v>
      </c>
      <c r="AT114" s="225" t="e">
        <f t="shared" si="5"/>
        <v>#DIV/0!</v>
      </c>
      <c r="AU114" s="225" t="e">
        <f t="shared" si="5"/>
        <v>#DIV/0!</v>
      </c>
      <c r="AV114" s="225" t="e">
        <f t="shared" si="5"/>
        <v>#DIV/0!</v>
      </c>
      <c r="AW114" s="225" t="e">
        <f t="shared" si="5"/>
        <v>#DIV/0!</v>
      </c>
      <c r="AX114" s="226" t="e">
        <f t="shared" si="5"/>
        <v>#DIV/0!</v>
      </c>
    </row>
    <row r="115" spans="2:50">
      <c r="B115" s="220">
        <v>5</v>
      </c>
      <c r="C115" s="61"/>
      <c r="D115" s="61"/>
      <c r="E115" s="61"/>
      <c r="F115" s="61"/>
      <c r="G115" s="61"/>
      <c r="H115" s="61"/>
      <c r="I115" s="61"/>
      <c r="J115" s="61"/>
      <c r="K115" s="61"/>
      <c r="L115" s="61"/>
      <c r="M115" s="61"/>
      <c r="N115" s="61"/>
      <c r="O115" s="61"/>
      <c r="P115" s="61"/>
      <c r="R115" s="220">
        <v>5</v>
      </c>
      <c r="S115" s="61"/>
      <c r="T115" s="61"/>
      <c r="U115" s="61"/>
      <c r="V115" s="61"/>
      <c r="W115" s="61"/>
      <c r="X115" s="61"/>
      <c r="Y115" s="61"/>
      <c r="Z115" s="61"/>
      <c r="AA115" s="61"/>
      <c r="AB115" s="61"/>
      <c r="AC115" s="61"/>
      <c r="AD115" s="61"/>
      <c r="AE115" s="61"/>
      <c r="AF115" s="61"/>
      <c r="AJ115" s="220">
        <v>5</v>
      </c>
      <c r="AK115" s="225" t="e">
        <f t="shared" si="5"/>
        <v>#DIV/0!</v>
      </c>
      <c r="AL115" s="225" t="e">
        <f t="shared" si="5"/>
        <v>#DIV/0!</v>
      </c>
      <c r="AM115" s="225" t="e">
        <f t="shared" si="5"/>
        <v>#DIV/0!</v>
      </c>
      <c r="AN115" s="225" t="e">
        <f t="shared" si="5"/>
        <v>#DIV/0!</v>
      </c>
      <c r="AO115" s="225" t="e">
        <f t="shared" si="5"/>
        <v>#DIV/0!</v>
      </c>
      <c r="AP115" s="225" t="e">
        <f t="shared" si="5"/>
        <v>#DIV/0!</v>
      </c>
      <c r="AQ115" s="225" t="e">
        <f t="shared" si="5"/>
        <v>#DIV/0!</v>
      </c>
      <c r="AR115" s="225" t="e">
        <f t="shared" si="5"/>
        <v>#DIV/0!</v>
      </c>
      <c r="AS115" s="225" t="e">
        <f t="shared" si="5"/>
        <v>#DIV/0!</v>
      </c>
      <c r="AT115" s="225" t="e">
        <f t="shared" si="5"/>
        <v>#DIV/0!</v>
      </c>
      <c r="AU115" s="225" t="e">
        <f t="shared" si="5"/>
        <v>#DIV/0!</v>
      </c>
      <c r="AV115" s="225" t="e">
        <f t="shared" si="5"/>
        <v>#DIV/0!</v>
      </c>
      <c r="AW115" s="225" t="e">
        <f t="shared" si="5"/>
        <v>#DIV/0!</v>
      </c>
      <c r="AX115" s="226" t="e">
        <f t="shared" si="5"/>
        <v>#DIV/0!</v>
      </c>
    </row>
    <row r="116" spans="2:50">
      <c r="B116" s="220">
        <v>6</v>
      </c>
      <c r="C116" s="61"/>
      <c r="D116" s="61"/>
      <c r="E116" s="61"/>
      <c r="F116" s="61"/>
      <c r="G116" s="61"/>
      <c r="H116" s="61"/>
      <c r="I116" s="61"/>
      <c r="J116" s="61"/>
      <c r="K116" s="61"/>
      <c r="L116" s="61"/>
      <c r="M116" s="61"/>
      <c r="N116" s="61"/>
      <c r="O116" s="61"/>
      <c r="P116" s="61"/>
      <c r="R116" s="220">
        <v>6</v>
      </c>
      <c r="S116" s="68"/>
      <c r="T116" s="68"/>
      <c r="U116" s="68"/>
      <c r="V116" s="68"/>
      <c r="W116" s="68"/>
      <c r="X116" s="68"/>
      <c r="Y116" s="68"/>
      <c r="Z116" s="68"/>
      <c r="AA116" s="68"/>
      <c r="AB116" s="68"/>
      <c r="AC116" s="68"/>
      <c r="AD116" s="68"/>
      <c r="AE116" s="68"/>
      <c r="AF116" s="68"/>
      <c r="AJ116" s="220">
        <v>6</v>
      </c>
      <c r="AK116" s="225" t="e">
        <f t="shared" si="5"/>
        <v>#DIV/0!</v>
      </c>
      <c r="AL116" s="225" t="e">
        <f t="shared" si="5"/>
        <v>#DIV/0!</v>
      </c>
      <c r="AM116" s="225" t="e">
        <f t="shared" si="5"/>
        <v>#DIV/0!</v>
      </c>
      <c r="AN116" s="225" t="e">
        <f t="shared" si="5"/>
        <v>#DIV/0!</v>
      </c>
      <c r="AO116" s="225" t="e">
        <f t="shared" si="5"/>
        <v>#DIV/0!</v>
      </c>
      <c r="AP116" s="225" t="e">
        <f t="shared" si="5"/>
        <v>#DIV/0!</v>
      </c>
      <c r="AQ116" s="225" t="e">
        <f t="shared" si="5"/>
        <v>#DIV/0!</v>
      </c>
      <c r="AR116" s="225" t="e">
        <f t="shared" si="5"/>
        <v>#DIV/0!</v>
      </c>
      <c r="AS116" s="225" t="e">
        <f t="shared" si="5"/>
        <v>#DIV/0!</v>
      </c>
      <c r="AT116" s="225" t="e">
        <f t="shared" si="5"/>
        <v>#DIV/0!</v>
      </c>
      <c r="AU116" s="225" t="e">
        <f t="shared" si="5"/>
        <v>#DIV/0!</v>
      </c>
      <c r="AV116" s="225" t="e">
        <f t="shared" si="5"/>
        <v>#DIV/0!</v>
      </c>
      <c r="AW116" s="225" t="e">
        <f t="shared" si="5"/>
        <v>#DIV/0!</v>
      </c>
      <c r="AX116" s="226" t="e">
        <f t="shared" si="5"/>
        <v>#DIV/0!</v>
      </c>
    </row>
    <row r="117" spans="2:50">
      <c r="B117" s="220">
        <v>7</v>
      </c>
      <c r="C117" s="61"/>
      <c r="D117" s="61"/>
      <c r="E117" s="61"/>
      <c r="F117" s="61"/>
      <c r="G117" s="61"/>
      <c r="H117" s="61"/>
      <c r="I117" s="61"/>
      <c r="J117" s="61"/>
      <c r="K117" s="61"/>
      <c r="L117" s="61"/>
      <c r="M117" s="61"/>
      <c r="N117" s="61"/>
      <c r="O117" s="61"/>
      <c r="P117" s="61"/>
      <c r="R117" s="220">
        <v>7</v>
      </c>
      <c r="S117" s="61"/>
      <c r="T117" s="61"/>
      <c r="U117" s="61"/>
      <c r="V117" s="61"/>
      <c r="W117" s="61"/>
      <c r="X117" s="61"/>
      <c r="Y117" s="61"/>
      <c r="Z117" s="61"/>
      <c r="AA117" s="61"/>
      <c r="AB117" s="61"/>
      <c r="AC117" s="61"/>
      <c r="AD117" s="61"/>
      <c r="AE117" s="61"/>
      <c r="AF117" s="61"/>
      <c r="AJ117" s="220">
        <v>7</v>
      </c>
      <c r="AK117" s="225" t="e">
        <f t="shared" si="5"/>
        <v>#DIV/0!</v>
      </c>
      <c r="AL117" s="225" t="e">
        <f t="shared" si="5"/>
        <v>#DIV/0!</v>
      </c>
      <c r="AM117" s="225" t="e">
        <f t="shared" si="5"/>
        <v>#DIV/0!</v>
      </c>
      <c r="AN117" s="225" t="e">
        <f t="shared" si="5"/>
        <v>#DIV/0!</v>
      </c>
      <c r="AO117" s="225" t="e">
        <f t="shared" si="5"/>
        <v>#DIV/0!</v>
      </c>
      <c r="AP117" s="225" t="e">
        <f t="shared" si="5"/>
        <v>#DIV/0!</v>
      </c>
      <c r="AQ117" s="225" t="e">
        <f t="shared" si="5"/>
        <v>#DIV/0!</v>
      </c>
      <c r="AR117" s="225" t="e">
        <f t="shared" si="5"/>
        <v>#DIV/0!</v>
      </c>
      <c r="AS117" s="225" t="e">
        <f t="shared" si="5"/>
        <v>#DIV/0!</v>
      </c>
      <c r="AT117" s="225" t="e">
        <f t="shared" si="5"/>
        <v>#DIV/0!</v>
      </c>
      <c r="AU117" s="225" t="e">
        <f t="shared" si="5"/>
        <v>#DIV/0!</v>
      </c>
      <c r="AV117" s="225" t="e">
        <f t="shared" si="5"/>
        <v>#DIV/0!</v>
      </c>
      <c r="AW117" s="225" t="e">
        <f t="shared" si="5"/>
        <v>#DIV/0!</v>
      </c>
      <c r="AX117" s="226" t="e">
        <f t="shared" si="5"/>
        <v>#DIV/0!</v>
      </c>
    </row>
    <row r="118" spans="2:50">
      <c r="B118" s="220">
        <v>8</v>
      </c>
      <c r="C118" s="68"/>
      <c r="D118" s="68"/>
      <c r="E118" s="68"/>
      <c r="F118" s="68"/>
      <c r="G118" s="68"/>
      <c r="H118" s="68"/>
      <c r="I118" s="68"/>
      <c r="J118" s="68"/>
      <c r="K118" s="68"/>
      <c r="L118" s="68"/>
      <c r="M118" s="68"/>
      <c r="N118" s="68"/>
      <c r="O118" s="68"/>
      <c r="P118" s="68"/>
      <c r="R118" s="220">
        <v>8</v>
      </c>
      <c r="S118" s="68"/>
      <c r="T118" s="68"/>
      <c r="U118" s="68"/>
      <c r="V118" s="68"/>
      <c r="W118" s="68"/>
      <c r="X118" s="68"/>
      <c r="Y118" s="68"/>
      <c r="Z118" s="68"/>
      <c r="AA118" s="68"/>
      <c r="AB118" s="68"/>
      <c r="AC118" s="68"/>
      <c r="AD118" s="68"/>
      <c r="AE118" s="68"/>
      <c r="AF118" s="68"/>
      <c r="AJ118" s="220">
        <v>8</v>
      </c>
      <c r="AK118" s="225" t="e">
        <f t="shared" si="5"/>
        <v>#DIV/0!</v>
      </c>
      <c r="AL118" s="225" t="e">
        <f t="shared" si="5"/>
        <v>#DIV/0!</v>
      </c>
      <c r="AM118" s="225" t="e">
        <f t="shared" si="5"/>
        <v>#DIV/0!</v>
      </c>
      <c r="AN118" s="225" t="e">
        <f t="shared" si="5"/>
        <v>#DIV/0!</v>
      </c>
      <c r="AO118" s="225" t="e">
        <f t="shared" si="5"/>
        <v>#DIV/0!</v>
      </c>
      <c r="AP118" s="225" t="e">
        <f t="shared" si="5"/>
        <v>#DIV/0!</v>
      </c>
      <c r="AQ118" s="225" t="e">
        <f t="shared" si="5"/>
        <v>#DIV/0!</v>
      </c>
      <c r="AR118" s="225" t="e">
        <f t="shared" si="5"/>
        <v>#DIV/0!</v>
      </c>
      <c r="AS118" s="225" t="e">
        <f t="shared" si="5"/>
        <v>#DIV/0!</v>
      </c>
      <c r="AT118" s="225" t="e">
        <f t="shared" si="5"/>
        <v>#DIV/0!</v>
      </c>
      <c r="AU118" s="225" t="e">
        <f t="shared" si="5"/>
        <v>#DIV/0!</v>
      </c>
      <c r="AV118" s="225" t="e">
        <f t="shared" si="5"/>
        <v>#DIV/0!</v>
      </c>
      <c r="AW118" s="225" t="e">
        <f t="shared" si="5"/>
        <v>#DIV/0!</v>
      </c>
      <c r="AX118" s="226" t="e">
        <f t="shared" si="5"/>
        <v>#DIV/0!</v>
      </c>
    </row>
    <row r="119" spans="2:50">
      <c r="B119" s="220">
        <v>9</v>
      </c>
      <c r="C119" s="61"/>
      <c r="D119" s="61"/>
      <c r="E119" s="61"/>
      <c r="F119" s="61"/>
      <c r="G119" s="61"/>
      <c r="H119" s="61"/>
      <c r="I119" s="61"/>
      <c r="J119" s="61"/>
      <c r="K119" s="61"/>
      <c r="L119" s="61"/>
      <c r="M119" s="61"/>
      <c r="N119" s="61"/>
      <c r="O119" s="61"/>
      <c r="P119" s="61"/>
      <c r="R119" s="220">
        <v>9</v>
      </c>
      <c r="S119" s="61"/>
      <c r="T119" s="61"/>
      <c r="U119" s="61"/>
      <c r="V119" s="61"/>
      <c r="W119" s="61"/>
      <c r="X119" s="61"/>
      <c r="Y119" s="61"/>
      <c r="Z119" s="61"/>
      <c r="AA119" s="61"/>
      <c r="AB119" s="61"/>
      <c r="AC119" s="61"/>
      <c r="AD119" s="61"/>
      <c r="AE119" s="61"/>
      <c r="AF119" s="61"/>
      <c r="AJ119" s="220">
        <v>9</v>
      </c>
      <c r="AK119" s="225" t="e">
        <f t="shared" si="5"/>
        <v>#DIV/0!</v>
      </c>
      <c r="AL119" s="225" t="e">
        <f t="shared" si="5"/>
        <v>#DIV/0!</v>
      </c>
      <c r="AM119" s="225" t="e">
        <f t="shared" si="5"/>
        <v>#DIV/0!</v>
      </c>
      <c r="AN119" s="225" t="e">
        <f t="shared" si="5"/>
        <v>#DIV/0!</v>
      </c>
      <c r="AO119" s="225" t="e">
        <f t="shared" si="5"/>
        <v>#DIV/0!</v>
      </c>
      <c r="AP119" s="225" t="e">
        <f t="shared" si="5"/>
        <v>#DIV/0!</v>
      </c>
      <c r="AQ119" s="225" t="e">
        <f t="shared" si="5"/>
        <v>#DIV/0!</v>
      </c>
      <c r="AR119" s="225" t="e">
        <f t="shared" si="5"/>
        <v>#DIV/0!</v>
      </c>
      <c r="AS119" s="225" t="e">
        <f t="shared" si="5"/>
        <v>#DIV/0!</v>
      </c>
      <c r="AT119" s="225" t="e">
        <f t="shared" si="5"/>
        <v>#DIV/0!</v>
      </c>
      <c r="AU119" s="225" t="e">
        <f t="shared" si="5"/>
        <v>#DIV/0!</v>
      </c>
      <c r="AV119" s="225" t="e">
        <f t="shared" si="5"/>
        <v>#DIV/0!</v>
      </c>
      <c r="AW119" s="225" t="e">
        <f t="shared" si="5"/>
        <v>#DIV/0!</v>
      </c>
      <c r="AX119" s="226" t="e">
        <f t="shared" si="5"/>
        <v>#DIV/0!</v>
      </c>
    </row>
    <row r="120" spans="2:50">
      <c r="B120" s="220">
        <v>10</v>
      </c>
      <c r="C120" s="61"/>
      <c r="D120" s="61"/>
      <c r="E120" s="61"/>
      <c r="F120" s="61"/>
      <c r="G120" s="61"/>
      <c r="H120" s="61"/>
      <c r="I120" s="61"/>
      <c r="J120" s="61"/>
      <c r="K120" s="61"/>
      <c r="L120" s="61"/>
      <c r="M120" s="61"/>
      <c r="N120" s="61"/>
      <c r="O120" s="61"/>
      <c r="P120" s="61"/>
      <c r="R120" s="220">
        <v>10</v>
      </c>
      <c r="S120" s="68"/>
      <c r="T120" s="68"/>
      <c r="U120" s="68"/>
      <c r="V120" s="68"/>
      <c r="W120" s="68"/>
      <c r="X120" s="68"/>
      <c r="Y120" s="68"/>
      <c r="Z120" s="68"/>
      <c r="AA120" s="68"/>
      <c r="AB120" s="68"/>
      <c r="AC120" s="68"/>
      <c r="AD120" s="68"/>
      <c r="AE120" s="68"/>
      <c r="AF120" s="68"/>
      <c r="AJ120" s="220">
        <v>10</v>
      </c>
      <c r="AK120" s="225" t="e">
        <f t="shared" si="5"/>
        <v>#DIV/0!</v>
      </c>
      <c r="AL120" s="225" t="e">
        <f t="shared" si="5"/>
        <v>#DIV/0!</v>
      </c>
      <c r="AM120" s="225" t="e">
        <f t="shared" si="5"/>
        <v>#DIV/0!</v>
      </c>
      <c r="AN120" s="225" t="e">
        <f t="shared" si="5"/>
        <v>#DIV/0!</v>
      </c>
      <c r="AO120" s="225" t="e">
        <f t="shared" si="5"/>
        <v>#DIV/0!</v>
      </c>
      <c r="AP120" s="225" t="e">
        <f t="shared" si="5"/>
        <v>#DIV/0!</v>
      </c>
      <c r="AQ120" s="225" t="e">
        <f t="shared" si="5"/>
        <v>#DIV/0!</v>
      </c>
      <c r="AR120" s="225" t="e">
        <f t="shared" si="5"/>
        <v>#DIV/0!</v>
      </c>
      <c r="AS120" s="225" t="e">
        <f t="shared" si="5"/>
        <v>#DIV/0!</v>
      </c>
      <c r="AT120" s="225" t="e">
        <f t="shared" si="5"/>
        <v>#DIV/0!</v>
      </c>
      <c r="AU120" s="225" t="e">
        <f t="shared" si="5"/>
        <v>#DIV/0!</v>
      </c>
      <c r="AV120" s="225" t="e">
        <f t="shared" si="5"/>
        <v>#DIV/0!</v>
      </c>
      <c r="AW120" s="225" t="e">
        <f t="shared" si="5"/>
        <v>#DIV/0!</v>
      </c>
      <c r="AX120" s="226" t="e">
        <f t="shared" si="5"/>
        <v>#DIV/0!</v>
      </c>
    </row>
    <row r="121" spans="2:50">
      <c r="B121" s="224">
        <v>11</v>
      </c>
      <c r="C121" s="61"/>
      <c r="D121" s="61"/>
      <c r="E121" s="61"/>
      <c r="F121" s="61"/>
      <c r="G121" s="61"/>
      <c r="H121" s="61"/>
      <c r="I121" s="61"/>
      <c r="J121" s="61"/>
      <c r="K121" s="61"/>
      <c r="L121" s="61"/>
      <c r="M121" s="61"/>
      <c r="N121" s="61"/>
      <c r="O121" s="61"/>
      <c r="P121" s="61"/>
      <c r="R121" s="224">
        <v>11</v>
      </c>
      <c r="S121" s="61"/>
      <c r="T121" s="61"/>
      <c r="U121" s="61"/>
      <c r="V121" s="61"/>
      <c r="W121" s="61"/>
      <c r="X121" s="61"/>
      <c r="Y121" s="61"/>
      <c r="Z121" s="61"/>
      <c r="AA121" s="61"/>
      <c r="AB121" s="61"/>
      <c r="AC121" s="61"/>
      <c r="AD121" s="61"/>
      <c r="AE121" s="61"/>
      <c r="AF121" s="61"/>
      <c r="AJ121" s="224">
        <v>11</v>
      </c>
      <c r="AK121" s="225" t="e">
        <f t="shared" si="5"/>
        <v>#DIV/0!</v>
      </c>
      <c r="AL121" s="225" t="e">
        <f t="shared" si="5"/>
        <v>#DIV/0!</v>
      </c>
      <c r="AM121" s="225" t="e">
        <f t="shared" si="5"/>
        <v>#DIV/0!</v>
      </c>
      <c r="AN121" s="225" t="e">
        <f t="shared" si="5"/>
        <v>#DIV/0!</v>
      </c>
      <c r="AO121" s="225" t="e">
        <f t="shared" si="5"/>
        <v>#DIV/0!</v>
      </c>
      <c r="AP121" s="225" t="e">
        <f t="shared" si="5"/>
        <v>#DIV/0!</v>
      </c>
      <c r="AQ121" s="225" t="e">
        <f t="shared" si="5"/>
        <v>#DIV/0!</v>
      </c>
      <c r="AR121" s="225" t="e">
        <f t="shared" si="5"/>
        <v>#DIV/0!</v>
      </c>
      <c r="AS121" s="225" t="e">
        <f t="shared" si="5"/>
        <v>#DIV/0!</v>
      </c>
      <c r="AT121" s="225" t="e">
        <f t="shared" si="5"/>
        <v>#DIV/0!</v>
      </c>
      <c r="AU121" s="225" t="e">
        <f t="shared" si="5"/>
        <v>#DIV/0!</v>
      </c>
      <c r="AV121" s="225" t="e">
        <f t="shared" si="5"/>
        <v>#DIV/0!</v>
      </c>
      <c r="AW121" s="225" t="e">
        <f t="shared" si="5"/>
        <v>#DIV/0!</v>
      </c>
      <c r="AX121" s="226" t="e">
        <f t="shared" si="5"/>
        <v>#DIV/0!</v>
      </c>
    </row>
    <row r="122" spans="2:50">
      <c r="B122" s="224">
        <v>12</v>
      </c>
      <c r="C122" s="68"/>
      <c r="D122" s="68"/>
      <c r="E122" s="68"/>
      <c r="F122" s="68"/>
      <c r="G122" s="68"/>
      <c r="H122" s="68"/>
      <c r="I122" s="68"/>
      <c r="J122" s="68"/>
      <c r="K122" s="68"/>
      <c r="L122" s="68"/>
      <c r="M122" s="68"/>
      <c r="N122" s="68"/>
      <c r="O122" s="68"/>
      <c r="P122" s="68"/>
      <c r="Q122" s="229"/>
      <c r="R122" s="224">
        <v>12</v>
      </c>
      <c r="S122" s="68"/>
      <c r="T122" s="68"/>
      <c r="U122" s="68"/>
      <c r="V122" s="68"/>
      <c r="W122" s="68"/>
      <c r="X122" s="68"/>
      <c r="Y122" s="68"/>
      <c r="Z122" s="68"/>
      <c r="AA122" s="68"/>
      <c r="AB122" s="68"/>
      <c r="AC122" s="68"/>
      <c r="AD122" s="68"/>
      <c r="AE122" s="68"/>
      <c r="AF122" s="68"/>
      <c r="AG122" s="229"/>
      <c r="AH122" s="229"/>
      <c r="AI122" s="229"/>
      <c r="AJ122" s="224">
        <v>12</v>
      </c>
      <c r="AK122" s="225" t="e">
        <f t="shared" si="5"/>
        <v>#DIV/0!</v>
      </c>
      <c r="AL122" s="225" t="e">
        <f t="shared" si="5"/>
        <v>#DIV/0!</v>
      </c>
      <c r="AM122" s="225" t="e">
        <f t="shared" si="5"/>
        <v>#DIV/0!</v>
      </c>
      <c r="AN122" s="225" t="e">
        <f t="shared" si="5"/>
        <v>#DIV/0!</v>
      </c>
      <c r="AO122" s="225" t="e">
        <f t="shared" si="5"/>
        <v>#DIV/0!</v>
      </c>
      <c r="AP122" s="225" t="e">
        <f t="shared" ref="AP122:AX150" si="6">EXP(-AP$109*$AJ122)</f>
        <v>#DIV/0!</v>
      </c>
      <c r="AQ122" s="225" t="e">
        <f t="shared" si="6"/>
        <v>#DIV/0!</v>
      </c>
      <c r="AR122" s="225" t="e">
        <f t="shared" si="6"/>
        <v>#DIV/0!</v>
      </c>
      <c r="AS122" s="225" t="e">
        <f t="shared" si="6"/>
        <v>#DIV/0!</v>
      </c>
      <c r="AT122" s="225" t="e">
        <f t="shared" si="6"/>
        <v>#DIV/0!</v>
      </c>
      <c r="AU122" s="225" t="e">
        <f t="shared" si="6"/>
        <v>#DIV/0!</v>
      </c>
      <c r="AV122" s="225" t="e">
        <f t="shared" si="6"/>
        <v>#DIV/0!</v>
      </c>
      <c r="AW122" s="225" t="e">
        <f t="shared" si="6"/>
        <v>#DIV/0!</v>
      </c>
      <c r="AX122" s="226" t="e">
        <f t="shared" si="6"/>
        <v>#DIV/0!</v>
      </c>
    </row>
    <row r="123" spans="2:50">
      <c r="B123" s="220">
        <v>13</v>
      </c>
      <c r="C123" s="61"/>
      <c r="D123" s="61"/>
      <c r="E123" s="61"/>
      <c r="F123" s="61"/>
      <c r="G123" s="61"/>
      <c r="H123" s="61"/>
      <c r="I123" s="61"/>
      <c r="J123" s="61"/>
      <c r="K123" s="61"/>
      <c r="L123" s="61"/>
      <c r="M123" s="61"/>
      <c r="N123" s="61"/>
      <c r="O123" s="61"/>
      <c r="P123" s="61"/>
      <c r="R123" s="220">
        <v>13</v>
      </c>
      <c r="S123" s="61"/>
      <c r="T123" s="61"/>
      <c r="U123" s="61"/>
      <c r="V123" s="61"/>
      <c r="W123" s="61"/>
      <c r="X123" s="61"/>
      <c r="Y123" s="61"/>
      <c r="Z123" s="61"/>
      <c r="AA123" s="61"/>
      <c r="AB123" s="61"/>
      <c r="AC123" s="61"/>
      <c r="AD123" s="61"/>
      <c r="AE123" s="61"/>
      <c r="AF123" s="61"/>
      <c r="AJ123" s="220">
        <v>13</v>
      </c>
      <c r="AK123" s="225" t="e">
        <f t="shared" si="5"/>
        <v>#DIV/0!</v>
      </c>
      <c r="AL123" s="225" t="e">
        <f t="shared" si="5"/>
        <v>#DIV/0!</v>
      </c>
      <c r="AM123" s="225" t="e">
        <f t="shared" ref="AM123:AR158" si="7">EXP(-AM$109*$AJ123)</f>
        <v>#DIV/0!</v>
      </c>
      <c r="AN123" s="225" t="e">
        <f t="shared" si="7"/>
        <v>#DIV/0!</v>
      </c>
      <c r="AO123" s="225" t="e">
        <f t="shared" si="7"/>
        <v>#DIV/0!</v>
      </c>
      <c r="AP123" s="225" t="e">
        <f t="shared" si="6"/>
        <v>#DIV/0!</v>
      </c>
      <c r="AQ123" s="225" t="e">
        <f t="shared" si="6"/>
        <v>#DIV/0!</v>
      </c>
      <c r="AR123" s="225" t="e">
        <f t="shared" si="6"/>
        <v>#DIV/0!</v>
      </c>
      <c r="AS123" s="225" t="e">
        <f t="shared" si="6"/>
        <v>#DIV/0!</v>
      </c>
      <c r="AT123" s="225" t="e">
        <f t="shared" si="6"/>
        <v>#DIV/0!</v>
      </c>
      <c r="AU123" s="225" t="e">
        <f t="shared" si="6"/>
        <v>#DIV/0!</v>
      </c>
      <c r="AV123" s="225" t="e">
        <f t="shared" si="6"/>
        <v>#DIV/0!</v>
      </c>
      <c r="AW123" s="225" t="e">
        <f t="shared" si="6"/>
        <v>#DIV/0!</v>
      </c>
      <c r="AX123" s="226" t="e">
        <f t="shared" si="6"/>
        <v>#DIV/0!</v>
      </c>
    </row>
    <row r="124" spans="2:50">
      <c r="B124" s="220">
        <v>14</v>
      </c>
      <c r="C124" s="61"/>
      <c r="D124" s="61"/>
      <c r="E124" s="61"/>
      <c r="F124" s="61"/>
      <c r="G124" s="61"/>
      <c r="H124" s="61"/>
      <c r="I124" s="61"/>
      <c r="J124" s="61"/>
      <c r="K124" s="61"/>
      <c r="L124" s="61"/>
      <c r="M124" s="61"/>
      <c r="N124" s="61"/>
      <c r="O124" s="61"/>
      <c r="P124" s="61"/>
      <c r="R124" s="220">
        <v>14</v>
      </c>
      <c r="S124" s="68"/>
      <c r="T124" s="68"/>
      <c r="U124" s="68"/>
      <c r="V124" s="68"/>
      <c r="W124" s="68"/>
      <c r="X124" s="68"/>
      <c r="Y124" s="68"/>
      <c r="Z124" s="68"/>
      <c r="AA124" s="68"/>
      <c r="AB124" s="68"/>
      <c r="AC124" s="68"/>
      <c r="AD124" s="68"/>
      <c r="AE124" s="68"/>
      <c r="AF124" s="68"/>
      <c r="AJ124" s="220">
        <v>14</v>
      </c>
      <c r="AK124" s="225" t="e">
        <f t="shared" si="5"/>
        <v>#DIV/0!</v>
      </c>
      <c r="AL124" s="225" t="e">
        <f t="shared" si="5"/>
        <v>#DIV/0!</v>
      </c>
      <c r="AM124" s="225" t="e">
        <f t="shared" si="7"/>
        <v>#DIV/0!</v>
      </c>
      <c r="AN124" s="225" t="e">
        <f t="shared" si="7"/>
        <v>#DIV/0!</v>
      </c>
      <c r="AO124" s="225" t="e">
        <f t="shared" si="7"/>
        <v>#DIV/0!</v>
      </c>
      <c r="AP124" s="225" t="e">
        <f t="shared" si="6"/>
        <v>#DIV/0!</v>
      </c>
      <c r="AQ124" s="225" t="e">
        <f t="shared" si="6"/>
        <v>#DIV/0!</v>
      </c>
      <c r="AR124" s="225" t="e">
        <f t="shared" si="6"/>
        <v>#DIV/0!</v>
      </c>
      <c r="AS124" s="225" t="e">
        <f t="shared" si="6"/>
        <v>#DIV/0!</v>
      </c>
      <c r="AT124" s="225" t="e">
        <f t="shared" si="6"/>
        <v>#DIV/0!</v>
      </c>
      <c r="AU124" s="225" t="e">
        <f t="shared" si="6"/>
        <v>#DIV/0!</v>
      </c>
      <c r="AV124" s="225" t="e">
        <f t="shared" si="6"/>
        <v>#DIV/0!</v>
      </c>
      <c r="AW124" s="225" t="e">
        <f t="shared" si="6"/>
        <v>#DIV/0!</v>
      </c>
      <c r="AX124" s="226" t="e">
        <f t="shared" si="6"/>
        <v>#DIV/0!</v>
      </c>
    </row>
    <row r="125" spans="2:50">
      <c r="B125" s="220">
        <v>15</v>
      </c>
      <c r="C125" s="61"/>
      <c r="D125" s="61"/>
      <c r="E125" s="61"/>
      <c r="F125" s="61"/>
      <c r="G125" s="61"/>
      <c r="H125" s="61"/>
      <c r="I125" s="61"/>
      <c r="J125" s="61"/>
      <c r="K125" s="61"/>
      <c r="L125" s="61"/>
      <c r="M125" s="61"/>
      <c r="N125" s="61"/>
      <c r="O125" s="61"/>
      <c r="P125" s="61"/>
      <c r="R125" s="220">
        <v>15</v>
      </c>
      <c r="S125" s="61"/>
      <c r="T125" s="61"/>
      <c r="U125" s="61"/>
      <c r="V125" s="61"/>
      <c r="W125" s="61"/>
      <c r="X125" s="61"/>
      <c r="Y125" s="61"/>
      <c r="Z125" s="61"/>
      <c r="AA125" s="61"/>
      <c r="AB125" s="61"/>
      <c r="AC125" s="61"/>
      <c r="AD125" s="61"/>
      <c r="AE125" s="61"/>
      <c r="AF125" s="61"/>
      <c r="AJ125" s="220">
        <v>15</v>
      </c>
      <c r="AK125" s="225" t="e">
        <f t="shared" si="5"/>
        <v>#DIV/0!</v>
      </c>
      <c r="AL125" s="225" t="e">
        <f t="shared" si="5"/>
        <v>#DIV/0!</v>
      </c>
      <c r="AM125" s="225" t="e">
        <f t="shared" si="7"/>
        <v>#DIV/0!</v>
      </c>
      <c r="AN125" s="225" t="e">
        <f t="shared" si="7"/>
        <v>#DIV/0!</v>
      </c>
      <c r="AO125" s="225" t="e">
        <f t="shared" si="7"/>
        <v>#DIV/0!</v>
      </c>
      <c r="AP125" s="225" t="e">
        <f t="shared" si="6"/>
        <v>#DIV/0!</v>
      </c>
      <c r="AQ125" s="225" t="e">
        <f t="shared" si="6"/>
        <v>#DIV/0!</v>
      </c>
      <c r="AR125" s="225" t="e">
        <f t="shared" si="6"/>
        <v>#DIV/0!</v>
      </c>
      <c r="AS125" s="225" t="e">
        <f t="shared" si="6"/>
        <v>#DIV/0!</v>
      </c>
      <c r="AT125" s="225" t="e">
        <f t="shared" si="6"/>
        <v>#DIV/0!</v>
      </c>
      <c r="AU125" s="225" t="e">
        <f t="shared" si="6"/>
        <v>#DIV/0!</v>
      </c>
      <c r="AV125" s="225" t="e">
        <f t="shared" si="6"/>
        <v>#DIV/0!</v>
      </c>
      <c r="AW125" s="225" t="e">
        <f t="shared" si="6"/>
        <v>#DIV/0!</v>
      </c>
      <c r="AX125" s="226" t="e">
        <f t="shared" si="6"/>
        <v>#DIV/0!</v>
      </c>
    </row>
    <row r="126" spans="2:50">
      <c r="B126" s="220">
        <v>16</v>
      </c>
      <c r="C126" s="68"/>
      <c r="D126" s="68"/>
      <c r="E126" s="68"/>
      <c r="F126" s="68"/>
      <c r="G126" s="68"/>
      <c r="H126" s="68"/>
      <c r="I126" s="68"/>
      <c r="J126" s="68"/>
      <c r="K126" s="68"/>
      <c r="L126" s="68"/>
      <c r="M126" s="68"/>
      <c r="N126" s="68"/>
      <c r="O126" s="68"/>
      <c r="P126" s="68"/>
      <c r="R126" s="220">
        <v>16</v>
      </c>
      <c r="S126" s="68"/>
      <c r="T126" s="68"/>
      <c r="U126" s="68"/>
      <c r="V126" s="68"/>
      <c r="W126" s="68"/>
      <c r="X126" s="68"/>
      <c r="Y126" s="68"/>
      <c r="Z126" s="68"/>
      <c r="AA126" s="68"/>
      <c r="AB126" s="68"/>
      <c r="AC126" s="68"/>
      <c r="AD126" s="68"/>
      <c r="AE126" s="68"/>
      <c r="AF126" s="68"/>
      <c r="AJ126" s="220">
        <v>16</v>
      </c>
      <c r="AK126" s="225" t="e">
        <f t="shared" si="5"/>
        <v>#DIV/0!</v>
      </c>
      <c r="AL126" s="225" t="e">
        <f t="shared" si="5"/>
        <v>#DIV/0!</v>
      </c>
      <c r="AM126" s="225" t="e">
        <f t="shared" si="7"/>
        <v>#DIV/0!</v>
      </c>
      <c r="AN126" s="225" t="e">
        <f t="shared" si="7"/>
        <v>#DIV/0!</v>
      </c>
      <c r="AO126" s="225" t="e">
        <f t="shared" si="7"/>
        <v>#DIV/0!</v>
      </c>
      <c r="AP126" s="225" t="e">
        <f t="shared" si="6"/>
        <v>#DIV/0!</v>
      </c>
      <c r="AQ126" s="225" t="e">
        <f t="shared" si="6"/>
        <v>#DIV/0!</v>
      </c>
      <c r="AR126" s="225" t="e">
        <f t="shared" si="6"/>
        <v>#DIV/0!</v>
      </c>
      <c r="AS126" s="225" t="e">
        <f t="shared" si="6"/>
        <v>#DIV/0!</v>
      </c>
      <c r="AT126" s="225" t="e">
        <f t="shared" si="6"/>
        <v>#DIV/0!</v>
      </c>
      <c r="AU126" s="225" t="e">
        <f t="shared" si="6"/>
        <v>#DIV/0!</v>
      </c>
      <c r="AV126" s="225" t="e">
        <f t="shared" si="6"/>
        <v>#DIV/0!</v>
      </c>
      <c r="AW126" s="225" t="e">
        <f t="shared" si="6"/>
        <v>#DIV/0!</v>
      </c>
      <c r="AX126" s="226" t="e">
        <f t="shared" si="6"/>
        <v>#DIV/0!</v>
      </c>
    </row>
    <row r="127" spans="2:50">
      <c r="B127" s="220">
        <v>17</v>
      </c>
      <c r="C127" s="61"/>
      <c r="D127" s="61"/>
      <c r="E127" s="61"/>
      <c r="F127" s="61"/>
      <c r="G127" s="61"/>
      <c r="H127" s="61"/>
      <c r="I127" s="61"/>
      <c r="J127" s="61"/>
      <c r="K127" s="61"/>
      <c r="L127" s="61"/>
      <c r="M127" s="61"/>
      <c r="N127" s="61"/>
      <c r="O127" s="61"/>
      <c r="P127" s="61"/>
      <c r="R127" s="220">
        <v>17</v>
      </c>
      <c r="S127" s="61"/>
      <c r="T127" s="61"/>
      <c r="U127" s="61"/>
      <c r="V127" s="61"/>
      <c r="W127" s="61"/>
      <c r="X127" s="61"/>
      <c r="Y127" s="61"/>
      <c r="Z127" s="61"/>
      <c r="AA127" s="61"/>
      <c r="AB127" s="61"/>
      <c r="AC127" s="61"/>
      <c r="AD127" s="61"/>
      <c r="AE127" s="61"/>
      <c r="AF127" s="61"/>
      <c r="AJ127" s="220">
        <v>17</v>
      </c>
      <c r="AK127" s="225" t="e">
        <f t="shared" si="5"/>
        <v>#DIV/0!</v>
      </c>
      <c r="AL127" s="225" t="e">
        <f t="shared" si="5"/>
        <v>#DIV/0!</v>
      </c>
      <c r="AM127" s="225" t="e">
        <f t="shared" si="7"/>
        <v>#DIV/0!</v>
      </c>
      <c r="AN127" s="225" t="e">
        <f t="shared" si="7"/>
        <v>#DIV/0!</v>
      </c>
      <c r="AO127" s="225" t="e">
        <f t="shared" si="7"/>
        <v>#DIV/0!</v>
      </c>
      <c r="AP127" s="225" t="e">
        <f t="shared" si="6"/>
        <v>#DIV/0!</v>
      </c>
      <c r="AQ127" s="225" t="e">
        <f t="shared" si="6"/>
        <v>#DIV/0!</v>
      </c>
      <c r="AR127" s="225" t="e">
        <f t="shared" si="6"/>
        <v>#DIV/0!</v>
      </c>
      <c r="AS127" s="225" t="e">
        <f t="shared" si="6"/>
        <v>#DIV/0!</v>
      </c>
      <c r="AT127" s="225" t="e">
        <f t="shared" si="6"/>
        <v>#DIV/0!</v>
      </c>
      <c r="AU127" s="225" t="e">
        <f t="shared" si="6"/>
        <v>#DIV/0!</v>
      </c>
      <c r="AV127" s="225" t="e">
        <f t="shared" si="6"/>
        <v>#DIV/0!</v>
      </c>
      <c r="AW127" s="225" t="e">
        <f t="shared" si="6"/>
        <v>#DIV/0!</v>
      </c>
      <c r="AX127" s="226" t="e">
        <f t="shared" si="6"/>
        <v>#DIV/0!</v>
      </c>
    </row>
    <row r="128" spans="2:50">
      <c r="B128" s="220">
        <v>18</v>
      </c>
      <c r="C128" s="61"/>
      <c r="D128" s="61"/>
      <c r="E128" s="61"/>
      <c r="F128" s="61"/>
      <c r="G128" s="61"/>
      <c r="H128" s="61"/>
      <c r="I128" s="61"/>
      <c r="J128" s="61"/>
      <c r="K128" s="61"/>
      <c r="L128" s="61"/>
      <c r="M128" s="61"/>
      <c r="N128" s="61"/>
      <c r="O128" s="61"/>
      <c r="P128" s="61"/>
      <c r="R128" s="220">
        <v>18</v>
      </c>
      <c r="S128" s="68"/>
      <c r="T128" s="68"/>
      <c r="U128" s="68"/>
      <c r="V128" s="68"/>
      <c r="W128" s="68"/>
      <c r="X128" s="68"/>
      <c r="Y128" s="68"/>
      <c r="Z128" s="68"/>
      <c r="AA128" s="68"/>
      <c r="AB128" s="68"/>
      <c r="AC128" s="68"/>
      <c r="AD128" s="68"/>
      <c r="AE128" s="68"/>
      <c r="AF128" s="68"/>
      <c r="AJ128" s="220">
        <v>18</v>
      </c>
      <c r="AK128" s="225" t="e">
        <f t="shared" si="5"/>
        <v>#DIV/0!</v>
      </c>
      <c r="AL128" s="225" t="e">
        <f t="shared" si="5"/>
        <v>#DIV/0!</v>
      </c>
      <c r="AM128" s="225" t="e">
        <f t="shared" si="7"/>
        <v>#DIV/0!</v>
      </c>
      <c r="AN128" s="225" t="e">
        <f t="shared" si="7"/>
        <v>#DIV/0!</v>
      </c>
      <c r="AO128" s="225" t="e">
        <f t="shared" si="7"/>
        <v>#DIV/0!</v>
      </c>
      <c r="AP128" s="225" t="e">
        <f t="shared" si="6"/>
        <v>#DIV/0!</v>
      </c>
      <c r="AQ128" s="225" t="e">
        <f t="shared" si="6"/>
        <v>#DIV/0!</v>
      </c>
      <c r="AR128" s="225" t="e">
        <f t="shared" si="6"/>
        <v>#DIV/0!</v>
      </c>
      <c r="AS128" s="225" t="e">
        <f t="shared" si="6"/>
        <v>#DIV/0!</v>
      </c>
      <c r="AT128" s="225" t="e">
        <f t="shared" si="6"/>
        <v>#DIV/0!</v>
      </c>
      <c r="AU128" s="225" t="e">
        <f t="shared" si="6"/>
        <v>#DIV/0!</v>
      </c>
      <c r="AV128" s="225" t="e">
        <f t="shared" si="6"/>
        <v>#DIV/0!</v>
      </c>
      <c r="AW128" s="225" t="e">
        <f t="shared" si="6"/>
        <v>#DIV/0!</v>
      </c>
      <c r="AX128" s="226" t="e">
        <f t="shared" si="6"/>
        <v>#DIV/0!</v>
      </c>
    </row>
    <row r="129" spans="2:50">
      <c r="B129" s="220">
        <v>19</v>
      </c>
      <c r="C129" s="61"/>
      <c r="D129" s="61"/>
      <c r="E129" s="61"/>
      <c r="F129" s="61"/>
      <c r="G129" s="61"/>
      <c r="H129" s="61"/>
      <c r="I129" s="61"/>
      <c r="J129" s="61"/>
      <c r="K129" s="61"/>
      <c r="L129" s="61"/>
      <c r="M129" s="61"/>
      <c r="N129" s="61"/>
      <c r="O129" s="61"/>
      <c r="P129" s="61"/>
      <c r="R129" s="220">
        <v>19</v>
      </c>
      <c r="S129" s="61"/>
      <c r="T129" s="61"/>
      <c r="U129" s="61"/>
      <c r="V129" s="61"/>
      <c r="W129" s="61"/>
      <c r="X129" s="61"/>
      <c r="Y129" s="61"/>
      <c r="Z129" s="61"/>
      <c r="AA129" s="61"/>
      <c r="AB129" s="61"/>
      <c r="AC129" s="61"/>
      <c r="AD129" s="61"/>
      <c r="AE129" s="61"/>
      <c r="AF129" s="61"/>
      <c r="AJ129" s="220">
        <v>19</v>
      </c>
      <c r="AK129" s="225" t="e">
        <f t="shared" si="5"/>
        <v>#DIV/0!</v>
      </c>
      <c r="AL129" s="225" t="e">
        <f t="shared" si="5"/>
        <v>#DIV/0!</v>
      </c>
      <c r="AM129" s="225" t="e">
        <f t="shared" si="7"/>
        <v>#DIV/0!</v>
      </c>
      <c r="AN129" s="225" t="e">
        <f t="shared" si="7"/>
        <v>#DIV/0!</v>
      </c>
      <c r="AO129" s="225" t="e">
        <f t="shared" si="7"/>
        <v>#DIV/0!</v>
      </c>
      <c r="AP129" s="225" t="e">
        <f t="shared" si="6"/>
        <v>#DIV/0!</v>
      </c>
      <c r="AQ129" s="225" t="e">
        <f t="shared" si="6"/>
        <v>#DIV/0!</v>
      </c>
      <c r="AR129" s="225" t="e">
        <f t="shared" si="6"/>
        <v>#DIV/0!</v>
      </c>
      <c r="AS129" s="225" t="e">
        <f t="shared" si="6"/>
        <v>#DIV/0!</v>
      </c>
      <c r="AT129" s="225" t="e">
        <f t="shared" si="6"/>
        <v>#DIV/0!</v>
      </c>
      <c r="AU129" s="225" t="e">
        <f t="shared" si="6"/>
        <v>#DIV/0!</v>
      </c>
      <c r="AV129" s="225" t="e">
        <f t="shared" si="6"/>
        <v>#DIV/0!</v>
      </c>
      <c r="AW129" s="225" t="e">
        <f t="shared" si="6"/>
        <v>#DIV/0!</v>
      </c>
      <c r="AX129" s="226" t="e">
        <f t="shared" si="6"/>
        <v>#DIV/0!</v>
      </c>
    </row>
    <row r="130" spans="2:50">
      <c r="B130" s="220">
        <v>20</v>
      </c>
      <c r="C130" s="68"/>
      <c r="D130" s="68"/>
      <c r="E130" s="68"/>
      <c r="F130" s="68"/>
      <c r="G130" s="68"/>
      <c r="H130" s="68"/>
      <c r="I130" s="68"/>
      <c r="J130" s="68"/>
      <c r="K130" s="68"/>
      <c r="L130" s="68"/>
      <c r="M130" s="68"/>
      <c r="N130" s="68"/>
      <c r="O130" s="68"/>
      <c r="P130" s="68"/>
      <c r="R130" s="220">
        <v>20</v>
      </c>
      <c r="S130" s="68"/>
      <c r="T130" s="68"/>
      <c r="U130" s="68"/>
      <c r="V130" s="68"/>
      <c r="W130" s="68"/>
      <c r="X130" s="68"/>
      <c r="Y130" s="68"/>
      <c r="Z130" s="68"/>
      <c r="AA130" s="68"/>
      <c r="AB130" s="68"/>
      <c r="AC130" s="68"/>
      <c r="AD130" s="68"/>
      <c r="AE130" s="68"/>
      <c r="AF130" s="68"/>
      <c r="AJ130" s="220">
        <v>20</v>
      </c>
      <c r="AK130" s="225" t="e">
        <f t="shared" si="5"/>
        <v>#DIV/0!</v>
      </c>
      <c r="AL130" s="225" t="e">
        <f t="shared" si="5"/>
        <v>#DIV/0!</v>
      </c>
      <c r="AM130" s="225" t="e">
        <f t="shared" si="7"/>
        <v>#DIV/0!</v>
      </c>
      <c r="AN130" s="225" t="e">
        <f t="shared" si="7"/>
        <v>#DIV/0!</v>
      </c>
      <c r="AO130" s="225" t="e">
        <f t="shared" si="7"/>
        <v>#DIV/0!</v>
      </c>
      <c r="AP130" s="225" t="e">
        <f t="shared" si="6"/>
        <v>#DIV/0!</v>
      </c>
      <c r="AQ130" s="225" t="e">
        <f t="shared" si="6"/>
        <v>#DIV/0!</v>
      </c>
      <c r="AR130" s="225" t="e">
        <f t="shared" si="6"/>
        <v>#DIV/0!</v>
      </c>
      <c r="AS130" s="225" t="e">
        <f t="shared" si="6"/>
        <v>#DIV/0!</v>
      </c>
      <c r="AT130" s="225" t="e">
        <f t="shared" si="6"/>
        <v>#DIV/0!</v>
      </c>
      <c r="AU130" s="225" t="e">
        <f t="shared" si="6"/>
        <v>#DIV/0!</v>
      </c>
      <c r="AV130" s="225" t="e">
        <f t="shared" si="6"/>
        <v>#DIV/0!</v>
      </c>
      <c r="AW130" s="225" t="e">
        <f t="shared" si="6"/>
        <v>#DIV/0!</v>
      </c>
      <c r="AX130" s="226" t="e">
        <f t="shared" si="6"/>
        <v>#DIV/0!</v>
      </c>
    </row>
    <row r="131" spans="2:50">
      <c r="B131" s="220">
        <v>21</v>
      </c>
      <c r="C131" s="61"/>
      <c r="D131" s="61"/>
      <c r="E131" s="61"/>
      <c r="F131" s="61"/>
      <c r="G131" s="61"/>
      <c r="H131" s="61"/>
      <c r="I131" s="61"/>
      <c r="J131" s="61"/>
      <c r="K131" s="61"/>
      <c r="L131" s="61"/>
      <c r="M131" s="61"/>
      <c r="N131" s="61"/>
      <c r="O131" s="61"/>
      <c r="P131" s="61"/>
      <c r="R131" s="220">
        <v>21</v>
      </c>
      <c r="S131" s="61"/>
      <c r="T131" s="61"/>
      <c r="U131" s="61"/>
      <c r="V131" s="61"/>
      <c r="W131" s="61"/>
      <c r="X131" s="61"/>
      <c r="Y131" s="61"/>
      <c r="Z131" s="61"/>
      <c r="AA131" s="61"/>
      <c r="AB131" s="61"/>
      <c r="AC131" s="61"/>
      <c r="AD131" s="61"/>
      <c r="AE131" s="61"/>
      <c r="AF131" s="61"/>
      <c r="AJ131" s="220">
        <v>21</v>
      </c>
      <c r="AK131" s="225" t="e">
        <f t="shared" si="5"/>
        <v>#DIV/0!</v>
      </c>
      <c r="AL131" s="225" t="e">
        <f t="shared" si="5"/>
        <v>#DIV/0!</v>
      </c>
      <c r="AM131" s="225" t="e">
        <f t="shared" si="7"/>
        <v>#DIV/0!</v>
      </c>
      <c r="AN131" s="225" t="e">
        <f t="shared" si="7"/>
        <v>#DIV/0!</v>
      </c>
      <c r="AO131" s="225" t="e">
        <f t="shared" si="7"/>
        <v>#DIV/0!</v>
      </c>
      <c r="AP131" s="225" t="e">
        <f t="shared" si="6"/>
        <v>#DIV/0!</v>
      </c>
      <c r="AQ131" s="225" t="e">
        <f t="shared" si="6"/>
        <v>#DIV/0!</v>
      </c>
      <c r="AR131" s="225" t="e">
        <f t="shared" si="6"/>
        <v>#DIV/0!</v>
      </c>
      <c r="AS131" s="225" t="e">
        <f t="shared" si="6"/>
        <v>#DIV/0!</v>
      </c>
      <c r="AT131" s="225" t="e">
        <f t="shared" si="6"/>
        <v>#DIV/0!</v>
      </c>
      <c r="AU131" s="225" t="e">
        <f t="shared" si="6"/>
        <v>#DIV/0!</v>
      </c>
      <c r="AV131" s="225" t="e">
        <f t="shared" si="6"/>
        <v>#DIV/0!</v>
      </c>
      <c r="AW131" s="225" t="e">
        <f t="shared" si="6"/>
        <v>#DIV/0!</v>
      </c>
      <c r="AX131" s="226" t="e">
        <f t="shared" si="6"/>
        <v>#DIV/0!</v>
      </c>
    </row>
    <row r="132" spans="2:50">
      <c r="B132" s="220">
        <v>22</v>
      </c>
      <c r="C132" s="61"/>
      <c r="D132" s="61"/>
      <c r="E132" s="61"/>
      <c r="F132" s="61"/>
      <c r="G132" s="61"/>
      <c r="H132" s="61"/>
      <c r="I132" s="61"/>
      <c r="J132" s="61"/>
      <c r="K132" s="61"/>
      <c r="L132" s="61"/>
      <c r="M132" s="61"/>
      <c r="N132" s="61"/>
      <c r="O132" s="61"/>
      <c r="P132" s="61"/>
      <c r="R132" s="220">
        <v>22</v>
      </c>
      <c r="S132" s="68"/>
      <c r="T132" s="68"/>
      <c r="U132" s="68"/>
      <c r="V132" s="68"/>
      <c r="W132" s="68"/>
      <c r="X132" s="68"/>
      <c r="Y132" s="68"/>
      <c r="Z132" s="68"/>
      <c r="AA132" s="68"/>
      <c r="AB132" s="68"/>
      <c r="AC132" s="68"/>
      <c r="AD132" s="68"/>
      <c r="AE132" s="68"/>
      <c r="AF132" s="68"/>
      <c r="AJ132" s="220">
        <v>22</v>
      </c>
      <c r="AK132" s="225" t="e">
        <f t="shared" si="5"/>
        <v>#DIV/0!</v>
      </c>
      <c r="AL132" s="225" t="e">
        <f t="shared" si="5"/>
        <v>#DIV/0!</v>
      </c>
      <c r="AM132" s="225" t="e">
        <f t="shared" si="7"/>
        <v>#DIV/0!</v>
      </c>
      <c r="AN132" s="225" t="e">
        <f t="shared" si="7"/>
        <v>#DIV/0!</v>
      </c>
      <c r="AO132" s="225" t="e">
        <f t="shared" si="7"/>
        <v>#DIV/0!</v>
      </c>
      <c r="AP132" s="225" t="e">
        <f t="shared" si="6"/>
        <v>#DIV/0!</v>
      </c>
      <c r="AQ132" s="225" t="e">
        <f t="shared" si="6"/>
        <v>#DIV/0!</v>
      </c>
      <c r="AR132" s="225" t="e">
        <f t="shared" si="6"/>
        <v>#DIV/0!</v>
      </c>
      <c r="AS132" s="225" t="e">
        <f t="shared" si="6"/>
        <v>#DIV/0!</v>
      </c>
      <c r="AT132" s="225" t="e">
        <f t="shared" si="6"/>
        <v>#DIV/0!</v>
      </c>
      <c r="AU132" s="225" t="e">
        <f t="shared" si="6"/>
        <v>#DIV/0!</v>
      </c>
      <c r="AV132" s="225" t="e">
        <f t="shared" si="6"/>
        <v>#DIV/0!</v>
      </c>
      <c r="AW132" s="225" t="e">
        <f t="shared" si="6"/>
        <v>#DIV/0!</v>
      </c>
      <c r="AX132" s="226" t="e">
        <f t="shared" si="6"/>
        <v>#DIV/0!</v>
      </c>
    </row>
    <row r="133" spans="2:50">
      <c r="B133" s="220">
        <v>23</v>
      </c>
      <c r="C133" s="61"/>
      <c r="D133" s="61"/>
      <c r="E133" s="61"/>
      <c r="F133" s="61"/>
      <c r="G133" s="61"/>
      <c r="H133" s="61"/>
      <c r="I133" s="61"/>
      <c r="J133" s="61"/>
      <c r="K133" s="61"/>
      <c r="L133" s="61"/>
      <c r="M133" s="61"/>
      <c r="N133" s="61"/>
      <c r="O133" s="61"/>
      <c r="P133" s="61"/>
      <c r="R133" s="220">
        <v>23</v>
      </c>
      <c r="S133" s="61"/>
      <c r="T133" s="61"/>
      <c r="U133" s="61"/>
      <c r="V133" s="61"/>
      <c r="W133" s="61"/>
      <c r="X133" s="61"/>
      <c r="Y133" s="61"/>
      <c r="Z133" s="61"/>
      <c r="AA133" s="61"/>
      <c r="AB133" s="61"/>
      <c r="AC133" s="61"/>
      <c r="AD133" s="61"/>
      <c r="AE133" s="61"/>
      <c r="AF133" s="61"/>
      <c r="AJ133" s="220">
        <v>23</v>
      </c>
      <c r="AK133" s="225" t="e">
        <f t="shared" si="5"/>
        <v>#DIV/0!</v>
      </c>
      <c r="AL133" s="225" t="e">
        <f t="shared" si="5"/>
        <v>#DIV/0!</v>
      </c>
      <c r="AM133" s="225" t="e">
        <f t="shared" si="7"/>
        <v>#DIV/0!</v>
      </c>
      <c r="AN133" s="225" t="e">
        <f t="shared" si="7"/>
        <v>#DIV/0!</v>
      </c>
      <c r="AO133" s="225" t="e">
        <f t="shared" si="7"/>
        <v>#DIV/0!</v>
      </c>
      <c r="AP133" s="225" t="e">
        <f t="shared" si="6"/>
        <v>#DIV/0!</v>
      </c>
      <c r="AQ133" s="225" t="e">
        <f t="shared" si="6"/>
        <v>#DIV/0!</v>
      </c>
      <c r="AR133" s="225" t="e">
        <f t="shared" si="6"/>
        <v>#DIV/0!</v>
      </c>
      <c r="AS133" s="225" t="e">
        <f t="shared" si="6"/>
        <v>#DIV/0!</v>
      </c>
      <c r="AT133" s="225" t="e">
        <f t="shared" si="6"/>
        <v>#DIV/0!</v>
      </c>
      <c r="AU133" s="225" t="e">
        <f t="shared" si="6"/>
        <v>#DIV/0!</v>
      </c>
      <c r="AV133" s="225" t="e">
        <f t="shared" si="6"/>
        <v>#DIV/0!</v>
      </c>
      <c r="AW133" s="225" t="e">
        <f t="shared" si="6"/>
        <v>#DIV/0!</v>
      </c>
      <c r="AX133" s="226" t="e">
        <f t="shared" si="6"/>
        <v>#DIV/0!</v>
      </c>
    </row>
    <row r="134" spans="2:50">
      <c r="B134" s="224">
        <v>24</v>
      </c>
      <c r="C134" s="68"/>
      <c r="D134" s="68"/>
      <c r="E134" s="68"/>
      <c r="F134" s="68"/>
      <c r="G134" s="68"/>
      <c r="H134" s="68"/>
      <c r="I134" s="68"/>
      <c r="J134" s="68"/>
      <c r="K134" s="68"/>
      <c r="L134" s="68"/>
      <c r="M134" s="68"/>
      <c r="N134" s="68"/>
      <c r="O134" s="68"/>
      <c r="P134" s="68"/>
      <c r="R134" s="224">
        <v>24</v>
      </c>
      <c r="S134" s="68"/>
      <c r="T134" s="68"/>
      <c r="U134" s="68"/>
      <c r="V134" s="68"/>
      <c r="W134" s="68"/>
      <c r="X134" s="68"/>
      <c r="Y134" s="68"/>
      <c r="Z134" s="68"/>
      <c r="AA134" s="68"/>
      <c r="AB134" s="68"/>
      <c r="AC134" s="68"/>
      <c r="AD134" s="68"/>
      <c r="AE134" s="68"/>
      <c r="AF134" s="68"/>
      <c r="AJ134" s="224">
        <v>24</v>
      </c>
      <c r="AK134" s="225" t="e">
        <f t="shared" si="5"/>
        <v>#DIV/0!</v>
      </c>
      <c r="AL134" s="225" t="e">
        <f t="shared" si="5"/>
        <v>#DIV/0!</v>
      </c>
      <c r="AM134" s="225" t="e">
        <f t="shared" si="7"/>
        <v>#DIV/0!</v>
      </c>
      <c r="AN134" s="225" t="e">
        <f t="shared" si="7"/>
        <v>#DIV/0!</v>
      </c>
      <c r="AO134" s="225" t="e">
        <f t="shared" si="7"/>
        <v>#DIV/0!</v>
      </c>
      <c r="AP134" s="225" t="e">
        <f t="shared" si="6"/>
        <v>#DIV/0!</v>
      </c>
      <c r="AQ134" s="225" t="e">
        <f t="shared" si="6"/>
        <v>#DIV/0!</v>
      </c>
      <c r="AR134" s="225" t="e">
        <f t="shared" si="6"/>
        <v>#DIV/0!</v>
      </c>
      <c r="AS134" s="225" t="e">
        <f t="shared" si="6"/>
        <v>#DIV/0!</v>
      </c>
      <c r="AT134" s="225" t="e">
        <f t="shared" si="6"/>
        <v>#DIV/0!</v>
      </c>
      <c r="AU134" s="225" t="e">
        <f t="shared" si="6"/>
        <v>#DIV/0!</v>
      </c>
      <c r="AV134" s="225" t="e">
        <f t="shared" si="6"/>
        <v>#DIV/0!</v>
      </c>
      <c r="AW134" s="225" t="e">
        <f t="shared" si="6"/>
        <v>#DIV/0!</v>
      </c>
      <c r="AX134" s="226" t="e">
        <f t="shared" si="6"/>
        <v>#DIV/0!</v>
      </c>
    </row>
    <row r="135" spans="2:50">
      <c r="B135" s="220">
        <v>25</v>
      </c>
      <c r="C135" s="61"/>
      <c r="D135" s="61"/>
      <c r="E135" s="61"/>
      <c r="F135" s="61"/>
      <c r="G135" s="61"/>
      <c r="H135" s="61"/>
      <c r="I135" s="61"/>
      <c r="J135" s="61"/>
      <c r="K135" s="61"/>
      <c r="L135" s="61"/>
      <c r="M135" s="61"/>
      <c r="N135" s="61"/>
      <c r="O135" s="61"/>
      <c r="P135" s="61"/>
      <c r="Q135" s="229"/>
      <c r="R135" s="220">
        <v>25</v>
      </c>
      <c r="S135" s="61"/>
      <c r="T135" s="61"/>
      <c r="U135" s="61"/>
      <c r="V135" s="61"/>
      <c r="W135" s="61"/>
      <c r="X135" s="61"/>
      <c r="Y135" s="61"/>
      <c r="Z135" s="61"/>
      <c r="AA135" s="61"/>
      <c r="AB135" s="61"/>
      <c r="AC135" s="61"/>
      <c r="AD135" s="61"/>
      <c r="AE135" s="61"/>
      <c r="AF135" s="61"/>
      <c r="AG135" s="229"/>
      <c r="AH135" s="229"/>
      <c r="AI135" s="229"/>
      <c r="AJ135" s="220">
        <v>25</v>
      </c>
      <c r="AK135" s="225" t="e">
        <f t="shared" si="5"/>
        <v>#DIV/0!</v>
      </c>
      <c r="AL135" s="225" t="e">
        <f t="shared" si="5"/>
        <v>#DIV/0!</v>
      </c>
      <c r="AM135" s="225" t="e">
        <f t="shared" si="7"/>
        <v>#DIV/0!</v>
      </c>
      <c r="AN135" s="225" t="e">
        <f t="shared" si="7"/>
        <v>#DIV/0!</v>
      </c>
      <c r="AO135" s="225" t="e">
        <f t="shared" si="7"/>
        <v>#DIV/0!</v>
      </c>
      <c r="AP135" s="225" t="e">
        <f t="shared" si="6"/>
        <v>#DIV/0!</v>
      </c>
      <c r="AQ135" s="225" t="e">
        <f t="shared" si="6"/>
        <v>#DIV/0!</v>
      </c>
      <c r="AR135" s="225" t="e">
        <f t="shared" si="6"/>
        <v>#DIV/0!</v>
      </c>
      <c r="AS135" s="225" t="e">
        <f t="shared" si="6"/>
        <v>#DIV/0!</v>
      </c>
      <c r="AT135" s="225" t="e">
        <f t="shared" si="6"/>
        <v>#DIV/0!</v>
      </c>
      <c r="AU135" s="225" t="e">
        <f t="shared" si="6"/>
        <v>#DIV/0!</v>
      </c>
      <c r="AV135" s="225" t="e">
        <f t="shared" si="6"/>
        <v>#DIV/0!</v>
      </c>
      <c r="AW135" s="225" t="e">
        <f t="shared" si="6"/>
        <v>#DIV/0!</v>
      </c>
      <c r="AX135" s="226" t="e">
        <f t="shared" si="6"/>
        <v>#DIV/0!</v>
      </c>
    </row>
    <row r="136" spans="2:50">
      <c r="B136" s="220">
        <v>26</v>
      </c>
      <c r="C136" s="61"/>
      <c r="D136" s="61"/>
      <c r="E136" s="61"/>
      <c r="F136" s="61"/>
      <c r="G136" s="61"/>
      <c r="H136" s="61"/>
      <c r="I136" s="61"/>
      <c r="J136" s="61"/>
      <c r="K136" s="61"/>
      <c r="L136" s="61"/>
      <c r="M136" s="61"/>
      <c r="N136" s="61"/>
      <c r="O136" s="61"/>
      <c r="P136" s="61"/>
      <c r="R136" s="220">
        <v>26</v>
      </c>
      <c r="S136" s="68"/>
      <c r="T136" s="68"/>
      <c r="U136" s="68"/>
      <c r="V136" s="68"/>
      <c r="W136" s="68"/>
      <c r="X136" s="68"/>
      <c r="Y136" s="68"/>
      <c r="Z136" s="68"/>
      <c r="AA136" s="68"/>
      <c r="AB136" s="68"/>
      <c r="AC136" s="68"/>
      <c r="AD136" s="68"/>
      <c r="AE136" s="68"/>
      <c r="AF136" s="68"/>
      <c r="AJ136" s="220">
        <v>26</v>
      </c>
      <c r="AK136" s="225" t="e">
        <f t="shared" si="5"/>
        <v>#DIV/0!</v>
      </c>
      <c r="AL136" s="225" t="e">
        <f t="shared" si="5"/>
        <v>#DIV/0!</v>
      </c>
      <c r="AM136" s="225" t="e">
        <f t="shared" si="7"/>
        <v>#DIV/0!</v>
      </c>
      <c r="AN136" s="225" t="e">
        <f t="shared" si="7"/>
        <v>#DIV/0!</v>
      </c>
      <c r="AO136" s="225" t="e">
        <f t="shared" si="7"/>
        <v>#DIV/0!</v>
      </c>
      <c r="AP136" s="225" t="e">
        <f t="shared" si="6"/>
        <v>#DIV/0!</v>
      </c>
      <c r="AQ136" s="225" t="e">
        <f t="shared" si="6"/>
        <v>#DIV/0!</v>
      </c>
      <c r="AR136" s="225" t="e">
        <f t="shared" si="6"/>
        <v>#DIV/0!</v>
      </c>
      <c r="AS136" s="225" t="e">
        <f t="shared" si="6"/>
        <v>#DIV/0!</v>
      </c>
      <c r="AT136" s="225" t="e">
        <f t="shared" si="6"/>
        <v>#DIV/0!</v>
      </c>
      <c r="AU136" s="225" t="e">
        <f t="shared" si="6"/>
        <v>#DIV/0!</v>
      </c>
      <c r="AV136" s="225" t="e">
        <f t="shared" si="6"/>
        <v>#DIV/0!</v>
      </c>
      <c r="AW136" s="225" t="e">
        <f t="shared" si="6"/>
        <v>#DIV/0!</v>
      </c>
      <c r="AX136" s="226" t="e">
        <f t="shared" si="6"/>
        <v>#DIV/0!</v>
      </c>
    </row>
    <row r="137" spans="2:50">
      <c r="B137" s="220">
        <v>27</v>
      </c>
      <c r="C137" s="61"/>
      <c r="D137" s="61"/>
      <c r="E137" s="61"/>
      <c r="F137" s="61"/>
      <c r="G137" s="61"/>
      <c r="H137" s="61"/>
      <c r="I137" s="61"/>
      <c r="J137" s="61"/>
      <c r="K137" s="61"/>
      <c r="L137" s="61"/>
      <c r="M137" s="61"/>
      <c r="N137" s="61"/>
      <c r="O137" s="61"/>
      <c r="P137" s="61"/>
      <c r="R137" s="220">
        <v>27</v>
      </c>
      <c r="S137" s="61"/>
      <c r="T137" s="61"/>
      <c r="U137" s="61"/>
      <c r="V137" s="61"/>
      <c r="W137" s="61"/>
      <c r="X137" s="61"/>
      <c r="Y137" s="61"/>
      <c r="Z137" s="61"/>
      <c r="AA137" s="61"/>
      <c r="AB137" s="61"/>
      <c r="AC137" s="61"/>
      <c r="AD137" s="61"/>
      <c r="AE137" s="61"/>
      <c r="AF137" s="61"/>
      <c r="AJ137" s="220">
        <v>27</v>
      </c>
      <c r="AK137" s="225" t="e">
        <f t="shared" si="5"/>
        <v>#DIV/0!</v>
      </c>
      <c r="AL137" s="225" t="e">
        <f t="shared" si="5"/>
        <v>#DIV/0!</v>
      </c>
      <c r="AM137" s="225" t="e">
        <f t="shared" si="7"/>
        <v>#DIV/0!</v>
      </c>
      <c r="AN137" s="225" t="e">
        <f t="shared" si="7"/>
        <v>#DIV/0!</v>
      </c>
      <c r="AO137" s="225" t="e">
        <f t="shared" si="7"/>
        <v>#DIV/0!</v>
      </c>
      <c r="AP137" s="225" t="e">
        <f t="shared" si="6"/>
        <v>#DIV/0!</v>
      </c>
      <c r="AQ137" s="225" t="e">
        <f t="shared" si="6"/>
        <v>#DIV/0!</v>
      </c>
      <c r="AR137" s="225" t="e">
        <f t="shared" si="6"/>
        <v>#DIV/0!</v>
      </c>
      <c r="AS137" s="225" t="e">
        <f t="shared" si="6"/>
        <v>#DIV/0!</v>
      </c>
      <c r="AT137" s="225" t="e">
        <f t="shared" si="6"/>
        <v>#DIV/0!</v>
      </c>
      <c r="AU137" s="225" t="e">
        <f t="shared" si="6"/>
        <v>#DIV/0!</v>
      </c>
      <c r="AV137" s="225" t="e">
        <f t="shared" si="6"/>
        <v>#DIV/0!</v>
      </c>
      <c r="AW137" s="225" t="e">
        <f t="shared" si="6"/>
        <v>#DIV/0!</v>
      </c>
      <c r="AX137" s="226" t="e">
        <f t="shared" si="6"/>
        <v>#DIV/0!</v>
      </c>
    </row>
    <row r="138" spans="2:50">
      <c r="B138" s="220">
        <v>28</v>
      </c>
      <c r="C138" s="68"/>
      <c r="D138" s="68"/>
      <c r="E138" s="68"/>
      <c r="F138" s="68"/>
      <c r="G138" s="68"/>
      <c r="H138" s="68"/>
      <c r="I138" s="68"/>
      <c r="J138" s="68"/>
      <c r="K138" s="68"/>
      <c r="L138" s="68"/>
      <c r="M138" s="68"/>
      <c r="N138" s="68"/>
      <c r="O138" s="68"/>
      <c r="P138" s="68"/>
      <c r="R138" s="220">
        <v>28</v>
      </c>
      <c r="S138" s="68"/>
      <c r="T138" s="68"/>
      <c r="U138" s="68"/>
      <c r="V138" s="68"/>
      <c r="W138" s="68"/>
      <c r="X138" s="68"/>
      <c r="Y138" s="68"/>
      <c r="Z138" s="68"/>
      <c r="AA138" s="68"/>
      <c r="AB138" s="68"/>
      <c r="AC138" s="68"/>
      <c r="AD138" s="68"/>
      <c r="AE138" s="68"/>
      <c r="AF138" s="68"/>
      <c r="AJ138" s="220">
        <v>28</v>
      </c>
      <c r="AK138" s="225" t="e">
        <f t="shared" si="5"/>
        <v>#DIV/0!</v>
      </c>
      <c r="AL138" s="225" t="e">
        <f t="shared" si="5"/>
        <v>#DIV/0!</v>
      </c>
      <c r="AM138" s="225" t="e">
        <f t="shared" si="7"/>
        <v>#DIV/0!</v>
      </c>
      <c r="AN138" s="225" t="e">
        <f t="shared" si="7"/>
        <v>#DIV/0!</v>
      </c>
      <c r="AO138" s="225" t="e">
        <f t="shared" si="7"/>
        <v>#DIV/0!</v>
      </c>
      <c r="AP138" s="225" t="e">
        <f t="shared" si="6"/>
        <v>#DIV/0!</v>
      </c>
      <c r="AQ138" s="225" t="e">
        <f t="shared" si="6"/>
        <v>#DIV/0!</v>
      </c>
      <c r="AR138" s="225" t="e">
        <f t="shared" si="6"/>
        <v>#DIV/0!</v>
      </c>
      <c r="AS138" s="225" t="e">
        <f t="shared" si="6"/>
        <v>#DIV/0!</v>
      </c>
      <c r="AT138" s="225" t="e">
        <f t="shared" si="6"/>
        <v>#DIV/0!</v>
      </c>
      <c r="AU138" s="225" t="e">
        <f t="shared" si="6"/>
        <v>#DIV/0!</v>
      </c>
      <c r="AV138" s="225" t="e">
        <f t="shared" si="6"/>
        <v>#DIV/0!</v>
      </c>
      <c r="AW138" s="225" t="e">
        <f t="shared" si="6"/>
        <v>#DIV/0!</v>
      </c>
      <c r="AX138" s="226" t="e">
        <f t="shared" si="6"/>
        <v>#DIV/0!</v>
      </c>
    </row>
    <row r="139" spans="2:50">
      <c r="B139" s="220">
        <v>29</v>
      </c>
      <c r="C139" s="61"/>
      <c r="D139" s="61"/>
      <c r="E139" s="61"/>
      <c r="F139" s="61"/>
      <c r="G139" s="61"/>
      <c r="H139" s="61"/>
      <c r="I139" s="61"/>
      <c r="J139" s="61"/>
      <c r="K139" s="61"/>
      <c r="L139" s="61"/>
      <c r="M139" s="61"/>
      <c r="N139" s="61"/>
      <c r="O139" s="61"/>
      <c r="P139" s="61"/>
      <c r="R139" s="220">
        <v>29</v>
      </c>
      <c r="S139" s="61"/>
      <c r="T139" s="61"/>
      <c r="U139" s="61"/>
      <c r="V139" s="61"/>
      <c r="W139" s="61"/>
      <c r="X139" s="61"/>
      <c r="Y139" s="61"/>
      <c r="Z139" s="61"/>
      <c r="AA139" s="61"/>
      <c r="AB139" s="61"/>
      <c r="AC139" s="61"/>
      <c r="AD139" s="61"/>
      <c r="AE139" s="61"/>
      <c r="AF139" s="61"/>
      <c r="AJ139" s="220">
        <v>29</v>
      </c>
      <c r="AK139" s="225" t="e">
        <f t="shared" si="5"/>
        <v>#DIV/0!</v>
      </c>
      <c r="AL139" s="225" t="e">
        <f t="shared" si="5"/>
        <v>#DIV/0!</v>
      </c>
      <c r="AM139" s="225" t="e">
        <f t="shared" si="7"/>
        <v>#DIV/0!</v>
      </c>
      <c r="AN139" s="225" t="e">
        <f t="shared" si="7"/>
        <v>#DIV/0!</v>
      </c>
      <c r="AO139" s="225" t="e">
        <f t="shared" si="7"/>
        <v>#DIV/0!</v>
      </c>
      <c r="AP139" s="225" t="e">
        <f t="shared" si="6"/>
        <v>#DIV/0!</v>
      </c>
      <c r="AQ139" s="225" t="e">
        <f t="shared" si="6"/>
        <v>#DIV/0!</v>
      </c>
      <c r="AR139" s="225" t="e">
        <f t="shared" si="6"/>
        <v>#DIV/0!</v>
      </c>
      <c r="AS139" s="225" t="e">
        <f t="shared" si="6"/>
        <v>#DIV/0!</v>
      </c>
      <c r="AT139" s="225" t="e">
        <f t="shared" si="6"/>
        <v>#DIV/0!</v>
      </c>
      <c r="AU139" s="225" t="e">
        <f t="shared" si="6"/>
        <v>#DIV/0!</v>
      </c>
      <c r="AV139" s="225" t="e">
        <f t="shared" si="6"/>
        <v>#DIV/0!</v>
      </c>
      <c r="AW139" s="225" t="e">
        <f t="shared" si="6"/>
        <v>#DIV/0!</v>
      </c>
      <c r="AX139" s="226" t="e">
        <f t="shared" si="6"/>
        <v>#DIV/0!</v>
      </c>
    </row>
    <row r="140" spans="2:50">
      <c r="B140" s="220">
        <v>30</v>
      </c>
      <c r="C140" s="61"/>
      <c r="D140" s="61"/>
      <c r="E140" s="61"/>
      <c r="F140" s="61"/>
      <c r="G140" s="61"/>
      <c r="H140" s="61"/>
      <c r="I140" s="61"/>
      <c r="J140" s="61"/>
      <c r="K140" s="61"/>
      <c r="L140" s="61"/>
      <c r="M140" s="61"/>
      <c r="N140" s="61"/>
      <c r="O140" s="61"/>
      <c r="P140" s="61"/>
      <c r="R140" s="220">
        <v>30</v>
      </c>
      <c r="S140" s="68"/>
      <c r="T140" s="68"/>
      <c r="U140" s="68"/>
      <c r="V140" s="68"/>
      <c r="W140" s="68"/>
      <c r="X140" s="68"/>
      <c r="Y140" s="68"/>
      <c r="Z140" s="68"/>
      <c r="AA140" s="68"/>
      <c r="AB140" s="68"/>
      <c r="AC140" s="68"/>
      <c r="AD140" s="68"/>
      <c r="AE140" s="68"/>
      <c r="AF140" s="68"/>
      <c r="AJ140" s="220">
        <v>30</v>
      </c>
      <c r="AK140" s="225" t="e">
        <f t="shared" si="5"/>
        <v>#DIV/0!</v>
      </c>
      <c r="AL140" s="225" t="e">
        <f t="shared" si="5"/>
        <v>#DIV/0!</v>
      </c>
      <c r="AM140" s="225" t="e">
        <f t="shared" si="7"/>
        <v>#DIV/0!</v>
      </c>
      <c r="AN140" s="225" t="e">
        <f t="shared" si="7"/>
        <v>#DIV/0!</v>
      </c>
      <c r="AO140" s="225" t="e">
        <f t="shared" si="7"/>
        <v>#DIV/0!</v>
      </c>
      <c r="AP140" s="225" t="e">
        <f t="shared" si="6"/>
        <v>#DIV/0!</v>
      </c>
      <c r="AQ140" s="225" t="e">
        <f t="shared" si="6"/>
        <v>#DIV/0!</v>
      </c>
      <c r="AR140" s="225" t="e">
        <f t="shared" si="6"/>
        <v>#DIV/0!</v>
      </c>
      <c r="AS140" s="225" t="e">
        <f t="shared" si="6"/>
        <v>#DIV/0!</v>
      </c>
      <c r="AT140" s="225" t="e">
        <f t="shared" si="6"/>
        <v>#DIV/0!</v>
      </c>
      <c r="AU140" s="225" t="e">
        <f t="shared" si="6"/>
        <v>#DIV/0!</v>
      </c>
      <c r="AV140" s="225" t="e">
        <f t="shared" si="6"/>
        <v>#DIV/0!</v>
      </c>
      <c r="AW140" s="225" t="e">
        <f t="shared" si="6"/>
        <v>#DIV/0!</v>
      </c>
      <c r="AX140" s="226" t="e">
        <f t="shared" si="6"/>
        <v>#DIV/0!</v>
      </c>
    </row>
    <row r="141" spans="2:50">
      <c r="B141" s="220">
        <v>31</v>
      </c>
      <c r="C141" s="61"/>
      <c r="D141" s="61"/>
      <c r="E141" s="61"/>
      <c r="F141" s="61"/>
      <c r="G141" s="61"/>
      <c r="H141" s="61"/>
      <c r="I141" s="61"/>
      <c r="J141" s="61"/>
      <c r="K141" s="61"/>
      <c r="L141" s="61"/>
      <c r="M141" s="61"/>
      <c r="N141" s="61"/>
      <c r="O141" s="61"/>
      <c r="P141" s="61"/>
      <c r="R141" s="220">
        <v>31</v>
      </c>
      <c r="S141" s="61"/>
      <c r="T141" s="61"/>
      <c r="U141" s="61"/>
      <c r="V141" s="61"/>
      <c r="W141" s="61"/>
      <c r="X141" s="61"/>
      <c r="Y141" s="61"/>
      <c r="Z141" s="61"/>
      <c r="AA141" s="61"/>
      <c r="AB141" s="61"/>
      <c r="AC141" s="61"/>
      <c r="AD141" s="61"/>
      <c r="AE141" s="61"/>
      <c r="AF141" s="61"/>
      <c r="AJ141" s="220">
        <v>31</v>
      </c>
      <c r="AK141" s="225" t="e">
        <f t="shared" si="5"/>
        <v>#DIV/0!</v>
      </c>
      <c r="AL141" s="225" t="e">
        <f t="shared" si="5"/>
        <v>#DIV/0!</v>
      </c>
      <c r="AM141" s="225" t="e">
        <f t="shared" si="7"/>
        <v>#DIV/0!</v>
      </c>
      <c r="AN141" s="225" t="e">
        <f t="shared" si="7"/>
        <v>#DIV/0!</v>
      </c>
      <c r="AO141" s="225" t="e">
        <f t="shared" si="7"/>
        <v>#DIV/0!</v>
      </c>
      <c r="AP141" s="225" t="e">
        <f t="shared" si="6"/>
        <v>#DIV/0!</v>
      </c>
      <c r="AQ141" s="225" t="e">
        <f t="shared" si="6"/>
        <v>#DIV/0!</v>
      </c>
      <c r="AR141" s="225" t="e">
        <f t="shared" si="6"/>
        <v>#DIV/0!</v>
      </c>
      <c r="AS141" s="225" t="e">
        <f t="shared" si="6"/>
        <v>#DIV/0!</v>
      </c>
      <c r="AT141" s="225" t="e">
        <f t="shared" si="6"/>
        <v>#DIV/0!</v>
      </c>
      <c r="AU141" s="225" t="e">
        <f t="shared" si="6"/>
        <v>#DIV/0!</v>
      </c>
      <c r="AV141" s="225" t="e">
        <f t="shared" si="6"/>
        <v>#DIV/0!</v>
      </c>
      <c r="AW141" s="225" t="e">
        <f t="shared" si="6"/>
        <v>#DIV/0!</v>
      </c>
      <c r="AX141" s="226" t="e">
        <f t="shared" si="6"/>
        <v>#DIV/0!</v>
      </c>
    </row>
    <row r="142" spans="2:50">
      <c r="B142" s="220">
        <v>32</v>
      </c>
      <c r="C142" s="68"/>
      <c r="D142" s="68"/>
      <c r="E142" s="68"/>
      <c r="F142" s="68"/>
      <c r="G142" s="68"/>
      <c r="H142" s="68"/>
      <c r="I142" s="68"/>
      <c r="J142" s="68"/>
      <c r="K142" s="68"/>
      <c r="L142" s="68"/>
      <c r="M142" s="68"/>
      <c r="N142" s="68"/>
      <c r="O142" s="68"/>
      <c r="P142" s="68"/>
      <c r="R142" s="220">
        <v>32</v>
      </c>
      <c r="S142" s="68"/>
      <c r="T142" s="68"/>
      <c r="U142" s="68"/>
      <c r="V142" s="68"/>
      <c r="W142" s="68"/>
      <c r="X142" s="68"/>
      <c r="Y142" s="68"/>
      <c r="Z142" s="68"/>
      <c r="AA142" s="68"/>
      <c r="AB142" s="68"/>
      <c r="AC142" s="68"/>
      <c r="AD142" s="68"/>
      <c r="AE142" s="68"/>
      <c r="AF142" s="68"/>
      <c r="AJ142" s="220">
        <v>32</v>
      </c>
      <c r="AK142" s="225" t="e">
        <f t="shared" si="5"/>
        <v>#DIV/0!</v>
      </c>
      <c r="AL142" s="225" t="e">
        <f t="shared" si="5"/>
        <v>#DIV/0!</v>
      </c>
      <c r="AM142" s="225" t="e">
        <f t="shared" si="7"/>
        <v>#DIV/0!</v>
      </c>
      <c r="AN142" s="225" t="e">
        <f t="shared" si="7"/>
        <v>#DIV/0!</v>
      </c>
      <c r="AO142" s="225" t="e">
        <f t="shared" si="7"/>
        <v>#DIV/0!</v>
      </c>
      <c r="AP142" s="225" t="e">
        <f t="shared" si="6"/>
        <v>#DIV/0!</v>
      </c>
      <c r="AQ142" s="225" t="e">
        <f t="shared" si="6"/>
        <v>#DIV/0!</v>
      </c>
      <c r="AR142" s="225" t="e">
        <f t="shared" si="6"/>
        <v>#DIV/0!</v>
      </c>
      <c r="AS142" s="225" t="e">
        <f t="shared" si="6"/>
        <v>#DIV/0!</v>
      </c>
      <c r="AT142" s="225" t="e">
        <f t="shared" si="6"/>
        <v>#DIV/0!</v>
      </c>
      <c r="AU142" s="225" t="e">
        <f t="shared" si="6"/>
        <v>#DIV/0!</v>
      </c>
      <c r="AV142" s="225" t="e">
        <f t="shared" si="6"/>
        <v>#DIV/0!</v>
      </c>
      <c r="AW142" s="225" t="e">
        <f t="shared" si="6"/>
        <v>#DIV/0!</v>
      </c>
      <c r="AX142" s="226" t="e">
        <f t="shared" si="6"/>
        <v>#DIV/0!</v>
      </c>
    </row>
    <row r="143" spans="2:50">
      <c r="B143" s="220">
        <v>33</v>
      </c>
      <c r="C143" s="61"/>
      <c r="D143" s="61"/>
      <c r="E143" s="61"/>
      <c r="F143" s="61"/>
      <c r="G143" s="61"/>
      <c r="H143" s="61"/>
      <c r="I143" s="61"/>
      <c r="J143" s="61"/>
      <c r="K143" s="61"/>
      <c r="L143" s="61"/>
      <c r="M143" s="61"/>
      <c r="N143" s="61"/>
      <c r="O143" s="61"/>
      <c r="P143" s="61"/>
      <c r="R143" s="220">
        <v>33</v>
      </c>
      <c r="S143" s="61"/>
      <c r="T143" s="61"/>
      <c r="U143" s="61"/>
      <c r="V143" s="61"/>
      <c r="W143" s="61"/>
      <c r="X143" s="61"/>
      <c r="Y143" s="61"/>
      <c r="Z143" s="61"/>
      <c r="AA143" s="61"/>
      <c r="AB143" s="61"/>
      <c r="AC143" s="61"/>
      <c r="AD143" s="61"/>
      <c r="AE143" s="61"/>
      <c r="AF143" s="61"/>
      <c r="AJ143" s="220">
        <v>33</v>
      </c>
      <c r="AK143" s="225" t="e">
        <f t="shared" si="5"/>
        <v>#DIV/0!</v>
      </c>
      <c r="AL143" s="225" t="e">
        <f t="shared" si="5"/>
        <v>#DIV/0!</v>
      </c>
      <c r="AM143" s="225" t="e">
        <f t="shared" si="7"/>
        <v>#DIV/0!</v>
      </c>
      <c r="AN143" s="225" t="e">
        <f t="shared" si="7"/>
        <v>#DIV/0!</v>
      </c>
      <c r="AO143" s="225" t="e">
        <f t="shared" si="7"/>
        <v>#DIV/0!</v>
      </c>
      <c r="AP143" s="225" t="e">
        <f t="shared" si="6"/>
        <v>#DIV/0!</v>
      </c>
      <c r="AQ143" s="225" t="e">
        <f t="shared" si="6"/>
        <v>#DIV/0!</v>
      </c>
      <c r="AR143" s="225" t="e">
        <f t="shared" si="6"/>
        <v>#DIV/0!</v>
      </c>
      <c r="AS143" s="225" t="e">
        <f t="shared" si="6"/>
        <v>#DIV/0!</v>
      </c>
      <c r="AT143" s="225" t="e">
        <f t="shared" si="6"/>
        <v>#DIV/0!</v>
      </c>
      <c r="AU143" s="225" t="e">
        <f t="shared" si="6"/>
        <v>#DIV/0!</v>
      </c>
      <c r="AV143" s="225" t="e">
        <f t="shared" si="6"/>
        <v>#DIV/0!</v>
      </c>
      <c r="AW143" s="225" t="e">
        <f t="shared" si="6"/>
        <v>#DIV/0!</v>
      </c>
      <c r="AX143" s="226" t="e">
        <f t="shared" si="6"/>
        <v>#DIV/0!</v>
      </c>
    </row>
    <row r="144" spans="2:50">
      <c r="B144" s="220">
        <v>34</v>
      </c>
      <c r="C144" s="61"/>
      <c r="D144" s="61"/>
      <c r="E144" s="61"/>
      <c r="F144" s="61"/>
      <c r="G144" s="61"/>
      <c r="H144" s="61"/>
      <c r="I144" s="61"/>
      <c r="J144" s="61"/>
      <c r="K144" s="61"/>
      <c r="L144" s="61"/>
      <c r="M144" s="61"/>
      <c r="N144" s="61"/>
      <c r="O144" s="61"/>
      <c r="P144" s="61"/>
      <c r="R144" s="220">
        <v>34</v>
      </c>
      <c r="S144" s="68"/>
      <c r="T144" s="68"/>
      <c r="U144" s="68"/>
      <c r="V144" s="68"/>
      <c r="W144" s="68"/>
      <c r="X144" s="68"/>
      <c r="Y144" s="68"/>
      <c r="Z144" s="68"/>
      <c r="AA144" s="68"/>
      <c r="AB144" s="68"/>
      <c r="AC144" s="68"/>
      <c r="AD144" s="68"/>
      <c r="AE144" s="68"/>
      <c r="AF144" s="68"/>
      <c r="AJ144" s="220">
        <v>34</v>
      </c>
      <c r="AK144" s="225" t="e">
        <f t="shared" si="5"/>
        <v>#DIV/0!</v>
      </c>
      <c r="AL144" s="225" t="e">
        <f t="shared" si="5"/>
        <v>#DIV/0!</v>
      </c>
      <c r="AM144" s="225" t="e">
        <f t="shared" si="7"/>
        <v>#DIV/0!</v>
      </c>
      <c r="AN144" s="225" t="e">
        <f t="shared" si="7"/>
        <v>#DIV/0!</v>
      </c>
      <c r="AO144" s="225" t="e">
        <f t="shared" si="7"/>
        <v>#DIV/0!</v>
      </c>
      <c r="AP144" s="225" t="e">
        <f t="shared" si="6"/>
        <v>#DIV/0!</v>
      </c>
      <c r="AQ144" s="225" t="e">
        <f t="shared" si="6"/>
        <v>#DIV/0!</v>
      </c>
      <c r="AR144" s="225" t="e">
        <f t="shared" si="6"/>
        <v>#DIV/0!</v>
      </c>
      <c r="AS144" s="225" t="e">
        <f t="shared" si="6"/>
        <v>#DIV/0!</v>
      </c>
      <c r="AT144" s="225" t="e">
        <f t="shared" si="6"/>
        <v>#DIV/0!</v>
      </c>
      <c r="AU144" s="225" t="e">
        <f t="shared" si="6"/>
        <v>#DIV/0!</v>
      </c>
      <c r="AV144" s="225" t="e">
        <f t="shared" si="6"/>
        <v>#DIV/0!</v>
      </c>
      <c r="AW144" s="225" t="e">
        <f t="shared" si="6"/>
        <v>#DIV/0!</v>
      </c>
      <c r="AX144" s="226" t="e">
        <f t="shared" si="6"/>
        <v>#DIV/0!</v>
      </c>
    </row>
    <row r="145" spans="2:50">
      <c r="B145" s="220">
        <v>35</v>
      </c>
      <c r="C145" s="61"/>
      <c r="D145" s="61"/>
      <c r="E145" s="61"/>
      <c r="F145" s="61"/>
      <c r="G145" s="61"/>
      <c r="H145" s="61"/>
      <c r="I145" s="61"/>
      <c r="J145" s="61"/>
      <c r="K145" s="61"/>
      <c r="L145" s="61"/>
      <c r="M145" s="61"/>
      <c r="N145" s="61"/>
      <c r="O145" s="61"/>
      <c r="P145" s="61"/>
      <c r="R145" s="220">
        <v>35</v>
      </c>
      <c r="S145" s="61"/>
      <c r="T145" s="61"/>
      <c r="U145" s="61"/>
      <c r="V145" s="61"/>
      <c r="W145" s="61"/>
      <c r="X145" s="61"/>
      <c r="Y145" s="61"/>
      <c r="Z145" s="61"/>
      <c r="AA145" s="61"/>
      <c r="AB145" s="61"/>
      <c r="AC145" s="61"/>
      <c r="AD145" s="61"/>
      <c r="AE145" s="61"/>
      <c r="AF145" s="61"/>
      <c r="AJ145" s="220">
        <v>35</v>
      </c>
      <c r="AK145" s="225" t="e">
        <f t="shared" si="5"/>
        <v>#DIV/0!</v>
      </c>
      <c r="AL145" s="225" t="e">
        <f t="shared" si="5"/>
        <v>#DIV/0!</v>
      </c>
      <c r="AM145" s="225" t="e">
        <f t="shared" si="7"/>
        <v>#DIV/0!</v>
      </c>
      <c r="AN145" s="225" t="e">
        <f t="shared" si="7"/>
        <v>#DIV/0!</v>
      </c>
      <c r="AO145" s="225" t="e">
        <f t="shared" si="7"/>
        <v>#DIV/0!</v>
      </c>
      <c r="AP145" s="225" t="e">
        <f t="shared" si="6"/>
        <v>#DIV/0!</v>
      </c>
      <c r="AQ145" s="225" t="e">
        <f t="shared" si="6"/>
        <v>#DIV/0!</v>
      </c>
      <c r="AR145" s="225" t="e">
        <f t="shared" si="6"/>
        <v>#DIV/0!</v>
      </c>
      <c r="AS145" s="225" t="e">
        <f t="shared" si="6"/>
        <v>#DIV/0!</v>
      </c>
      <c r="AT145" s="225" t="e">
        <f t="shared" si="6"/>
        <v>#DIV/0!</v>
      </c>
      <c r="AU145" s="225" t="e">
        <f t="shared" si="6"/>
        <v>#DIV/0!</v>
      </c>
      <c r="AV145" s="225" t="e">
        <f t="shared" si="6"/>
        <v>#DIV/0!</v>
      </c>
      <c r="AW145" s="225" t="e">
        <f t="shared" si="6"/>
        <v>#DIV/0!</v>
      </c>
      <c r="AX145" s="226" t="e">
        <f t="shared" si="6"/>
        <v>#DIV/0!</v>
      </c>
    </row>
    <row r="146" spans="2:50">
      <c r="B146" s="224">
        <v>36</v>
      </c>
      <c r="C146" s="68"/>
      <c r="D146" s="68"/>
      <c r="E146" s="68"/>
      <c r="F146" s="68"/>
      <c r="G146" s="68"/>
      <c r="H146" s="68"/>
      <c r="I146" s="68"/>
      <c r="J146" s="68"/>
      <c r="K146" s="68"/>
      <c r="L146" s="68"/>
      <c r="M146" s="68"/>
      <c r="N146" s="68"/>
      <c r="O146" s="68"/>
      <c r="P146" s="68"/>
      <c r="R146" s="224">
        <v>36</v>
      </c>
      <c r="S146" s="68"/>
      <c r="T146" s="68"/>
      <c r="U146" s="68"/>
      <c r="V146" s="68"/>
      <c r="W146" s="68"/>
      <c r="X146" s="68"/>
      <c r="Y146" s="68"/>
      <c r="Z146" s="68"/>
      <c r="AA146" s="68"/>
      <c r="AB146" s="68"/>
      <c r="AC146" s="68"/>
      <c r="AD146" s="68"/>
      <c r="AE146" s="68"/>
      <c r="AF146" s="68"/>
      <c r="AJ146" s="224">
        <v>36</v>
      </c>
      <c r="AK146" s="225" t="e">
        <f t="shared" si="5"/>
        <v>#DIV/0!</v>
      </c>
      <c r="AL146" s="225" t="e">
        <f t="shared" si="5"/>
        <v>#DIV/0!</v>
      </c>
      <c r="AM146" s="225" t="e">
        <f t="shared" si="7"/>
        <v>#DIV/0!</v>
      </c>
      <c r="AN146" s="225" t="e">
        <f t="shared" si="7"/>
        <v>#DIV/0!</v>
      </c>
      <c r="AO146" s="225" t="e">
        <f t="shared" si="7"/>
        <v>#DIV/0!</v>
      </c>
      <c r="AP146" s="225" t="e">
        <f t="shared" si="6"/>
        <v>#DIV/0!</v>
      </c>
      <c r="AQ146" s="225" t="e">
        <f t="shared" si="6"/>
        <v>#DIV/0!</v>
      </c>
      <c r="AR146" s="225" t="e">
        <f t="shared" si="6"/>
        <v>#DIV/0!</v>
      </c>
      <c r="AS146" s="225" t="e">
        <f t="shared" si="6"/>
        <v>#DIV/0!</v>
      </c>
      <c r="AT146" s="225" t="e">
        <f t="shared" si="6"/>
        <v>#DIV/0!</v>
      </c>
      <c r="AU146" s="225" t="e">
        <f t="shared" si="6"/>
        <v>#DIV/0!</v>
      </c>
      <c r="AV146" s="225" t="e">
        <f t="shared" si="6"/>
        <v>#DIV/0!</v>
      </c>
      <c r="AW146" s="225" t="e">
        <f t="shared" si="6"/>
        <v>#DIV/0!</v>
      </c>
      <c r="AX146" s="226" t="e">
        <f t="shared" si="6"/>
        <v>#DIV/0!</v>
      </c>
    </row>
    <row r="147" spans="2:50">
      <c r="B147" s="220">
        <v>37</v>
      </c>
      <c r="C147" s="61"/>
      <c r="D147" s="61"/>
      <c r="E147" s="61"/>
      <c r="F147" s="61"/>
      <c r="G147" s="61"/>
      <c r="H147" s="61"/>
      <c r="I147" s="61"/>
      <c r="J147" s="61"/>
      <c r="K147" s="61"/>
      <c r="L147" s="61"/>
      <c r="M147" s="61"/>
      <c r="N147" s="61"/>
      <c r="O147" s="61"/>
      <c r="P147" s="61"/>
      <c r="Q147" s="229"/>
      <c r="R147" s="220">
        <v>37</v>
      </c>
      <c r="S147" s="61"/>
      <c r="T147" s="61"/>
      <c r="U147" s="61"/>
      <c r="V147" s="61"/>
      <c r="W147" s="61"/>
      <c r="X147" s="61"/>
      <c r="Y147" s="61"/>
      <c r="Z147" s="61"/>
      <c r="AA147" s="61"/>
      <c r="AB147" s="61"/>
      <c r="AC147" s="61"/>
      <c r="AD147" s="61"/>
      <c r="AE147" s="61"/>
      <c r="AF147" s="61"/>
      <c r="AG147" s="229"/>
      <c r="AH147" s="229"/>
      <c r="AI147" s="229"/>
      <c r="AJ147" s="220">
        <v>37</v>
      </c>
      <c r="AK147" s="225" t="e">
        <f t="shared" si="5"/>
        <v>#DIV/0!</v>
      </c>
      <c r="AL147" s="225" t="e">
        <f t="shared" si="5"/>
        <v>#DIV/0!</v>
      </c>
      <c r="AM147" s="225" t="e">
        <f t="shared" si="7"/>
        <v>#DIV/0!</v>
      </c>
      <c r="AN147" s="225" t="e">
        <f t="shared" si="7"/>
        <v>#DIV/0!</v>
      </c>
      <c r="AO147" s="225" t="e">
        <f t="shared" si="7"/>
        <v>#DIV/0!</v>
      </c>
      <c r="AP147" s="225" t="e">
        <f t="shared" si="6"/>
        <v>#DIV/0!</v>
      </c>
      <c r="AQ147" s="225" t="e">
        <f t="shared" si="6"/>
        <v>#DIV/0!</v>
      </c>
      <c r="AR147" s="225" t="e">
        <f t="shared" si="6"/>
        <v>#DIV/0!</v>
      </c>
      <c r="AS147" s="225" t="e">
        <f t="shared" si="6"/>
        <v>#DIV/0!</v>
      </c>
      <c r="AT147" s="225" t="e">
        <f t="shared" si="6"/>
        <v>#DIV/0!</v>
      </c>
      <c r="AU147" s="225" t="e">
        <f t="shared" si="6"/>
        <v>#DIV/0!</v>
      </c>
      <c r="AV147" s="225" t="e">
        <f t="shared" si="6"/>
        <v>#DIV/0!</v>
      </c>
      <c r="AW147" s="225" t="e">
        <f t="shared" si="6"/>
        <v>#DIV/0!</v>
      </c>
      <c r="AX147" s="226" t="e">
        <f t="shared" si="6"/>
        <v>#DIV/0!</v>
      </c>
    </row>
    <row r="148" spans="2:50">
      <c r="B148" s="220">
        <v>38</v>
      </c>
      <c r="C148" s="61"/>
      <c r="D148" s="61"/>
      <c r="E148" s="61"/>
      <c r="F148" s="61"/>
      <c r="G148" s="61"/>
      <c r="H148" s="61"/>
      <c r="I148" s="61"/>
      <c r="J148" s="61"/>
      <c r="K148" s="61"/>
      <c r="L148" s="61"/>
      <c r="M148" s="61"/>
      <c r="N148" s="61"/>
      <c r="O148" s="61"/>
      <c r="P148" s="61"/>
      <c r="R148" s="220">
        <v>38</v>
      </c>
      <c r="S148" s="68"/>
      <c r="T148" s="68"/>
      <c r="U148" s="68"/>
      <c r="V148" s="68"/>
      <c r="W148" s="68"/>
      <c r="X148" s="68"/>
      <c r="Y148" s="68"/>
      <c r="Z148" s="68"/>
      <c r="AA148" s="68"/>
      <c r="AB148" s="68"/>
      <c r="AC148" s="68"/>
      <c r="AD148" s="68"/>
      <c r="AE148" s="68"/>
      <c r="AF148" s="68"/>
      <c r="AJ148" s="220">
        <v>38</v>
      </c>
      <c r="AK148" s="225" t="e">
        <f t="shared" si="5"/>
        <v>#DIV/0!</v>
      </c>
      <c r="AL148" s="225" t="e">
        <f t="shared" si="5"/>
        <v>#DIV/0!</v>
      </c>
      <c r="AM148" s="225" t="e">
        <f t="shared" si="7"/>
        <v>#DIV/0!</v>
      </c>
      <c r="AN148" s="225" t="e">
        <f t="shared" si="7"/>
        <v>#DIV/0!</v>
      </c>
      <c r="AO148" s="225" t="e">
        <f t="shared" si="7"/>
        <v>#DIV/0!</v>
      </c>
      <c r="AP148" s="225" t="e">
        <f t="shared" si="6"/>
        <v>#DIV/0!</v>
      </c>
      <c r="AQ148" s="225" t="e">
        <f t="shared" si="6"/>
        <v>#DIV/0!</v>
      </c>
      <c r="AR148" s="225" t="e">
        <f t="shared" si="6"/>
        <v>#DIV/0!</v>
      </c>
      <c r="AS148" s="225" t="e">
        <f t="shared" si="6"/>
        <v>#DIV/0!</v>
      </c>
      <c r="AT148" s="225" t="e">
        <f t="shared" si="6"/>
        <v>#DIV/0!</v>
      </c>
      <c r="AU148" s="225" t="e">
        <f t="shared" si="6"/>
        <v>#DIV/0!</v>
      </c>
      <c r="AV148" s="225" t="e">
        <f t="shared" si="6"/>
        <v>#DIV/0!</v>
      </c>
      <c r="AW148" s="225" t="e">
        <f t="shared" si="6"/>
        <v>#DIV/0!</v>
      </c>
      <c r="AX148" s="226" t="e">
        <f t="shared" si="6"/>
        <v>#DIV/0!</v>
      </c>
    </row>
    <row r="149" spans="2:50">
      <c r="B149" s="220">
        <v>39</v>
      </c>
      <c r="C149" s="61"/>
      <c r="D149" s="61"/>
      <c r="E149" s="61"/>
      <c r="F149" s="61"/>
      <c r="G149" s="61"/>
      <c r="H149" s="61"/>
      <c r="I149" s="61"/>
      <c r="J149" s="61"/>
      <c r="K149" s="61"/>
      <c r="L149" s="61"/>
      <c r="M149" s="61"/>
      <c r="N149" s="61"/>
      <c r="O149" s="61"/>
      <c r="P149" s="61"/>
      <c r="R149" s="220">
        <v>39</v>
      </c>
      <c r="S149" s="61"/>
      <c r="T149" s="61"/>
      <c r="U149" s="61"/>
      <c r="V149" s="61"/>
      <c r="W149" s="61"/>
      <c r="X149" s="61"/>
      <c r="Y149" s="61"/>
      <c r="Z149" s="61"/>
      <c r="AA149" s="61"/>
      <c r="AB149" s="61"/>
      <c r="AC149" s="61"/>
      <c r="AD149" s="61"/>
      <c r="AE149" s="61"/>
      <c r="AF149" s="61"/>
      <c r="AJ149" s="220">
        <v>39</v>
      </c>
      <c r="AK149" s="225" t="e">
        <f t="shared" si="5"/>
        <v>#DIV/0!</v>
      </c>
      <c r="AL149" s="225" t="e">
        <f t="shared" si="5"/>
        <v>#DIV/0!</v>
      </c>
      <c r="AM149" s="225" t="e">
        <f t="shared" si="7"/>
        <v>#DIV/0!</v>
      </c>
      <c r="AN149" s="225" t="e">
        <f t="shared" si="7"/>
        <v>#DIV/0!</v>
      </c>
      <c r="AO149" s="225" t="e">
        <f t="shared" si="7"/>
        <v>#DIV/0!</v>
      </c>
      <c r="AP149" s="225" t="e">
        <f t="shared" si="6"/>
        <v>#DIV/0!</v>
      </c>
      <c r="AQ149" s="225" t="e">
        <f t="shared" si="6"/>
        <v>#DIV/0!</v>
      </c>
      <c r="AR149" s="225" t="e">
        <f t="shared" si="6"/>
        <v>#DIV/0!</v>
      </c>
      <c r="AS149" s="225" t="e">
        <f t="shared" si="6"/>
        <v>#DIV/0!</v>
      </c>
      <c r="AT149" s="225" t="e">
        <f t="shared" si="6"/>
        <v>#DIV/0!</v>
      </c>
      <c r="AU149" s="225" t="e">
        <f t="shared" si="6"/>
        <v>#DIV/0!</v>
      </c>
      <c r="AV149" s="225" t="e">
        <f t="shared" si="6"/>
        <v>#DIV/0!</v>
      </c>
      <c r="AW149" s="225" t="e">
        <f t="shared" si="6"/>
        <v>#DIV/0!</v>
      </c>
      <c r="AX149" s="226" t="e">
        <f t="shared" si="6"/>
        <v>#DIV/0!</v>
      </c>
    </row>
    <row r="150" spans="2:50">
      <c r="B150" s="220">
        <v>40</v>
      </c>
      <c r="C150" s="68"/>
      <c r="D150" s="68"/>
      <c r="E150" s="68"/>
      <c r="F150" s="68"/>
      <c r="G150" s="68"/>
      <c r="H150" s="68"/>
      <c r="I150" s="68"/>
      <c r="J150" s="68"/>
      <c r="K150" s="68"/>
      <c r="L150" s="68"/>
      <c r="M150" s="68"/>
      <c r="N150" s="68"/>
      <c r="O150" s="68"/>
      <c r="P150" s="68"/>
      <c r="R150" s="220">
        <v>40</v>
      </c>
      <c r="S150" s="68"/>
      <c r="T150" s="68"/>
      <c r="U150" s="68"/>
      <c r="V150" s="68"/>
      <c r="W150" s="68"/>
      <c r="X150" s="68"/>
      <c r="Y150" s="68"/>
      <c r="Z150" s="68"/>
      <c r="AA150" s="68"/>
      <c r="AB150" s="68"/>
      <c r="AC150" s="68"/>
      <c r="AD150" s="68"/>
      <c r="AE150" s="68"/>
      <c r="AF150" s="68"/>
      <c r="AJ150" s="220">
        <v>40</v>
      </c>
      <c r="AK150" s="225" t="e">
        <f t="shared" si="5"/>
        <v>#DIV/0!</v>
      </c>
      <c r="AL150" s="225" t="e">
        <f t="shared" si="5"/>
        <v>#DIV/0!</v>
      </c>
      <c r="AM150" s="225" t="e">
        <f t="shared" si="7"/>
        <v>#DIV/0!</v>
      </c>
      <c r="AN150" s="225" t="e">
        <f t="shared" si="7"/>
        <v>#DIV/0!</v>
      </c>
      <c r="AO150" s="225" t="e">
        <f t="shared" si="7"/>
        <v>#DIV/0!</v>
      </c>
      <c r="AP150" s="225" t="e">
        <f t="shared" si="6"/>
        <v>#DIV/0!</v>
      </c>
      <c r="AQ150" s="225" t="e">
        <f t="shared" si="6"/>
        <v>#DIV/0!</v>
      </c>
      <c r="AR150" s="225" t="e">
        <f t="shared" si="6"/>
        <v>#DIV/0!</v>
      </c>
      <c r="AS150" s="225" t="e">
        <f t="shared" ref="AS150:AX158" si="8">EXP(-AS$109*$AJ150)</f>
        <v>#DIV/0!</v>
      </c>
      <c r="AT150" s="225" t="e">
        <f t="shared" si="8"/>
        <v>#DIV/0!</v>
      </c>
      <c r="AU150" s="225" t="e">
        <f t="shared" si="8"/>
        <v>#DIV/0!</v>
      </c>
      <c r="AV150" s="225" t="e">
        <f t="shared" si="8"/>
        <v>#DIV/0!</v>
      </c>
      <c r="AW150" s="225" t="e">
        <f t="shared" si="8"/>
        <v>#DIV/0!</v>
      </c>
      <c r="AX150" s="226" t="e">
        <f t="shared" si="8"/>
        <v>#DIV/0!</v>
      </c>
    </row>
    <row r="151" spans="2:50">
      <c r="B151" s="220">
        <v>41</v>
      </c>
      <c r="C151" s="61"/>
      <c r="D151" s="61"/>
      <c r="E151" s="61"/>
      <c r="F151" s="61"/>
      <c r="G151" s="61"/>
      <c r="H151" s="61"/>
      <c r="I151" s="61"/>
      <c r="J151" s="61"/>
      <c r="K151" s="61"/>
      <c r="L151" s="61"/>
      <c r="M151" s="61"/>
      <c r="N151" s="61"/>
      <c r="O151" s="61"/>
      <c r="P151" s="61"/>
      <c r="R151" s="220">
        <v>41</v>
      </c>
      <c r="S151" s="61"/>
      <c r="T151" s="61"/>
      <c r="U151" s="61"/>
      <c r="V151" s="61"/>
      <c r="W151" s="61"/>
      <c r="X151" s="61"/>
      <c r="Y151" s="61"/>
      <c r="Z151" s="61"/>
      <c r="AA151" s="61"/>
      <c r="AB151" s="61"/>
      <c r="AC151" s="61"/>
      <c r="AD151" s="61"/>
      <c r="AE151" s="61"/>
      <c r="AF151" s="61"/>
      <c r="AJ151" s="220">
        <v>41</v>
      </c>
      <c r="AK151" s="225" t="e">
        <f t="shared" si="5"/>
        <v>#DIV/0!</v>
      </c>
      <c r="AL151" s="225" t="e">
        <f t="shared" si="5"/>
        <v>#DIV/0!</v>
      </c>
      <c r="AM151" s="225" t="e">
        <f t="shared" si="7"/>
        <v>#DIV/0!</v>
      </c>
      <c r="AN151" s="225" t="e">
        <f t="shared" si="7"/>
        <v>#DIV/0!</v>
      </c>
      <c r="AO151" s="225" t="e">
        <f t="shared" si="7"/>
        <v>#DIV/0!</v>
      </c>
      <c r="AP151" s="225" t="e">
        <f t="shared" si="7"/>
        <v>#DIV/0!</v>
      </c>
      <c r="AQ151" s="225" t="e">
        <f t="shared" si="7"/>
        <v>#DIV/0!</v>
      </c>
      <c r="AR151" s="225" t="e">
        <f t="shared" si="7"/>
        <v>#DIV/0!</v>
      </c>
      <c r="AS151" s="225" t="e">
        <f t="shared" si="8"/>
        <v>#DIV/0!</v>
      </c>
      <c r="AT151" s="225" t="e">
        <f t="shared" si="8"/>
        <v>#DIV/0!</v>
      </c>
      <c r="AU151" s="225" t="e">
        <f t="shared" si="8"/>
        <v>#DIV/0!</v>
      </c>
      <c r="AV151" s="225" t="e">
        <f t="shared" si="8"/>
        <v>#DIV/0!</v>
      </c>
      <c r="AW151" s="225" t="e">
        <f t="shared" si="8"/>
        <v>#DIV/0!</v>
      </c>
      <c r="AX151" s="226" t="e">
        <f t="shared" si="8"/>
        <v>#DIV/0!</v>
      </c>
    </row>
    <row r="152" spans="2:50">
      <c r="B152" s="220">
        <v>42</v>
      </c>
      <c r="C152" s="61"/>
      <c r="D152" s="61"/>
      <c r="E152" s="61"/>
      <c r="F152" s="61"/>
      <c r="G152" s="61"/>
      <c r="H152" s="61"/>
      <c r="I152" s="61"/>
      <c r="J152" s="61"/>
      <c r="K152" s="61"/>
      <c r="L152" s="61"/>
      <c r="M152" s="61"/>
      <c r="N152" s="61"/>
      <c r="O152" s="61"/>
      <c r="P152" s="61"/>
      <c r="R152" s="220">
        <v>42</v>
      </c>
      <c r="S152" s="68"/>
      <c r="T152" s="68"/>
      <c r="U152" s="68"/>
      <c r="V152" s="68"/>
      <c r="W152" s="68"/>
      <c r="X152" s="68"/>
      <c r="Y152" s="68"/>
      <c r="Z152" s="68"/>
      <c r="AA152" s="68"/>
      <c r="AB152" s="68"/>
      <c r="AC152" s="68"/>
      <c r="AD152" s="68"/>
      <c r="AE152" s="68"/>
      <c r="AF152" s="68"/>
      <c r="AJ152" s="220">
        <v>42</v>
      </c>
      <c r="AK152" s="225" t="e">
        <f t="shared" si="5"/>
        <v>#DIV/0!</v>
      </c>
      <c r="AL152" s="225" t="e">
        <f t="shared" si="5"/>
        <v>#DIV/0!</v>
      </c>
      <c r="AM152" s="225" t="e">
        <f t="shared" si="7"/>
        <v>#DIV/0!</v>
      </c>
      <c r="AN152" s="225" t="e">
        <f t="shared" si="7"/>
        <v>#DIV/0!</v>
      </c>
      <c r="AO152" s="225" t="e">
        <f t="shared" si="7"/>
        <v>#DIV/0!</v>
      </c>
      <c r="AP152" s="225" t="e">
        <f t="shared" si="7"/>
        <v>#DIV/0!</v>
      </c>
      <c r="AQ152" s="225" t="e">
        <f t="shared" si="7"/>
        <v>#DIV/0!</v>
      </c>
      <c r="AR152" s="225" t="e">
        <f t="shared" si="7"/>
        <v>#DIV/0!</v>
      </c>
      <c r="AS152" s="225" t="e">
        <f t="shared" si="8"/>
        <v>#DIV/0!</v>
      </c>
      <c r="AT152" s="225" t="e">
        <f t="shared" si="8"/>
        <v>#DIV/0!</v>
      </c>
      <c r="AU152" s="225" t="e">
        <f t="shared" si="8"/>
        <v>#DIV/0!</v>
      </c>
      <c r="AV152" s="225" t="e">
        <f t="shared" si="8"/>
        <v>#DIV/0!</v>
      </c>
      <c r="AW152" s="225" t="e">
        <f t="shared" si="8"/>
        <v>#DIV/0!</v>
      </c>
      <c r="AX152" s="226" t="e">
        <f t="shared" si="8"/>
        <v>#DIV/0!</v>
      </c>
    </row>
    <row r="153" spans="2:50">
      <c r="B153" s="220">
        <v>43</v>
      </c>
      <c r="C153" s="61"/>
      <c r="D153" s="61"/>
      <c r="E153" s="61"/>
      <c r="F153" s="61"/>
      <c r="G153" s="61"/>
      <c r="H153" s="61"/>
      <c r="I153" s="61"/>
      <c r="J153" s="61"/>
      <c r="K153" s="61"/>
      <c r="L153" s="61"/>
      <c r="M153" s="61"/>
      <c r="N153" s="61"/>
      <c r="O153" s="61"/>
      <c r="P153" s="61"/>
      <c r="R153" s="220">
        <v>43</v>
      </c>
      <c r="S153" s="61"/>
      <c r="T153" s="61"/>
      <c r="U153" s="61"/>
      <c r="V153" s="61"/>
      <c r="W153" s="61"/>
      <c r="X153" s="61"/>
      <c r="Y153" s="61"/>
      <c r="Z153" s="61"/>
      <c r="AA153" s="61"/>
      <c r="AB153" s="61"/>
      <c r="AC153" s="61"/>
      <c r="AD153" s="61"/>
      <c r="AE153" s="61"/>
      <c r="AF153" s="61"/>
      <c r="AJ153" s="220">
        <v>43</v>
      </c>
      <c r="AK153" s="225" t="e">
        <f t="shared" si="5"/>
        <v>#DIV/0!</v>
      </c>
      <c r="AL153" s="225" t="e">
        <f t="shared" si="5"/>
        <v>#DIV/0!</v>
      </c>
      <c r="AM153" s="225" t="e">
        <f t="shared" si="7"/>
        <v>#DIV/0!</v>
      </c>
      <c r="AN153" s="225" t="e">
        <f t="shared" si="7"/>
        <v>#DIV/0!</v>
      </c>
      <c r="AO153" s="225" t="e">
        <f t="shared" si="7"/>
        <v>#DIV/0!</v>
      </c>
      <c r="AP153" s="225" t="e">
        <f t="shared" si="7"/>
        <v>#DIV/0!</v>
      </c>
      <c r="AQ153" s="225" t="e">
        <f t="shared" si="7"/>
        <v>#DIV/0!</v>
      </c>
      <c r="AR153" s="225" t="e">
        <f t="shared" si="7"/>
        <v>#DIV/0!</v>
      </c>
      <c r="AS153" s="225" t="e">
        <f t="shared" si="8"/>
        <v>#DIV/0!</v>
      </c>
      <c r="AT153" s="225" t="e">
        <f t="shared" si="8"/>
        <v>#DIV/0!</v>
      </c>
      <c r="AU153" s="225" t="e">
        <f t="shared" si="8"/>
        <v>#DIV/0!</v>
      </c>
      <c r="AV153" s="225" t="e">
        <f t="shared" si="8"/>
        <v>#DIV/0!</v>
      </c>
      <c r="AW153" s="225" t="e">
        <f t="shared" si="8"/>
        <v>#DIV/0!</v>
      </c>
      <c r="AX153" s="226" t="e">
        <f t="shared" si="8"/>
        <v>#DIV/0!</v>
      </c>
    </row>
    <row r="154" spans="2:50">
      <c r="B154" s="220">
        <v>44</v>
      </c>
      <c r="C154" s="68"/>
      <c r="D154" s="68"/>
      <c r="E154" s="68"/>
      <c r="F154" s="68"/>
      <c r="G154" s="68"/>
      <c r="H154" s="68"/>
      <c r="I154" s="68"/>
      <c r="J154" s="68"/>
      <c r="K154" s="68"/>
      <c r="L154" s="68"/>
      <c r="M154" s="68"/>
      <c r="N154" s="68"/>
      <c r="O154" s="68"/>
      <c r="P154" s="68"/>
      <c r="R154" s="220">
        <v>44</v>
      </c>
      <c r="S154" s="68"/>
      <c r="T154" s="68"/>
      <c r="U154" s="68"/>
      <c r="V154" s="68"/>
      <c r="W154" s="68"/>
      <c r="X154" s="68"/>
      <c r="Y154" s="68"/>
      <c r="Z154" s="68"/>
      <c r="AA154" s="68"/>
      <c r="AB154" s="68"/>
      <c r="AC154" s="68"/>
      <c r="AD154" s="68"/>
      <c r="AE154" s="68"/>
      <c r="AF154" s="68"/>
      <c r="AJ154" s="220">
        <v>44</v>
      </c>
      <c r="AK154" s="225" t="e">
        <f t="shared" si="5"/>
        <v>#DIV/0!</v>
      </c>
      <c r="AL154" s="225" t="e">
        <f t="shared" si="5"/>
        <v>#DIV/0!</v>
      </c>
      <c r="AM154" s="225" t="e">
        <f t="shared" si="7"/>
        <v>#DIV/0!</v>
      </c>
      <c r="AN154" s="225" t="e">
        <f t="shared" si="7"/>
        <v>#DIV/0!</v>
      </c>
      <c r="AO154" s="225" t="e">
        <f t="shared" si="7"/>
        <v>#DIV/0!</v>
      </c>
      <c r="AP154" s="225" t="e">
        <f t="shared" si="7"/>
        <v>#DIV/0!</v>
      </c>
      <c r="AQ154" s="225" t="e">
        <f t="shared" si="7"/>
        <v>#DIV/0!</v>
      </c>
      <c r="AR154" s="225" t="e">
        <f t="shared" si="7"/>
        <v>#DIV/0!</v>
      </c>
      <c r="AS154" s="225" t="e">
        <f t="shared" si="8"/>
        <v>#DIV/0!</v>
      </c>
      <c r="AT154" s="225" t="e">
        <f t="shared" si="8"/>
        <v>#DIV/0!</v>
      </c>
      <c r="AU154" s="225" t="e">
        <f t="shared" si="8"/>
        <v>#DIV/0!</v>
      </c>
      <c r="AV154" s="225" t="e">
        <f t="shared" si="8"/>
        <v>#DIV/0!</v>
      </c>
      <c r="AW154" s="225" t="e">
        <f t="shared" si="8"/>
        <v>#DIV/0!</v>
      </c>
      <c r="AX154" s="226" t="e">
        <f t="shared" si="8"/>
        <v>#DIV/0!</v>
      </c>
    </row>
    <row r="155" spans="2:50">
      <c r="B155" s="220">
        <v>45</v>
      </c>
      <c r="C155" s="61"/>
      <c r="D155" s="61"/>
      <c r="E155" s="61"/>
      <c r="F155" s="61"/>
      <c r="G155" s="61"/>
      <c r="H155" s="61"/>
      <c r="I155" s="61"/>
      <c r="J155" s="61"/>
      <c r="K155" s="61"/>
      <c r="L155" s="61"/>
      <c r="M155" s="61"/>
      <c r="N155" s="61"/>
      <c r="O155" s="61"/>
      <c r="P155" s="61"/>
      <c r="R155" s="220">
        <v>45</v>
      </c>
      <c r="S155" s="61"/>
      <c r="T155" s="61"/>
      <c r="U155" s="61"/>
      <c r="V155" s="61"/>
      <c r="W155" s="61"/>
      <c r="X155" s="61"/>
      <c r="Y155" s="61"/>
      <c r="Z155" s="61"/>
      <c r="AA155" s="61"/>
      <c r="AB155" s="61"/>
      <c r="AC155" s="61"/>
      <c r="AD155" s="61"/>
      <c r="AE155" s="61"/>
      <c r="AF155" s="61"/>
      <c r="AJ155" s="220">
        <v>45</v>
      </c>
      <c r="AK155" s="225" t="e">
        <f t="shared" si="5"/>
        <v>#DIV/0!</v>
      </c>
      <c r="AL155" s="225" t="e">
        <f t="shared" si="5"/>
        <v>#DIV/0!</v>
      </c>
      <c r="AM155" s="225" t="e">
        <f t="shared" si="7"/>
        <v>#DIV/0!</v>
      </c>
      <c r="AN155" s="225" t="e">
        <f t="shared" si="7"/>
        <v>#DIV/0!</v>
      </c>
      <c r="AO155" s="225" t="e">
        <f t="shared" si="7"/>
        <v>#DIV/0!</v>
      </c>
      <c r="AP155" s="225" t="e">
        <f t="shared" si="7"/>
        <v>#DIV/0!</v>
      </c>
      <c r="AQ155" s="225" t="e">
        <f t="shared" si="7"/>
        <v>#DIV/0!</v>
      </c>
      <c r="AR155" s="225" t="e">
        <f t="shared" si="7"/>
        <v>#DIV/0!</v>
      </c>
      <c r="AS155" s="225" t="e">
        <f t="shared" si="8"/>
        <v>#DIV/0!</v>
      </c>
      <c r="AT155" s="225" t="e">
        <f t="shared" si="8"/>
        <v>#DIV/0!</v>
      </c>
      <c r="AU155" s="225" t="e">
        <f t="shared" si="8"/>
        <v>#DIV/0!</v>
      </c>
      <c r="AV155" s="225" t="e">
        <f t="shared" si="8"/>
        <v>#DIV/0!</v>
      </c>
      <c r="AW155" s="225" t="e">
        <f t="shared" si="8"/>
        <v>#DIV/0!</v>
      </c>
      <c r="AX155" s="226" t="e">
        <f t="shared" si="8"/>
        <v>#DIV/0!</v>
      </c>
    </row>
    <row r="156" spans="2:50">
      <c r="B156" s="220">
        <v>46</v>
      </c>
      <c r="C156" s="61"/>
      <c r="D156" s="61"/>
      <c r="E156" s="61"/>
      <c r="F156" s="61"/>
      <c r="G156" s="61"/>
      <c r="H156" s="61"/>
      <c r="I156" s="61"/>
      <c r="J156" s="61"/>
      <c r="K156" s="61"/>
      <c r="L156" s="61"/>
      <c r="M156" s="61"/>
      <c r="N156" s="61"/>
      <c r="O156" s="61"/>
      <c r="P156" s="61"/>
      <c r="R156" s="220">
        <v>46</v>
      </c>
      <c r="S156" s="68"/>
      <c r="T156" s="68"/>
      <c r="U156" s="68"/>
      <c r="V156" s="68"/>
      <c r="W156" s="68"/>
      <c r="X156" s="68"/>
      <c r="Y156" s="68"/>
      <c r="Z156" s="68"/>
      <c r="AA156" s="68"/>
      <c r="AB156" s="68"/>
      <c r="AC156" s="68"/>
      <c r="AD156" s="68"/>
      <c r="AE156" s="68"/>
      <c r="AF156" s="68"/>
      <c r="AJ156" s="220">
        <v>46</v>
      </c>
      <c r="AK156" s="225" t="e">
        <f t="shared" si="5"/>
        <v>#DIV/0!</v>
      </c>
      <c r="AL156" s="225" t="e">
        <f t="shared" si="5"/>
        <v>#DIV/0!</v>
      </c>
      <c r="AM156" s="225" t="e">
        <f t="shared" si="7"/>
        <v>#DIV/0!</v>
      </c>
      <c r="AN156" s="225" t="e">
        <f t="shared" si="7"/>
        <v>#DIV/0!</v>
      </c>
      <c r="AO156" s="225" t="e">
        <f t="shared" si="7"/>
        <v>#DIV/0!</v>
      </c>
      <c r="AP156" s="225" t="e">
        <f t="shared" si="7"/>
        <v>#DIV/0!</v>
      </c>
      <c r="AQ156" s="225" t="e">
        <f t="shared" si="7"/>
        <v>#DIV/0!</v>
      </c>
      <c r="AR156" s="225" t="e">
        <f t="shared" si="7"/>
        <v>#DIV/0!</v>
      </c>
      <c r="AS156" s="225" t="e">
        <f t="shared" si="8"/>
        <v>#DIV/0!</v>
      </c>
      <c r="AT156" s="225" t="e">
        <f t="shared" si="8"/>
        <v>#DIV/0!</v>
      </c>
      <c r="AU156" s="225" t="e">
        <f t="shared" si="8"/>
        <v>#DIV/0!</v>
      </c>
      <c r="AV156" s="225" t="e">
        <f t="shared" si="8"/>
        <v>#DIV/0!</v>
      </c>
      <c r="AW156" s="225" t="e">
        <f t="shared" si="8"/>
        <v>#DIV/0!</v>
      </c>
      <c r="AX156" s="226" t="e">
        <f t="shared" si="8"/>
        <v>#DIV/0!</v>
      </c>
    </row>
    <row r="157" spans="2:50">
      <c r="B157" s="220">
        <v>47</v>
      </c>
      <c r="C157" s="61"/>
      <c r="D157" s="61"/>
      <c r="E157" s="61"/>
      <c r="F157" s="61"/>
      <c r="G157" s="61"/>
      <c r="H157" s="61"/>
      <c r="I157" s="61"/>
      <c r="J157" s="61"/>
      <c r="K157" s="61"/>
      <c r="L157" s="61"/>
      <c r="M157" s="61"/>
      <c r="N157" s="61"/>
      <c r="O157" s="61"/>
      <c r="P157" s="61"/>
      <c r="R157" s="220">
        <v>47</v>
      </c>
      <c r="S157" s="61"/>
      <c r="T157" s="61"/>
      <c r="U157" s="61"/>
      <c r="V157" s="61"/>
      <c r="W157" s="61"/>
      <c r="X157" s="61"/>
      <c r="Y157" s="61"/>
      <c r="Z157" s="61"/>
      <c r="AA157" s="61"/>
      <c r="AB157" s="61"/>
      <c r="AC157" s="61"/>
      <c r="AD157" s="61"/>
      <c r="AE157" s="61"/>
      <c r="AF157" s="61"/>
      <c r="AJ157" s="220">
        <v>47</v>
      </c>
      <c r="AK157" s="225" t="e">
        <f t="shared" si="5"/>
        <v>#DIV/0!</v>
      </c>
      <c r="AL157" s="225" t="e">
        <f t="shared" si="5"/>
        <v>#DIV/0!</v>
      </c>
      <c r="AM157" s="225" t="e">
        <f t="shared" si="7"/>
        <v>#DIV/0!</v>
      </c>
      <c r="AN157" s="225" t="e">
        <f t="shared" si="7"/>
        <v>#DIV/0!</v>
      </c>
      <c r="AO157" s="225" t="e">
        <f t="shared" si="7"/>
        <v>#DIV/0!</v>
      </c>
      <c r="AP157" s="225" t="e">
        <f t="shared" si="7"/>
        <v>#DIV/0!</v>
      </c>
      <c r="AQ157" s="225" t="e">
        <f t="shared" si="7"/>
        <v>#DIV/0!</v>
      </c>
      <c r="AR157" s="225" t="e">
        <f t="shared" si="7"/>
        <v>#DIV/0!</v>
      </c>
      <c r="AS157" s="225" t="e">
        <f t="shared" si="8"/>
        <v>#DIV/0!</v>
      </c>
      <c r="AT157" s="225" t="e">
        <f t="shared" si="8"/>
        <v>#DIV/0!</v>
      </c>
      <c r="AU157" s="225" t="e">
        <f t="shared" si="8"/>
        <v>#DIV/0!</v>
      </c>
      <c r="AV157" s="225" t="e">
        <f t="shared" si="8"/>
        <v>#DIV/0!</v>
      </c>
      <c r="AW157" s="225" t="e">
        <f t="shared" si="8"/>
        <v>#DIV/0!</v>
      </c>
      <c r="AX157" s="226" t="e">
        <f t="shared" si="8"/>
        <v>#DIV/0!</v>
      </c>
    </row>
    <row r="158" spans="2:50">
      <c r="B158" s="224">
        <v>48</v>
      </c>
      <c r="C158" s="68"/>
      <c r="D158" s="68"/>
      <c r="E158" s="68"/>
      <c r="F158" s="68"/>
      <c r="G158" s="68"/>
      <c r="H158" s="68"/>
      <c r="I158" s="68"/>
      <c r="J158" s="68"/>
      <c r="K158" s="68"/>
      <c r="L158" s="68"/>
      <c r="M158" s="68"/>
      <c r="N158" s="68"/>
      <c r="O158" s="68"/>
      <c r="P158" s="68"/>
      <c r="R158" s="224">
        <v>48</v>
      </c>
      <c r="S158" s="68"/>
      <c r="T158" s="68"/>
      <c r="U158" s="68"/>
      <c r="V158" s="68"/>
      <c r="W158" s="68"/>
      <c r="X158" s="68"/>
      <c r="Y158" s="68"/>
      <c r="Z158" s="68"/>
      <c r="AA158" s="68"/>
      <c r="AB158" s="68"/>
      <c r="AC158" s="68"/>
      <c r="AD158" s="68"/>
      <c r="AE158" s="68"/>
      <c r="AF158" s="68"/>
      <c r="AJ158" s="224">
        <v>48</v>
      </c>
      <c r="AK158" s="225" t="e">
        <f t="shared" si="5"/>
        <v>#DIV/0!</v>
      </c>
      <c r="AL158" s="225" t="e">
        <f t="shared" si="5"/>
        <v>#DIV/0!</v>
      </c>
      <c r="AM158" s="225" t="e">
        <f t="shared" si="7"/>
        <v>#DIV/0!</v>
      </c>
      <c r="AN158" s="225" t="e">
        <f t="shared" si="7"/>
        <v>#DIV/0!</v>
      </c>
      <c r="AO158" s="225" t="e">
        <f t="shared" si="7"/>
        <v>#DIV/0!</v>
      </c>
      <c r="AP158" s="225" t="e">
        <f t="shared" si="7"/>
        <v>#DIV/0!</v>
      </c>
      <c r="AQ158" s="225" t="e">
        <f t="shared" si="7"/>
        <v>#DIV/0!</v>
      </c>
      <c r="AR158" s="225" t="e">
        <f t="shared" si="7"/>
        <v>#DIV/0!</v>
      </c>
      <c r="AS158" s="225" t="e">
        <f t="shared" si="8"/>
        <v>#DIV/0!</v>
      </c>
      <c r="AT158" s="225" t="e">
        <f t="shared" si="8"/>
        <v>#DIV/0!</v>
      </c>
      <c r="AU158" s="225" t="e">
        <f t="shared" si="8"/>
        <v>#DIV/0!</v>
      </c>
      <c r="AV158" s="225" t="e">
        <f t="shared" si="8"/>
        <v>#DIV/0!</v>
      </c>
      <c r="AW158" s="225" t="e">
        <f t="shared" si="8"/>
        <v>#DIV/0!</v>
      </c>
      <c r="AX158" s="226" t="e">
        <f t="shared" si="8"/>
        <v>#DIV/0!</v>
      </c>
    </row>
    <row r="166" spans="2:24" s="3" customFormat="1" ht="13.95" customHeight="1">
      <c r="B166" s="7"/>
      <c r="C166" s="7"/>
      <c r="D166" s="7"/>
      <c r="E166" s="7"/>
      <c r="F166" s="7"/>
      <c r="G166" s="7"/>
      <c r="H166" s="7"/>
      <c r="I166" s="7"/>
      <c r="J166" s="7"/>
      <c r="K166" s="7"/>
      <c r="L166" s="142"/>
      <c r="M166" s="142"/>
      <c r="N166" s="9"/>
      <c r="O166" s="9"/>
      <c r="P166" s="9"/>
      <c r="Q166" s="9"/>
      <c r="R166" s="9"/>
      <c r="S166" s="9"/>
      <c r="T166" s="9"/>
      <c r="U166" s="9"/>
      <c r="V166" s="9"/>
      <c r="W166" s="9"/>
      <c r="X166" s="9"/>
    </row>
    <row r="167" spans="2:24" s="3" customFormat="1">
      <c r="B167" s="65"/>
      <c r="C167" s="65"/>
      <c r="D167" s="65"/>
      <c r="E167" s="65"/>
      <c r="F167" s="65"/>
      <c r="G167" s="65"/>
      <c r="H167" s="65"/>
      <c r="I167" s="65"/>
      <c r="J167" s="65"/>
      <c r="K167" s="65"/>
      <c r="L167" s="65"/>
      <c r="M167" s="65"/>
    </row>
    <row r="168" spans="2:24" s="3" customFormat="1">
      <c r="B168" s="404" t="s">
        <v>77</v>
      </c>
      <c r="C168" s="404"/>
      <c r="D168" s="404"/>
      <c r="E168" s="404"/>
      <c r="F168" s="404"/>
      <c r="G168" s="404"/>
      <c r="H168" s="404"/>
      <c r="I168" s="404"/>
      <c r="J168" s="404"/>
      <c r="K168" s="404"/>
      <c r="L168" s="404"/>
      <c r="M168" s="404"/>
    </row>
    <row r="169" spans="2:24" s="3" customFormat="1">
      <c r="B169" s="404"/>
      <c r="C169" s="404"/>
      <c r="D169" s="404"/>
      <c r="E169" s="404"/>
      <c r="F169" s="404"/>
      <c r="G169" s="404"/>
      <c r="H169" s="404"/>
      <c r="I169" s="404"/>
      <c r="J169" s="404"/>
      <c r="K169" s="404"/>
      <c r="L169" s="404"/>
      <c r="M169" s="404"/>
    </row>
    <row r="170" spans="2:24" s="1" customFormat="1" ht="85.95" customHeight="1">
      <c r="B170" s="403" t="e" vm="1">
        <v>#VALUE!</v>
      </c>
      <c r="C170" s="403"/>
      <c r="D170" s="403"/>
      <c r="E170" s="403"/>
      <c r="F170" s="403"/>
      <c r="G170" s="403"/>
      <c r="H170" s="403"/>
      <c r="I170" s="403"/>
      <c r="J170" s="403"/>
      <c r="K170" s="403"/>
      <c r="L170" s="403"/>
      <c r="M170" s="403"/>
    </row>
  </sheetData>
  <sheetProtection sheet="1" scenarios="1" formatCells="0" formatColumns="0" formatRows="0"/>
  <mergeCells count="68">
    <mergeCell ref="R7:AF7"/>
    <mergeCell ref="R8:R9"/>
    <mergeCell ref="S8:S9"/>
    <mergeCell ref="T8:T9"/>
    <mergeCell ref="U8:U9"/>
    <mergeCell ref="V8:V9"/>
    <mergeCell ref="AC8:AC9"/>
    <mergeCell ref="AD8:AD9"/>
    <mergeCell ref="AE8:AE9"/>
    <mergeCell ref="AF8:AF9"/>
    <mergeCell ref="W8:W9"/>
    <mergeCell ref="X8:X9"/>
    <mergeCell ref="AA8:AA9"/>
    <mergeCell ref="L8:L9"/>
    <mergeCell ref="AJ7:AX7"/>
    <mergeCell ref="B7:P7"/>
    <mergeCell ref="B8:B9"/>
    <mergeCell ref="C8:C9"/>
    <mergeCell ref="D8:D9"/>
    <mergeCell ref="E8:E9"/>
    <mergeCell ref="F8:F9"/>
    <mergeCell ref="G8:G9"/>
    <mergeCell ref="H8:H9"/>
    <mergeCell ref="I8:I9"/>
    <mergeCell ref="J8:J9"/>
    <mergeCell ref="K8:K9"/>
    <mergeCell ref="Z8:Z9"/>
    <mergeCell ref="N8:N9"/>
    <mergeCell ref="AB8:AB9"/>
    <mergeCell ref="M8:M9"/>
    <mergeCell ref="Y8:Y9"/>
    <mergeCell ref="O8:O9"/>
    <mergeCell ref="Y108:Y109"/>
    <mergeCell ref="O108:O109"/>
    <mergeCell ref="P108:P109"/>
    <mergeCell ref="P8:P9"/>
    <mergeCell ref="AJ107:AX107"/>
    <mergeCell ref="B108:B109"/>
    <mergeCell ref="C108:C109"/>
    <mergeCell ref="D108:D109"/>
    <mergeCell ref="E108:E109"/>
    <mergeCell ref="F108:F109"/>
    <mergeCell ref="G108:G109"/>
    <mergeCell ref="H108:H109"/>
    <mergeCell ref="I108:I109"/>
    <mergeCell ref="J108:J109"/>
    <mergeCell ref="K108:K109"/>
    <mergeCell ref="L108:L109"/>
    <mergeCell ref="M108:M109"/>
    <mergeCell ref="T108:T109"/>
    <mergeCell ref="B107:P107"/>
    <mergeCell ref="R107:AF107"/>
    <mergeCell ref="B168:M169"/>
    <mergeCell ref="B170:M170"/>
    <mergeCell ref="AE108:AE109"/>
    <mergeCell ref="AF108:AF109"/>
    <mergeCell ref="Z108:Z109"/>
    <mergeCell ref="AA108:AA109"/>
    <mergeCell ref="AB108:AB109"/>
    <mergeCell ref="AC108:AC109"/>
    <mergeCell ref="AD108:AD109"/>
    <mergeCell ref="U108:U109"/>
    <mergeCell ref="V108:V109"/>
    <mergeCell ref="W108:W109"/>
    <mergeCell ref="X108:X109"/>
    <mergeCell ref="N108:N109"/>
    <mergeCell ref="R108:R109"/>
    <mergeCell ref="S108:S109"/>
  </mergeCells>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C8094-C5CD-4F54-B324-6DD59F2B497F}">
  <sheetPr codeName="Planilha14">
    <tabColor rgb="FF0EB1BA"/>
  </sheetPr>
  <dimension ref="B1:DI213"/>
  <sheetViews>
    <sheetView showGridLines="0" showRowColHeaders="0" zoomScaleNormal="100" workbookViewId="0">
      <selection activeCell="M11" sqref="M11"/>
    </sheetView>
  </sheetViews>
  <sheetFormatPr defaultColWidth="8.77734375" defaultRowHeight="14.4"/>
  <cols>
    <col min="1" max="1" width="5" style="79" customWidth="1"/>
    <col min="2" max="7" width="14.33203125" style="79" customWidth="1"/>
    <col min="8" max="9" width="3.44140625" style="77" customWidth="1"/>
    <col min="10" max="10" width="14.6640625" style="79" customWidth="1"/>
    <col min="11" max="15" width="9" style="79" customWidth="1"/>
    <col min="16" max="17" width="3.44140625" style="77" customWidth="1"/>
    <col min="18" max="18" width="13.33203125" style="79" customWidth="1"/>
    <col min="19" max="23" width="7.6640625" style="79" customWidth="1"/>
    <col min="24" max="25" width="3.44140625" style="77" customWidth="1"/>
    <col min="26" max="26" width="11.77734375" style="79" customWidth="1"/>
    <col min="27" max="31" width="8.33203125" style="79" customWidth="1"/>
    <col min="32" max="33" width="3.44140625" style="77" customWidth="1"/>
    <col min="34" max="34" width="17.44140625" style="79" customWidth="1"/>
    <col min="35" max="39" width="9" style="79" customWidth="1"/>
    <col min="40" max="41" width="3.44140625" style="77" customWidth="1"/>
    <col min="42" max="42" width="13.77734375" style="79" customWidth="1"/>
    <col min="43" max="47" width="8" style="79" customWidth="1"/>
    <col min="48" max="49" width="3.44140625" style="77" customWidth="1"/>
    <col min="50" max="50" width="15.6640625" style="79" customWidth="1"/>
    <col min="51" max="55" width="9" style="79" customWidth="1"/>
    <col min="56" max="57" width="3.44140625" style="77" customWidth="1"/>
    <col min="58" max="58" width="15.109375" style="79" customWidth="1"/>
    <col min="59" max="63" width="8.44140625" style="79" customWidth="1"/>
    <col min="64" max="65" width="3.44140625" style="77" customWidth="1"/>
    <col min="66" max="66" width="15.33203125" style="79" customWidth="1"/>
    <col min="67" max="71" width="8.6640625" style="79" customWidth="1"/>
    <col min="72" max="73" width="3.44140625" style="77" customWidth="1"/>
    <col min="74" max="74" width="14.33203125" style="79" customWidth="1"/>
    <col min="75" max="79" width="9" style="79" customWidth="1"/>
    <col min="80" max="81" width="3.44140625" style="77" customWidth="1"/>
    <col min="82" max="82" width="15.33203125" style="79" customWidth="1"/>
    <col min="83" max="87" width="8.77734375" style="79" customWidth="1"/>
    <col min="88" max="89" width="3.44140625" style="77" customWidth="1"/>
    <col min="90" max="90" width="14.6640625" style="79" customWidth="1"/>
    <col min="91" max="95" width="8.33203125" style="79" customWidth="1"/>
    <col min="96" max="97" width="3.44140625" style="77" customWidth="1"/>
    <col min="98" max="98" width="13.33203125" style="79" customWidth="1"/>
    <col min="99" max="103" width="9.33203125" style="79" customWidth="1"/>
    <col min="104" max="105" width="3.44140625" style="77" customWidth="1"/>
    <col min="106" max="106" width="14.109375" style="79" customWidth="1"/>
    <col min="107" max="111" width="8.6640625" style="79" customWidth="1"/>
    <col min="112" max="113" width="3.44140625" style="77" customWidth="1"/>
    <col min="114" max="16384" width="8.77734375" style="79"/>
  </cols>
  <sheetData>
    <row r="1" spans="2:113" s="67" customFormat="1" ht="33.6">
      <c r="B1" s="104" t="s">
        <v>164</v>
      </c>
      <c r="C1" s="72"/>
      <c r="D1" s="35"/>
      <c r="E1" s="35"/>
      <c r="F1" s="35"/>
      <c r="G1" s="35"/>
      <c r="H1" s="73"/>
      <c r="I1" s="73"/>
      <c r="J1" s="35"/>
      <c r="K1" s="35"/>
      <c r="L1" s="35"/>
      <c r="M1" s="35"/>
      <c r="N1" s="35"/>
      <c r="O1" s="35"/>
      <c r="P1" s="73"/>
      <c r="Q1" s="73"/>
      <c r="R1" s="35"/>
      <c r="S1" s="35"/>
      <c r="T1" s="35"/>
      <c r="U1" s="35"/>
      <c r="V1" s="35"/>
      <c r="W1" s="35"/>
      <c r="X1" s="73"/>
      <c r="Y1" s="73"/>
      <c r="Z1" s="35"/>
      <c r="AA1" s="35"/>
      <c r="AB1" s="35"/>
      <c r="AC1" s="35"/>
      <c r="AD1" s="35"/>
      <c r="AE1" s="35"/>
      <c r="AF1" s="73"/>
      <c r="AG1" s="73"/>
      <c r="AH1" s="35"/>
      <c r="AI1" s="35"/>
      <c r="AJ1" s="35"/>
      <c r="AK1" s="35"/>
      <c r="AL1" s="35"/>
      <c r="AM1" s="35"/>
      <c r="AN1" s="73"/>
      <c r="AO1" s="73"/>
      <c r="AP1" s="35"/>
      <c r="AQ1" s="35"/>
      <c r="AR1" s="35"/>
      <c r="AS1" s="35"/>
      <c r="AT1" s="35"/>
      <c r="AU1" s="35"/>
      <c r="AV1" s="73"/>
      <c r="AW1" s="73"/>
      <c r="AX1" s="35"/>
      <c r="AY1" s="35"/>
      <c r="AZ1" s="35"/>
      <c r="BA1" s="35"/>
      <c r="BB1" s="35"/>
      <c r="BC1" s="35"/>
      <c r="BD1" s="73"/>
      <c r="BE1" s="73"/>
      <c r="BF1" s="35"/>
      <c r="BG1" s="35"/>
      <c r="BH1" s="35"/>
      <c r="BI1" s="35"/>
      <c r="BJ1" s="35"/>
      <c r="BK1" s="35"/>
      <c r="BL1" s="73"/>
      <c r="BM1" s="73"/>
      <c r="BN1" s="35"/>
      <c r="BO1" s="35"/>
      <c r="BP1" s="35"/>
      <c r="BQ1" s="35"/>
      <c r="BR1" s="35"/>
      <c r="BS1" s="35"/>
      <c r="BT1" s="73"/>
      <c r="BU1" s="73"/>
      <c r="BV1" s="35"/>
      <c r="BW1" s="35"/>
      <c r="BX1" s="35"/>
      <c r="BY1" s="35"/>
      <c r="BZ1" s="35"/>
      <c r="CA1" s="35"/>
      <c r="CB1" s="73"/>
      <c r="CC1" s="73"/>
      <c r="CD1" s="35"/>
      <c r="CE1" s="35"/>
      <c r="CF1" s="35"/>
      <c r="CG1" s="35"/>
      <c r="CH1" s="35"/>
      <c r="CI1" s="35"/>
      <c r="CJ1" s="73"/>
      <c r="CK1" s="73"/>
      <c r="CL1" s="35"/>
      <c r="CM1" s="35"/>
      <c r="CN1" s="35"/>
      <c r="CO1" s="35"/>
      <c r="CP1" s="35"/>
      <c r="CQ1" s="35"/>
      <c r="CR1" s="73"/>
      <c r="CS1" s="73"/>
      <c r="CT1" s="35"/>
      <c r="CU1" s="35"/>
      <c r="CV1" s="35"/>
      <c r="CW1" s="35"/>
      <c r="CX1" s="35"/>
      <c r="CY1" s="35"/>
      <c r="CZ1" s="73"/>
      <c r="DA1" s="73"/>
      <c r="DB1" s="35"/>
      <c r="DC1" s="35"/>
      <c r="DD1" s="35"/>
      <c r="DE1" s="35"/>
      <c r="DF1" s="35"/>
      <c r="DG1" s="35"/>
      <c r="DH1" s="73"/>
      <c r="DI1" s="73"/>
    </row>
    <row r="2" spans="2:113" s="67" customFormat="1" ht="17.25" customHeight="1">
      <c r="B2" s="72"/>
      <c r="C2" s="72"/>
      <c r="D2" s="35"/>
      <c r="E2" s="35"/>
      <c r="F2" s="35"/>
      <c r="G2" s="35"/>
      <c r="H2" s="73"/>
      <c r="I2" s="73"/>
      <c r="J2" s="35"/>
      <c r="K2" s="35"/>
      <c r="L2" s="35"/>
      <c r="M2" s="35"/>
      <c r="N2" s="35"/>
      <c r="O2" s="35"/>
      <c r="P2" s="73"/>
      <c r="Q2" s="73"/>
      <c r="R2" s="35"/>
      <c r="S2" s="35"/>
      <c r="T2" s="35"/>
      <c r="U2" s="35"/>
      <c r="V2" s="35"/>
      <c r="W2" s="35"/>
      <c r="X2" s="73"/>
      <c r="Y2" s="73"/>
      <c r="Z2" s="35"/>
      <c r="AA2" s="35"/>
      <c r="AB2" s="35"/>
      <c r="AC2" s="35"/>
      <c r="AD2" s="35"/>
      <c r="AE2" s="35"/>
      <c r="AF2" s="73"/>
      <c r="AG2" s="73"/>
      <c r="AH2" s="35"/>
      <c r="AI2" s="35"/>
      <c r="AJ2" s="35"/>
      <c r="AK2" s="35"/>
      <c r="AL2" s="35"/>
      <c r="AM2" s="35"/>
      <c r="AN2" s="73"/>
      <c r="AO2" s="73"/>
      <c r="AP2" s="35"/>
      <c r="AQ2" s="35"/>
      <c r="AR2" s="35"/>
      <c r="AS2" s="35"/>
      <c r="AT2" s="35"/>
      <c r="AU2" s="35"/>
      <c r="AV2" s="73"/>
      <c r="AW2" s="73"/>
      <c r="AX2" s="35"/>
      <c r="AY2" s="35"/>
      <c r="AZ2" s="35"/>
      <c r="BA2" s="35"/>
      <c r="BB2" s="35"/>
      <c r="BC2" s="35"/>
      <c r="BD2" s="73"/>
      <c r="BE2" s="73"/>
      <c r="BF2" s="35"/>
      <c r="BG2" s="35"/>
      <c r="BH2" s="35"/>
      <c r="BI2" s="35"/>
      <c r="BJ2" s="35"/>
      <c r="BK2" s="35"/>
      <c r="BL2" s="73"/>
      <c r="BM2" s="73"/>
      <c r="BN2" s="35"/>
      <c r="BO2" s="35"/>
      <c r="BP2" s="35"/>
      <c r="BQ2" s="35"/>
      <c r="BR2" s="35"/>
      <c r="BS2" s="35"/>
      <c r="BT2" s="73"/>
      <c r="BU2" s="73"/>
      <c r="BV2" s="35"/>
      <c r="BW2" s="35"/>
      <c r="BX2" s="35"/>
      <c r="BY2" s="35"/>
      <c r="BZ2" s="35"/>
      <c r="CA2" s="35"/>
      <c r="CB2" s="73"/>
      <c r="CC2" s="73"/>
      <c r="CD2" s="35"/>
      <c r="CE2" s="35"/>
      <c r="CF2" s="35"/>
      <c r="CG2" s="35"/>
      <c r="CH2" s="35"/>
      <c r="CI2" s="35"/>
      <c r="CJ2" s="73"/>
      <c r="CK2" s="73"/>
      <c r="CL2" s="35"/>
      <c r="CM2" s="35"/>
      <c r="CN2" s="35"/>
      <c r="CO2" s="35"/>
      <c r="CP2" s="35"/>
      <c r="CQ2" s="35"/>
      <c r="CR2" s="73"/>
      <c r="CS2" s="73"/>
      <c r="CT2" s="35"/>
      <c r="CU2" s="35"/>
      <c r="CV2" s="35"/>
      <c r="CW2" s="35"/>
      <c r="CX2" s="35"/>
      <c r="CY2" s="35"/>
      <c r="CZ2" s="73"/>
      <c r="DA2" s="73"/>
      <c r="DB2" s="35"/>
      <c r="DC2" s="35"/>
      <c r="DD2" s="35"/>
      <c r="DE2" s="35"/>
      <c r="DF2" s="35"/>
      <c r="DG2" s="35"/>
      <c r="DH2" s="73"/>
      <c r="DI2" s="73"/>
    </row>
    <row r="3" spans="2:113" s="74" customFormat="1" ht="2.25" customHeight="1">
      <c r="H3" s="75"/>
      <c r="I3" s="75"/>
      <c r="P3" s="75"/>
      <c r="Q3" s="75"/>
      <c r="X3" s="75"/>
      <c r="Y3" s="75"/>
      <c r="AF3" s="75"/>
      <c r="AG3" s="75"/>
      <c r="AN3" s="75"/>
      <c r="AO3" s="75"/>
      <c r="AV3" s="75"/>
      <c r="AW3" s="75"/>
      <c r="BD3" s="75"/>
      <c r="BE3" s="75"/>
      <c r="BL3" s="75"/>
      <c r="BM3" s="75"/>
      <c r="BT3" s="75"/>
      <c r="BU3" s="75"/>
      <c r="CB3" s="75"/>
      <c r="CC3" s="75"/>
      <c r="CJ3" s="75"/>
      <c r="CK3" s="75"/>
      <c r="CR3" s="75"/>
      <c r="CS3" s="75"/>
      <c r="CZ3" s="75"/>
      <c r="DA3" s="75"/>
      <c r="DH3" s="75"/>
      <c r="DI3" s="75"/>
    </row>
    <row r="4" spans="2:113" s="76" customFormat="1" ht="21">
      <c r="B4" s="107"/>
      <c r="C4" s="107"/>
      <c r="D4" s="107"/>
      <c r="E4" s="107"/>
      <c r="F4" s="107"/>
      <c r="G4" s="107"/>
      <c r="H4" s="107"/>
      <c r="I4" s="77"/>
      <c r="J4" s="108"/>
      <c r="K4" s="108"/>
      <c r="L4" s="108"/>
      <c r="M4" s="108"/>
      <c r="N4" s="108"/>
      <c r="O4" s="108"/>
      <c r="P4" s="108"/>
      <c r="Q4" s="77"/>
      <c r="R4" s="108"/>
      <c r="S4" s="108"/>
      <c r="T4" s="108"/>
      <c r="U4" s="108"/>
      <c r="V4" s="108"/>
      <c r="W4" s="108"/>
      <c r="X4" s="108"/>
      <c r="Y4" s="77"/>
      <c r="Z4" s="108"/>
      <c r="AA4" s="108"/>
      <c r="AB4" s="108"/>
      <c r="AC4" s="108"/>
      <c r="AD4" s="108"/>
      <c r="AE4" s="108"/>
      <c r="AF4" s="108"/>
      <c r="AG4" s="77"/>
      <c r="AH4" s="108"/>
      <c r="AI4" s="108"/>
      <c r="AJ4" s="108"/>
      <c r="AK4" s="108"/>
      <c r="AL4" s="108"/>
      <c r="AM4" s="108"/>
      <c r="AN4" s="108"/>
      <c r="AO4" s="77"/>
      <c r="AP4" s="108"/>
      <c r="AQ4" s="108"/>
      <c r="AR4" s="108"/>
      <c r="AS4" s="108"/>
      <c r="AT4" s="108"/>
      <c r="AU4" s="108"/>
      <c r="AV4" s="108"/>
      <c r="AW4" s="77"/>
      <c r="AX4" s="503"/>
      <c r="AY4" s="503"/>
      <c r="AZ4" s="503"/>
      <c r="BA4" s="503"/>
      <c r="BB4" s="503"/>
      <c r="BC4" s="503"/>
      <c r="BD4" s="503"/>
      <c r="BE4" s="77"/>
      <c r="BF4" s="503"/>
      <c r="BG4" s="503"/>
      <c r="BH4" s="503"/>
      <c r="BI4" s="503"/>
      <c r="BJ4" s="503"/>
      <c r="BK4" s="503"/>
      <c r="BL4" s="503"/>
      <c r="BM4" s="77"/>
      <c r="BN4" s="503"/>
      <c r="BO4" s="503"/>
      <c r="BP4" s="503"/>
      <c r="BQ4" s="503"/>
      <c r="BR4" s="503"/>
      <c r="BS4" s="503"/>
      <c r="BT4" s="503"/>
      <c r="BU4" s="77"/>
      <c r="BV4" s="503"/>
      <c r="BW4" s="503"/>
      <c r="BX4" s="503"/>
      <c r="BY4" s="503"/>
      <c r="BZ4" s="503"/>
      <c r="CA4" s="503"/>
      <c r="CB4" s="503"/>
      <c r="CC4" s="77"/>
      <c r="CD4" s="503"/>
      <c r="CE4" s="503"/>
      <c r="CF4" s="503"/>
      <c r="CG4" s="503"/>
      <c r="CH4" s="503"/>
      <c r="CI4" s="503"/>
      <c r="CJ4" s="503"/>
      <c r="CK4" s="77"/>
      <c r="CL4" s="503"/>
      <c r="CM4" s="503"/>
      <c r="CN4" s="503"/>
      <c r="CO4" s="503"/>
      <c r="CP4" s="503"/>
      <c r="CQ4" s="503"/>
      <c r="CR4" s="503"/>
      <c r="CS4" s="77"/>
      <c r="CT4" s="503"/>
      <c r="CU4" s="503"/>
      <c r="CV4" s="503"/>
      <c r="CW4" s="503"/>
      <c r="CX4" s="503"/>
      <c r="CY4" s="503"/>
      <c r="CZ4" s="503"/>
      <c r="DA4" s="77"/>
      <c r="DB4" s="503"/>
      <c r="DC4" s="503"/>
      <c r="DD4" s="503"/>
      <c r="DE4" s="503"/>
      <c r="DF4" s="503"/>
      <c r="DG4" s="503"/>
      <c r="DH4" s="503"/>
      <c r="DI4" s="77"/>
    </row>
    <row r="5" spans="2:113" s="76" customFormat="1" ht="21">
      <c r="B5" s="503" t="str">
        <f>intervencao1</f>
        <v>Drug 1</v>
      </c>
      <c r="C5" s="503"/>
      <c r="D5" s="503"/>
      <c r="E5" s="503"/>
      <c r="F5" s="503"/>
      <c r="G5" s="503"/>
      <c r="H5" s="503"/>
      <c r="I5" s="77"/>
      <c r="J5" s="503" t="str">
        <f>intervencao2</f>
        <v>Drug 2</v>
      </c>
      <c r="K5" s="503"/>
      <c r="L5" s="503"/>
      <c r="M5" s="503"/>
      <c r="N5" s="503"/>
      <c r="O5" s="503"/>
      <c r="P5" s="503"/>
      <c r="Q5" s="77"/>
      <c r="R5" s="503">
        <f>intervencao3</f>
        <v>0</v>
      </c>
      <c r="S5" s="503"/>
      <c r="T5" s="503"/>
      <c r="U5" s="503"/>
      <c r="V5" s="503"/>
      <c r="W5" s="503"/>
      <c r="X5" s="503"/>
      <c r="Y5" s="77"/>
      <c r="Z5" s="503">
        <f>intervencao4</f>
        <v>0</v>
      </c>
      <c r="AA5" s="503"/>
      <c r="AB5" s="503"/>
      <c r="AC5" s="503"/>
      <c r="AD5" s="503"/>
      <c r="AE5" s="503"/>
      <c r="AF5" s="503"/>
      <c r="AG5" s="77"/>
      <c r="AH5" s="503" t="str">
        <f>comparador1</f>
        <v>BSC</v>
      </c>
      <c r="AI5" s="503"/>
      <c r="AJ5" s="503"/>
      <c r="AK5" s="503"/>
      <c r="AL5" s="503"/>
      <c r="AM5" s="503"/>
      <c r="AN5" s="503"/>
      <c r="AO5" s="77"/>
      <c r="AP5" s="503">
        <f>comparador2</f>
        <v>0</v>
      </c>
      <c r="AQ5" s="503"/>
      <c r="AR5" s="503"/>
      <c r="AS5" s="503"/>
      <c r="AT5" s="503"/>
      <c r="AU5" s="503"/>
      <c r="AV5" s="503"/>
      <c r="AW5" s="77"/>
      <c r="AX5" s="503">
        <f>comparador3</f>
        <v>0</v>
      </c>
      <c r="AY5" s="503"/>
      <c r="AZ5" s="503"/>
      <c r="BA5" s="503"/>
      <c r="BB5" s="503"/>
      <c r="BC5" s="503"/>
      <c r="BD5" s="503"/>
      <c r="BE5" s="77"/>
      <c r="BF5" s="503">
        <f>comparador4</f>
        <v>0</v>
      </c>
      <c r="BG5" s="503"/>
      <c r="BH5" s="503"/>
      <c r="BI5" s="503"/>
      <c r="BJ5" s="503"/>
      <c r="BK5" s="503"/>
      <c r="BL5" s="503"/>
      <c r="BM5" s="77"/>
      <c r="BN5" s="503">
        <f>comparador5</f>
        <v>0</v>
      </c>
      <c r="BO5" s="503"/>
      <c r="BP5" s="503"/>
      <c r="BQ5" s="503"/>
      <c r="BR5" s="503"/>
      <c r="BS5" s="503"/>
      <c r="BT5" s="503"/>
      <c r="BU5" s="77"/>
      <c r="BV5" s="503">
        <f>comparador6</f>
        <v>0</v>
      </c>
      <c r="BW5" s="503"/>
      <c r="BX5" s="503"/>
      <c r="BY5" s="503"/>
      <c r="BZ5" s="503"/>
      <c r="CA5" s="503"/>
      <c r="CB5" s="503"/>
      <c r="CC5" s="77"/>
      <c r="CD5" s="503">
        <f>comparador7</f>
        <v>0</v>
      </c>
      <c r="CE5" s="503"/>
      <c r="CF5" s="503"/>
      <c r="CG5" s="503"/>
      <c r="CH5" s="503"/>
      <c r="CI5" s="503"/>
      <c r="CJ5" s="503"/>
      <c r="CK5" s="77"/>
      <c r="CL5" s="503">
        <f>comparador8</f>
        <v>0</v>
      </c>
      <c r="CM5" s="503"/>
      <c r="CN5" s="503"/>
      <c r="CO5" s="503"/>
      <c r="CP5" s="503"/>
      <c r="CQ5" s="503"/>
      <c r="CR5" s="503"/>
      <c r="CS5" s="77"/>
      <c r="CT5" s="503">
        <f>comparador9</f>
        <v>0</v>
      </c>
      <c r="CU5" s="503"/>
      <c r="CV5" s="503"/>
      <c r="CW5" s="503"/>
      <c r="CX5" s="503"/>
      <c r="CY5" s="503"/>
      <c r="CZ5" s="503"/>
      <c r="DA5" s="77"/>
      <c r="DB5" s="503">
        <f>comparador10</f>
        <v>0</v>
      </c>
      <c r="DC5" s="503"/>
      <c r="DD5" s="503"/>
      <c r="DE5" s="503"/>
      <c r="DF5" s="503"/>
      <c r="DG5" s="503"/>
      <c r="DH5" s="503"/>
      <c r="DI5" s="77"/>
    </row>
    <row r="6" spans="2:113" ht="16.2" thickBot="1">
      <c r="B6" s="78"/>
      <c r="C6" s="78" t="s">
        <v>165</v>
      </c>
      <c r="D6" s="78" t="s">
        <v>166</v>
      </c>
      <c r="E6" s="78" t="s">
        <v>167</v>
      </c>
      <c r="F6" s="78" t="s">
        <v>168</v>
      </c>
      <c r="G6" s="78" t="s">
        <v>169</v>
      </c>
      <c r="J6" s="78"/>
      <c r="K6" s="78" t="s">
        <v>165</v>
      </c>
      <c r="L6" s="78" t="s">
        <v>166</v>
      </c>
      <c r="M6" s="78" t="s">
        <v>167</v>
      </c>
      <c r="N6" s="78" t="s">
        <v>168</v>
      </c>
      <c r="O6" s="78" t="s">
        <v>169</v>
      </c>
      <c r="R6" s="78"/>
      <c r="S6" s="78" t="s">
        <v>165</v>
      </c>
      <c r="T6" s="78" t="s">
        <v>166</v>
      </c>
      <c r="U6" s="78" t="s">
        <v>167</v>
      </c>
      <c r="V6" s="78" t="s">
        <v>168</v>
      </c>
      <c r="W6" s="78" t="s">
        <v>169</v>
      </c>
      <c r="Z6" s="78"/>
      <c r="AA6" s="78" t="s">
        <v>165</v>
      </c>
      <c r="AB6" s="78" t="s">
        <v>166</v>
      </c>
      <c r="AC6" s="78" t="s">
        <v>167</v>
      </c>
      <c r="AD6" s="78" t="s">
        <v>168</v>
      </c>
      <c r="AE6" s="78" t="s">
        <v>169</v>
      </c>
      <c r="AH6" s="78"/>
      <c r="AI6" s="78" t="s">
        <v>165</v>
      </c>
      <c r="AJ6" s="78" t="s">
        <v>166</v>
      </c>
      <c r="AK6" s="78" t="s">
        <v>167</v>
      </c>
      <c r="AL6" s="78" t="s">
        <v>168</v>
      </c>
      <c r="AM6" s="78" t="s">
        <v>169</v>
      </c>
      <c r="AP6" s="78"/>
      <c r="AQ6" s="78" t="s">
        <v>165</v>
      </c>
      <c r="AR6" s="78" t="s">
        <v>166</v>
      </c>
      <c r="AS6" s="78" t="s">
        <v>167</v>
      </c>
      <c r="AT6" s="78" t="s">
        <v>168</v>
      </c>
      <c r="AU6" s="78" t="s">
        <v>169</v>
      </c>
      <c r="AX6" s="78"/>
      <c r="AY6" s="78" t="s">
        <v>165</v>
      </c>
      <c r="AZ6" s="78" t="s">
        <v>166</v>
      </c>
      <c r="BA6" s="78" t="s">
        <v>167</v>
      </c>
      <c r="BB6" s="78" t="s">
        <v>168</v>
      </c>
      <c r="BC6" s="78" t="s">
        <v>169</v>
      </c>
      <c r="BF6" s="78"/>
      <c r="BG6" s="78" t="s">
        <v>165</v>
      </c>
      <c r="BH6" s="78" t="s">
        <v>166</v>
      </c>
      <c r="BI6" s="78" t="s">
        <v>167</v>
      </c>
      <c r="BJ6" s="78" t="s">
        <v>168</v>
      </c>
      <c r="BK6" s="78" t="s">
        <v>169</v>
      </c>
      <c r="BN6" s="78"/>
      <c r="BO6" s="78" t="s">
        <v>165</v>
      </c>
      <c r="BP6" s="78" t="s">
        <v>166</v>
      </c>
      <c r="BQ6" s="78" t="s">
        <v>167</v>
      </c>
      <c r="BR6" s="78" t="s">
        <v>168</v>
      </c>
      <c r="BS6" s="78" t="s">
        <v>169</v>
      </c>
      <c r="BV6" s="78"/>
      <c r="BW6" s="78" t="s">
        <v>165</v>
      </c>
      <c r="BX6" s="78" t="s">
        <v>166</v>
      </c>
      <c r="BY6" s="78" t="s">
        <v>167</v>
      </c>
      <c r="BZ6" s="78" t="s">
        <v>168</v>
      </c>
      <c r="CA6" s="78" t="s">
        <v>169</v>
      </c>
      <c r="CD6" s="78"/>
      <c r="CE6" s="78" t="s">
        <v>165</v>
      </c>
      <c r="CF6" s="78" t="s">
        <v>166</v>
      </c>
      <c r="CG6" s="78" t="s">
        <v>167</v>
      </c>
      <c r="CH6" s="78" t="s">
        <v>168</v>
      </c>
      <c r="CI6" s="78" t="s">
        <v>169</v>
      </c>
      <c r="CL6" s="78"/>
      <c r="CM6" s="78" t="s">
        <v>165</v>
      </c>
      <c r="CN6" s="78" t="s">
        <v>166</v>
      </c>
      <c r="CO6" s="78" t="s">
        <v>167</v>
      </c>
      <c r="CP6" s="78" t="s">
        <v>168</v>
      </c>
      <c r="CQ6" s="78" t="s">
        <v>169</v>
      </c>
      <c r="CT6" s="78"/>
      <c r="CU6" s="78" t="s">
        <v>165</v>
      </c>
      <c r="CV6" s="78" t="s">
        <v>166</v>
      </c>
      <c r="CW6" s="78" t="s">
        <v>167</v>
      </c>
      <c r="CX6" s="78" t="s">
        <v>168</v>
      </c>
      <c r="CY6" s="78" t="s">
        <v>169</v>
      </c>
      <c r="DB6" s="78"/>
      <c r="DC6" s="78" t="s">
        <v>165</v>
      </c>
      <c r="DD6" s="78" t="s">
        <v>166</v>
      </c>
      <c r="DE6" s="78" t="s">
        <v>167</v>
      </c>
      <c r="DF6" s="78" t="s">
        <v>168</v>
      </c>
      <c r="DG6" s="78" t="s">
        <v>169</v>
      </c>
    </row>
    <row r="7" spans="2:113" s="97" customFormat="1" ht="33.6" thickBot="1">
      <c r="B7" s="94" t="s">
        <v>205</v>
      </c>
      <c r="C7" s="313">
        <f>Results!$D$9</f>
        <v>684.99247650000007</v>
      </c>
      <c r="D7" s="313">
        <f>MAX(IF(calculo="incidencia",Results!$E$9,IF(line="yes",(Results!$E$9-C8),Results!$E$9-C8-C10)),0)</f>
        <v>690.371840625</v>
      </c>
      <c r="E7" s="313">
        <f>MAX(IF(calculo="incidencia",Results!$F$9,IF(line="yes",(Results!$F$9-D8-C11),Results!$F$9-D8-D10-C11-C13)),0)</f>
        <v>695.59661162500004</v>
      </c>
      <c r="F7" s="313">
        <f>MAX(IF(calculo="incidencia",Results!$G$9,IF(line="yes",(Results!$G$9-E8-D11-C14),Results!$G$9-E8-E10-D11-D13-C14-C16)),0)</f>
        <v>700.84444662500005</v>
      </c>
      <c r="G7" s="313">
        <f>MAX(IF(calculo="incidencia",Results!$H$9,IF(line="yes",(Results!$H$9-F8-E11-D14-C17),Results!$H$9-F8-F10-E11-E13-D14-D16-C17-C19)),0)</f>
        <v>706.19335325000009</v>
      </c>
      <c r="H7" s="95" t="s">
        <v>304</v>
      </c>
      <c r="I7" s="96"/>
      <c r="J7" s="94" t="s">
        <v>205</v>
      </c>
      <c r="K7" s="313">
        <f>Results!$D$9</f>
        <v>684.99247650000007</v>
      </c>
      <c r="L7" s="313">
        <f>MAX(IF(calculo="incidencia",Results!$E$9,IF(line="yes",(Results!$E$9-K8),Results!$E$9-K8-K10)),0)</f>
        <v>690.371840625</v>
      </c>
      <c r="M7" s="313">
        <f>MAX(IF(calculo="incidencia",Results!$F$9,IF(line="yes",(Results!$F$9-L8-K11),Results!$F$9-L8-L10-K11-K13)),0)</f>
        <v>695.59661162500004</v>
      </c>
      <c r="N7" s="313">
        <f>MAX(IF(calculo="incidencia",Results!$G$9,IF(line="yes",(Results!$G$9-M8-L11-K14),Results!$G$9-M8-M10-L11-L13-K14-K16)),0)</f>
        <v>700.84444662500005</v>
      </c>
      <c r="O7" s="313">
        <f>MAX(IF(calculo="incidencia",Results!$H$9,IF(line="yes",(Results!$H$9-N8-M11-L14-K17),Results!$H$9-N8-N10-M11-M13-L14-L16-K17-K19)),0)</f>
        <v>706.19335325000009</v>
      </c>
      <c r="P7" s="95" t="s">
        <v>304</v>
      </c>
      <c r="Q7" s="96"/>
      <c r="R7" s="94" t="s">
        <v>205</v>
      </c>
      <c r="S7" s="313">
        <f>Results!$D$9</f>
        <v>684.99247650000007</v>
      </c>
      <c r="T7" s="313">
        <f>MAX(IF(calculo="incidencia",Results!$E$9,IF(line="yes",(Results!$E$9-S8),Results!$E$9-S8-S10)),0)</f>
        <v>690.371840625</v>
      </c>
      <c r="U7" s="313">
        <f>MAX(IF(calculo="incidencia",Results!$F$9,IF(line="yes",(Results!$F$9-T8-S11),Results!$F$9-T8-T10-S11-S13)),0)</f>
        <v>695.59661162500004</v>
      </c>
      <c r="V7" s="313">
        <f>MAX(IF(calculo="incidencia",Results!$G$9,IF(line="yes",(Results!$G$9-U8-T11-S14),Results!$G$9-U8-U10-T11-T13-S14-S16)),0)</f>
        <v>700.84444662500005</v>
      </c>
      <c r="W7" s="313">
        <f>MAX(IF(calculo="incidencia",Results!$H$9,IF(line="yes",(Results!$H$9-V8-U11-T14-S17),Results!$H$9-V8-V10-U11-U13-T14-T16-S17-S19)),0)</f>
        <v>706.19335325000009</v>
      </c>
      <c r="X7" s="95" t="s">
        <v>304</v>
      </c>
      <c r="Y7" s="96"/>
      <c r="Z7" s="94" t="s">
        <v>205</v>
      </c>
      <c r="AA7" s="313">
        <f>Results!$D$9</f>
        <v>684.99247650000007</v>
      </c>
      <c r="AB7" s="313">
        <f>MAX(IF(calculo="incidencia",Results!$E$9,IF(line="yes",(Results!$E$9-AA8),Results!$E$9-AA8-AA10)),0)</f>
        <v>690.371840625</v>
      </c>
      <c r="AC7" s="313">
        <f>MAX(IF(calculo="incidencia",Results!$F$9,IF(line="yes",(Results!$F$9-AB8-AA11),Results!$F$9-AB8-AB10-AA11-AA13)),0)</f>
        <v>695.59661162500004</v>
      </c>
      <c r="AD7" s="313">
        <f>MAX(IF(calculo="incidencia",Results!$G$9,IF(line="yes",(Results!$G$9-AC8-AB11-AA14),Results!$G$9-AC8-AC10-AB11-AB13-AA14-AA16)),0)</f>
        <v>700.84444662500005</v>
      </c>
      <c r="AE7" s="313">
        <f>MAX(IF(calculo="incidencia",Results!$H$9,IF(line="yes",(Results!$H$9-AD8-AC11-AB14-AA17),Results!$H$9-AD8-AD10-AC11-AC13-AB14-AB16-AA17-AA19)),0)</f>
        <v>706.19335325000009</v>
      </c>
      <c r="AF7" s="95" t="s">
        <v>304</v>
      </c>
      <c r="AG7" s="96"/>
      <c r="AH7" s="94" t="s">
        <v>205</v>
      </c>
      <c r="AI7" s="313">
        <f>Results!$D$9</f>
        <v>684.99247650000007</v>
      </c>
      <c r="AJ7" s="313">
        <f>MAX(IF(calculo="incidencia",Results!$E$9,IF(line="yes",(Results!$E$9-AI8),Results!$E$9-AI8-AI10)),0)</f>
        <v>690.371840625</v>
      </c>
      <c r="AK7" s="313">
        <f>MAX(IF(calculo="incidencia",Results!$F$9,IF(line="yes",(Results!$F$9-AJ8-AI11),Results!$F$9-AJ8-AJ10-AI11-AI13)),0)</f>
        <v>695.59661162500004</v>
      </c>
      <c r="AL7" s="313">
        <f>MAX(IF(calculo="incidencia",Results!$G$9,IF(line="yes",(Results!$G$9-AK8-AJ11-AI14),Results!$G$9-AK8-AK10-AJ11-AJ13-AI14-AI16)),0)</f>
        <v>700.84444662500005</v>
      </c>
      <c r="AM7" s="313">
        <f>MAX(IF(calculo="incidencia",Results!$H$9,IF(line="yes",(Results!$H$9-AL8-AK11-AJ14-AI17),Results!$H$9-AL8-AL10-AK11-AK13-AJ14-AJ16-AI17-AI19)),0)</f>
        <v>706.19335325000009</v>
      </c>
      <c r="AN7" s="95" t="s">
        <v>304</v>
      </c>
      <c r="AO7" s="96"/>
      <c r="AP7" s="94" t="s">
        <v>205</v>
      </c>
      <c r="AQ7" s="313">
        <f>Results!$D$9</f>
        <v>684.99247650000007</v>
      </c>
      <c r="AR7" s="313">
        <f>MAX(IF(calculo="incidencia",Results!$E$9,IF(line="yes",(Results!$E$9-AQ8),Results!$E$9-AQ8-AQ10)),0)</f>
        <v>690.371840625</v>
      </c>
      <c r="AS7" s="313">
        <f>MAX(IF(calculo="incidencia",Results!$F$9,IF(line="yes",(Results!$F$9-AR8-AQ11),Results!$F$9-AR8-AR10-AQ11-AQ13)),0)</f>
        <v>695.59661162500004</v>
      </c>
      <c r="AT7" s="313">
        <f>MAX(IF(calculo="incidencia",Results!$G$9,IF(line="yes",(Results!$G$9-AS8-AR11-AQ14),Results!$G$9-AS8-AS10-AR11-AR13-AQ14-AQ16)),0)</f>
        <v>700.84444662500005</v>
      </c>
      <c r="AU7" s="313">
        <f>MAX(IF(calculo="incidencia",Results!$H$9,IF(line="yes",(Results!$H$9-AT8-AS11-AR14-AQ17),Results!$H$9-AT8-AT10-AS11-AS13-AR14-AR16-AQ17-AQ19)),0)</f>
        <v>706.19335325000009</v>
      </c>
      <c r="AV7" s="95" t="s">
        <v>304</v>
      </c>
      <c r="AW7" s="96"/>
      <c r="AX7" s="94" t="s">
        <v>205</v>
      </c>
      <c r="AY7" s="313">
        <f>Results!$D$9</f>
        <v>684.99247650000007</v>
      </c>
      <c r="AZ7" s="313">
        <f>MAX(IF(calculo="incidencia",Results!$E$9,IF(line="yes",(Results!$E$9-AY8),Results!$E$9-AY8-AY10)),0)</f>
        <v>690.371840625</v>
      </c>
      <c r="BA7" s="313">
        <f>MAX(IF(calculo="incidencia",Results!$F$9,IF(line="yes",(Results!$F$9-AZ8-AY11),Results!$F$9-AZ8-AZ10-AY11-AY13)),0)</f>
        <v>695.59661162500004</v>
      </c>
      <c r="BB7" s="313">
        <f>MAX(IF(calculo="incidencia",Results!$G$9,IF(line="yes",(Results!$G$9-BA8-AZ11-AY14),Results!$G$9-BA8-BA10-AZ11-AZ13-AY14-AY16)),0)</f>
        <v>700.84444662500005</v>
      </c>
      <c r="BC7" s="313">
        <f>MAX(IF(calculo="incidencia",Results!$H$9,IF(line="yes",(Results!$H$9-BB8-BA11-AZ14-AY17),Results!$H$9-BB8-BB10-BA11-BA13-AZ14-AZ16-AY17-AY19)),0)</f>
        <v>706.19335325000009</v>
      </c>
      <c r="BD7" s="95" t="s">
        <v>304</v>
      </c>
      <c r="BE7" s="96"/>
      <c r="BF7" s="94" t="s">
        <v>205</v>
      </c>
      <c r="BG7" s="313">
        <f>Results!$D$9</f>
        <v>684.99247650000007</v>
      </c>
      <c r="BH7" s="313">
        <f>MAX(IF(calculo="incidencia",Results!$E$9,IF(line="yes",(Results!$E$9-BG8),Results!$E$9-BG8-BG10)),0)</f>
        <v>690.371840625</v>
      </c>
      <c r="BI7" s="313">
        <f>MAX(IF(calculo="incidencia",Results!$F$9,IF(line="yes",(Results!$F$9-BH8-BG11),Results!$F$9-BH8-BH10-BG11-BG13)),0)</f>
        <v>695.59661162500004</v>
      </c>
      <c r="BJ7" s="313">
        <f>MAX(IF(calculo="incidencia",Results!$G$9,IF(line="yes",(Results!$G$9-BI8-BH11-BG14),Results!$G$9-BI8-BI10-BH11-BH13-BG14-BG16)),0)</f>
        <v>700.84444662500005</v>
      </c>
      <c r="BK7" s="313">
        <f>MAX(IF(calculo="incidencia",Results!$H$9,IF(line="yes",(Results!$H$9-BJ8-BI11-BH14-BG17),Results!$H$9-BJ8-BJ10-BI11-BI13-BH14-BH16-BG17-BG19)),0)</f>
        <v>706.19335325000009</v>
      </c>
      <c r="BL7" s="95" t="s">
        <v>304</v>
      </c>
      <c r="BM7" s="96"/>
      <c r="BN7" s="94" t="s">
        <v>205</v>
      </c>
      <c r="BO7" s="313">
        <f>Results!$D$9</f>
        <v>684.99247650000007</v>
      </c>
      <c r="BP7" s="313">
        <f>MAX(IF(calculo="incidencia",Results!$E$9,IF(line="yes",(Results!$E$9-BO8),Results!$E$9-BO8-BO10)),0)</f>
        <v>690.371840625</v>
      </c>
      <c r="BQ7" s="313">
        <f>MAX(IF(calculo="incidencia",Results!$F$9,IF(line="yes",(Results!$F$9-BP8-BO11),Results!$F$9-BP8-BP10-BO11-BO13)),0)</f>
        <v>695.59661162500004</v>
      </c>
      <c r="BR7" s="313">
        <f>MAX(IF(calculo="incidencia",Results!$G$9,IF(line="yes",(Results!$G$9-BQ8-BP11-BO14),Results!$G$9-BQ8-BQ10-BP11-BP13-BO14-BO16)),0)</f>
        <v>700.84444662500005</v>
      </c>
      <c r="BS7" s="313">
        <f>MAX(IF(calculo="incidencia",Results!$H$9,IF(line="yes",(Results!$H$9-BR8-BQ11-BP14-BO17),Results!$H$9-BR8-BR10-BQ11-BQ13-BP14-BP16-BO17-BO19)),0)</f>
        <v>706.19335325000009</v>
      </c>
      <c r="BT7" s="95" t="s">
        <v>304</v>
      </c>
      <c r="BU7" s="96"/>
      <c r="BV7" s="94" t="s">
        <v>205</v>
      </c>
      <c r="BW7" s="313">
        <f>Results!$D$9</f>
        <v>684.99247650000007</v>
      </c>
      <c r="BX7" s="313">
        <f>MAX(IF(calculo="incidencia",Results!$E$9,IF(line="yes",(Results!$E$9-BW8),Results!$E$9-BW8-BW10)),0)</f>
        <v>690.371840625</v>
      </c>
      <c r="BY7" s="313">
        <f>MAX(IF(calculo="incidencia",Results!$F$9,IF(line="yes",(Results!$F$9-BX8-BW11),Results!$F$9-BX8-BX10-BW11-BW13)),0)</f>
        <v>695.59661162500004</v>
      </c>
      <c r="BZ7" s="313">
        <f>MAX(IF(calculo="incidencia",Results!$G$9,IF(line="yes",(Results!$G$9-BY8-BX11-BW14),Results!$G$9-BY8-BY10-BX11-BX13-BW14-BW16)),0)</f>
        <v>700.84444662500005</v>
      </c>
      <c r="CA7" s="313">
        <f>MAX(IF(calculo="incidencia",Results!$H$9,IF(line="yes",(Results!$H$9-BZ8-BY11-BX14-BW17),Results!$H$9-BZ8-BZ10-BY11-BY13-BX14-BX16-BW17-BW19)),0)</f>
        <v>706.19335325000009</v>
      </c>
      <c r="CB7" s="95" t="s">
        <v>304</v>
      </c>
      <c r="CC7" s="96"/>
      <c r="CD7" s="94" t="s">
        <v>205</v>
      </c>
      <c r="CE7" s="313">
        <f>Results!$D$9</f>
        <v>684.99247650000007</v>
      </c>
      <c r="CF7" s="313">
        <f>MAX(IF(calculo="incidencia",Results!$E$9,IF(line="yes",(Results!$E$9-CE8),Results!$E$9-CE8-CE10)),0)</f>
        <v>690.371840625</v>
      </c>
      <c r="CG7" s="313">
        <f>MAX(IF(calculo="incidencia",Results!$F$9,IF(line="yes",(Results!$F$9-CF8-CE11),Results!$F$9-CF8-CF10-CE11-CE13)),0)</f>
        <v>695.59661162500004</v>
      </c>
      <c r="CH7" s="313">
        <f>MAX(IF(calculo="incidencia",Results!$G$9,IF(line="yes",(Results!$G$9-CG8-CF11-CE14),Results!$G$9-CG8-CG10-CF11-CF13-CE14-CE16)),0)</f>
        <v>700.84444662500005</v>
      </c>
      <c r="CI7" s="313">
        <f>MAX(IF(calculo="incidencia",Results!$H$9,IF(line="yes",(Results!$H$9-CH8-CG11-CF14-CE17),Results!$H$9-CH8-CH10-CG11-CG13-CF14-CF16-CE17-CE19)),0)</f>
        <v>706.19335325000009</v>
      </c>
      <c r="CJ7" s="95" t="s">
        <v>304</v>
      </c>
      <c r="CK7" s="96"/>
      <c r="CL7" s="94" t="s">
        <v>205</v>
      </c>
      <c r="CM7" s="313">
        <f>Results!$D$9</f>
        <v>684.99247650000007</v>
      </c>
      <c r="CN7" s="313">
        <f>MAX(IF(calculo="incidencia",Results!$E$9,IF(line="yes",(Results!$E$9-CM8),Results!$E$9-CM8-CM10)),0)</f>
        <v>690.371840625</v>
      </c>
      <c r="CO7" s="313">
        <f>MAX(IF(calculo="incidencia",Results!$F$9,IF(line="yes",(Results!$F$9-CN8-CM11),Results!$F$9-CN8-CN10-CM11-CM13)),0)</f>
        <v>695.59661162500004</v>
      </c>
      <c r="CP7" s="313">
        <f>MAX(IF(calculo="incidencia",Results!$G$9,IF(line="yes",(Results!$G$9-CO8-CN11-CM14),Results!$G$9-CO8-CO10-CN11-CN13-CM14-CM16)),0)</f>
        <v>700.84444662500005</v>
      </c>
      <c r="CQ7" s="313">
        <f>MAX(IF(calculo="incidencia",Results!$H$9,IF(line="yes",(Results!$H$9-CP8-CO11-CN14-CM17),Results!$H$9-CP8-CP10-CO11-CO13-CN14-CN16-CM17-CM19)),0)</f>
        <v>706.19335325000009</v>
      </c>
      <c r="CR7" s="95" t="s">
        <v>304</v>
      </c>
      <c r="CS7" s="96"/>
      <c r="CT7" s="94" t="s">
        <v>205</v>
      </c>
      <c r="CU7" s="313">
        <f>Results!$D$9</f>
        <v>684.99247650000007</v>
      </c>
      <c r="CV7" s="313">
        <f>MAX(IF(calculo="incidencia",Results!$E$9,IF(line="yes",(Results!$E$9-CU8),Results!$E$9-CU8-CU10)),0)</f>
        <v>690.371840625</v>
      </c>
      <c r="CW7" s="313">
        <f>MAX(IF(calculo="incidencia",Results!$F$9,IF(line="yes",(Results!$F$9-CV8-CU11),Results!$F$9-CV8-CV10-CU11-CU13)),0)</f>
        <v>695.59661162500004</v>
      </c>
      <c r="CX7" s="313">
        <f>MAX(IF(calculo="incidencia",Results!$G$9,IF(line="yes",(Results!$G$9-CW8-CV11-CU14),Results!$G$9-CW8-CW10-CV11-CV13-CU14-CU16)),0)</f>
        <v>700.84444662500005</v>
      </c>
      <c r="CY7" s="313">
        <f>MAX(IF(calculo="incidencia",Results!$H$9,IF(line="yes",(Results!$H$9-CX8-CW11-CV14-CU17),Results!$H$9-CX8-CX10-CW11-CW13-CV14-CV16-CU17-CU19)),0)</f>
        <v>706.19335325000009</v>
      </c>
      <c r="CZ7" s="95" t="s">
        <v>304</v>
      </c>
      <c r="DA7" s="96"/>
      <c r="DB7" s="94" t="s">
        <v>205</v>
      </c>
      <c r="DC7" s="313">
        <f>Results!$D$9</f>
        <v>684.99247650000007</v>
      </c>
      <c r="DD7" s="313">
        <f>MAX(IF(calculo="incidencia",Results!$E$9,IF(line="yes",(Results!$E$9-DC8),Results!$E$9-DC8-DC10)),0)</f>
        <v>690.371840625</v>
      </c>
      <c r="DE7" s="313">
        <f>MAX(IF(calculo="incidencia",Results!$F$9,IF(line="yes",(Results!$F$9-DD8-DC11),Results!$F$9-DD8-DD10-DC11-DC13)),0)</f>
        <v>695.59661162500004</v>
      </c>
      <c r="DF7" s="313">
        <f>MAX(IF(calculo="incidencia",Results!$G$9,IF(line="yes",(Results!$G$9-DE8-DD11-DC14),Results!$G$9-DE8-DE10-DD11-DD13-DC14-DC16)),0)</f>
        <v>700.84444662500005</v>
      </c>
      <c r="DG7" s="313">
        <f>MAX(IF(calculo="incidencia",Results!$H$9,IF(line="yes",(Results!$H$9-DF8-DE11-DD14-DC17),Results!$H$9-DF8-DF10-DE11-DE13-DD14-DD16-DC17-DC19)),0)</f>
        <v>706.19335325000009</v>
      </c>
      <c r="DH7" s="95" t="s">
        <v>304</v>
      </c>
      <c r="DI7" s="96"/>
    </row>
    <row r="8" spans="2:113" s="97" customFormat="1" ht="15" customHeight="1">
      <c r="B8" s="98" t="str">
        <f>IF(OR(uso=3,uso=4),"Progression-free","On treatment")</f>
        <v>On treatment</v>
      </c>
      <c r="C8" s="314">
        <f>IF(AND(desc1_1=0,ob1_1=0),C7,
IF(AND(desc1_1=0,ob1_1&gt;0),C7*(1-ob1_1),C7*(1-desc1_1)))</f>
        <v>650.74285267499999</v>
      </c>
      <c r="D8" s="314">
        <f>IF(AND(desc1_1=0,ob1_1=0),D7,
IF(AND(desc1_1=0,ob1_1&gt;0),D7*(1-ob1_1),D7*(1-desc1_1)))</f>
        <v>655.85324859374998</v>
      </c>
      <c r="E8" s="314">
        <f>IF(AND(desc1_1=0,ob1_1=0),E7,
IF(AND(desc1_1=0,ob1_1&gt;0),E7*(1-ob1_1),E7*(1-desc1_1)))</f>
        <v>660.81678104374998</v>
      </c>
      <c r="F8" s="314">
        <f>IF(AND(desc1_1=0,ob1_1=0),F7,
IF(AND(desc1_1=0,ob1_1&gt;0),F7*(1-ob1_1),F7*(1-desc1_1)))</f>
        <v>665.80222429374999</v>
      </c>
      <c r="G8" s="314" t="s">
        <v>7</v>
      </c>
      <c r="H8" s="511" t="s">
        <v>305</v>
      </c>
      <c r="I8" s="96"/>
      <c r="J8" s="98" t="str">
        <f>IF(OR(uso=3,uso=4),"Progression-free","On treatment")</f>
        <v>On treatment</v>
      </c>
      <c r="K8" s="314">
        <f>IF(AND(desc2_1=0,ob2_1=0),K7,
IF(AND(desc2_1=0,ob2_1&gt;0),K7*(1-ob2_1),K7*(1-desc2_1)))</f>
        <v>671.29262697000001</v>
      </c>
      <c r="L8" s="314">
        <f>IF(AND(desc2_1=0,ob2_1=0),L7,
IF(AND(desc2_1=0,ob2_1&gt;0),L7*(1-ob2_1),L7*(1-desc2_1)))</f>
        <v>676.56440381250002</v>
      </c>
      <c r="M8" s="314">
        <f>IF(AND(desc2_1=0,ob2_1=0),M7,
IF(AND(desc2_1=0,ob2_1&gt;0),M7*(1-ob2_1),M7*(1-desc2_1)))</f>
        <v>681.68467939250002</v>
      </c>
      <c r="N8" s="314">
        <f>IF(AND(desc2_1=0,ob2_1=0),N7,
IF(AND(desc2_1=0,ob2_1&gt;0),N7*(1-ob2_1),N7*(1-desc2_1)))</f>
        <v>686.82755769250002</v>
      </c>
      <c r="O8" s="314" t="s">
        <v>7</v>
      </c>
      <c r="P8" s="511" t="s">
        <v>305</v>
      </c>
      <c r="Q8" s="96"/>
      <c r="R8" s="98" t="s">
        <v>206</v>
      </c>
      <c r="S8" s="314">
        <f>IF(AND(desc3_1=0,ob3_1=0),S7,
IF(AND(desc3_1=0,ob3_1&gt;0),S7*(1-ob3_1),S7*(1-desc3_1)))</f>
        <v>684.99247650000007</v>
      </c>
      <c r="T8" s="314">
        <f>IF(AND(desc3_1=0,ob3_1=0),T7,
IF(AND(desc3_1=0,ob3_1&gt;0),T7*(1-ob3_1),T7*(1-desc3_1)))</f>
        <v>690.371840625</v>
      </c>
      <c r="U8" s="314">
        <f>IF(AND(desc3_1=0,ob3_1=0),U7,
IF(AND(desc3_1=0,ob3_1&gt;0),U7*(1-ob3_1),U7*(1-desc3_1)))</f>
        <v>695.59661162500004</v>
      </c>
      <c r="V8" s="314">
        <f>IF(AND(desc3_1=0,ob3_1=0),V7,
IF(AND(desc3_1=0,ob3_1&gt;0),V7*(1-ob3_1),V7*(1-desc3_1)))</f>
        <v>700.84444662500005</v>
      </c>
      <c r="W8" s="314" t="s">
        <v>7</v>
      </c>
      <c r="X8" s="511" t="s">
        <v>305</v>
      </c>
      <c r="Y8" s="96"/>
      <c r="Z8" s="98" t="s">
        <v>206</v>
      </c>
      <c r="AA8" s="314">
        <f>IF(AND(desc4_1=0,ob4_1=0),AA7,
IF(AND(desc4_1=0,ob4_1&gt;0),AA7*(1-ob4_1),AA7*(1-desc4_1)))</f>
        <v>684.99247650000007</v>
      </c>
      <c r="AB8" s="314">
        <f>IF(AND(desc4_1=0,ob4_1=0),AB7,
IF(AND(desc4_1=0,ob4_1&gt;0),AB7*(1-ob4_1),AB7*(1-desc4_1)))</f>
        <v>690.371840625</v>
      </c>
      <c r="AC8" s="314">
        <f>IF(AND(desc4_1=0,ob4_1=0),AC7,
IF(AND(desc4_1=0,ob4_1&gt;0),AC7*(1-ob4_1),AC7*(1-desc4_1)))</f>
        <v>695.59661162500004</v>
      </c>
      <c r="AD8" s="314">
        <f>IF(AND(desc4_1=0,ob4_1=0),AD7,
IF(AND(desc4_1=0,ob4_1&gt;0),AD7*(1-ob4_1),AD7*(1-desc4_1)))</f>
        <v>700.84444662500005</v>
      </c>
      <c r="AE8" s="314" t="s">
        <v>7</v>
      </c>
      <c r="AF8" s="511" t="s">
        <v>305</v>
      </c>
      <c r="AG8" s="96"/>
      <c r="AH8" s="98" t="s">
        <v>206</v>
      </c>
      <c r="AI8" s="314">
        <f>IF(AND(desc5_1=0,ob5_1=0),AI7,
IF(AND(desc5_1=0,ob5_1&gt;0),AI7*(1-ob5_1),AI7*(1-desc5_1)))</f>
        <v>684.99247650000007</v>
      </c>
      <c r="AJ8" s="314">
        <f>IF(AND(desc5_1=0,ob5_1=0),AJ7,
IF(AND(desc5_1=0,ob5_1&gt;0),AJ7*(1-ob5_1),AJ7*(1-desc5_1)))</f>
        <v>690.371840625</v>
      </c>
      <c r="AK8" s="314">
        <f>IF(AND(desc5_1=0,ob5_1=0),AK7,
IF(AND(desc5_1=0,ob5_1&gt;0),AK7*(1-ob5_1),AK7*(1-desc5_1)))</f>
        <v>695.59661162500004</v>
      </c>
      <c r="AL8" s="314">
        <f>IF(AND(desc5_1=0,ob5_1=0),AL7,
IF(AND(desc5_1=0,ob5_1&gt;0),AL7*(1-ob5_1),AL7*(1-desc5_1)))</f>
        <v>700.84444662500005</v>
      </c>
      <c r="AM8" s="314" t="s">
        <v>7</v>
      </c>
      <c r="AN8" s="511" t="s">
        <v>305</v>
      </c>
      <c r="AO8" s="96"/>
      <c r="AP8" s="98" t="s">
        <v>206</v>
      </c>
      <c r="AQ8" s="314">
        <f>IF(AND(desc6_1=0,ob6_1=0),AQ7,
IF(AND(desc6_1=0,ob6_1&gt;0),AQ7*(1-ob6_1),AQ7*(1-desc6_1)))</f>
        <v>684.99247650000007</v>
      </c>
      <c r="AR8" s="314">
        <f>IF(AND(desc6_1=0,ob6_1=0),AR7,
IF(AND(desc6_1=0,ob6_1&gt;0),AR7*(1-ob6_1),AR7*(1-desc6_1)))</f>
        <v>690.371840625</v>
      </c>
      <c r="AS8" s="314">
        <f>IF(AND(desc6_1=0,ob6_1=0),AS7,
IF(AND(desc6_1=0,ob6_1&gt;0),AS7*(1-ob6_1),AS7*(1-desc6_1)))</f>
        <v>695.59661162500004</v>
      </c>
      <c r="AT8" s="314">
        <f>IF(AND(desc6_1=0,ob6_1=0),AT7,
IF(AND(desc6_1=0,ob6_1&gt;0),AT7*(1-ob6_1),AT7*(1-desc6_1)))</f>
        <v>700.84444662500005</v>
      </c>
      <c r="AU8" s="314" t="s">
        <v>7</v>
      </c>
      <c r="AV8" s="511" t="s">
        <v>305</v>
      </c>
      <c r="AW8" s="96"/>
      <c r="AX8" s="98" t="s">
        <v>206</v>
      </c>
      <c r="AY8" s="314">
        <f>IF(AND(desc7_1=0,ob7_1=0),AY7,
IF(AND(desc7_1=0,ob7_1&gt;0),AY7*(1-ob7_1),AY7*(1-desc7_1)))</f>
        <v>684.99247650000007</v>
      </c>
      <c r="AZ8" s="314">
        <f>IF(AND(desc7_1=0,ob7_1=0),AZ7,
IF(AND(desc7_1=0,ob7_1&gt;0),AZ7*(1-ob7_1),AZ7*(1-desc7_1)))</f>
        <v>690.371840625</v>
      </c>
      <c r="BA8" s="314">
        <f>IF(AND(desc7_1=0,ob7_1=0),BA7,
IF(AND(desc7_1=0,ob7_1&gt;0),BA7*(1-ob7_1),BA7*(1-desc7_1)))</f>
        <v>695.59661162500004</v>
      </c>
      <c r="BB8" s="314">
        <f>IF(AND(desc7_1=0,ob7_1=0),BB7,
IF(AND(desc7_1=0,ob7_1&gt;0),BB7*(1-ob7_1),BB7*(1-desc7_1)))</f>
        <v>700.84444662500005</v>
      </c>
      <c r="BC8" s="314" t="s">
        <v>7</v>
      </c>
      <c r="BD8" s="511" t="s">
        <v>305</v>
      </c>
      <c r="BE8" s="96"/>
      <c r="BF8" s="98" t="s">
        <v>206</v>
      </c>
      <c r="BG8" s="314">
        <f>IF(AND(desc8_1=0,ob8_1=0),BG7,
IF(AND(desc8_1=0,ob8_1&gt;0),BG7*(1-ob8_1),BG7*(1-desc8_1)))</f>
        <v>684.99247650000007</v>
      </c>
      <c r="BH8" s="314">
        <f>IF(AND(desc8_1=0,ob8_1=0),BH7,
IF(AND(desc8_1=0,ob8_1&gt;0),BH7*(1-ob8_1),BH7*(1-desc8_1)))</f>
        <v>690.371840625</v>
      </c>
      <c r="BI8" s="314">
        <f>IF(AND(desc8_1=0,ob8_1=0),BI7,
IF(AND(desc8_1=0,ob8_1&gt;0),BI7*(1-ob8_1),BI7*(1-desc8_1)))</f>
        <v>695.59661162500004</v>
      </c>
      <c r="BJ8" s="314">
        <f>IF(AND(desc8_1=0,ob8_1=0),BJ7,
IF(AND(desc8_1=0,ob8_1&gt;0),BJ7*(1-ob8_1),BJ7*(1-desc8_1)))</f>
        <v>700.84444662500005</v>
      </c>
      <c r="BK8" s="314" t="s">
        <v>7</v>
      </c>
      <c r="BL8" s="511" t="s">
        <v>305</v>
      </c>
      <c r="BM8" s="96"/>
      <c r="BN8" s="98" t="s">
        <v>206</v>
      </c>
      <c r="BO8" s="314">
        <f>IF(AND(desc9_1=0,ob9_1=0),BO7,
IF(AND(desc9_1=0,ob9_1&gt;0),BO7*(1-ob9_1),BO7*(1-desc9_1)))</f>
        <v>684.99247650000007</v>
      </c>
      <c r="BP8" s="314">
        <f>IF(AND(desc9_1=0,ob9_1=0),BP7,
IF(AND(desc9_1=0,ob9_1&gt;0),BP7*(1-ob9_1),BP7*(1-desc9_1)))</f>
        <v>690.371840625</v>
      </c>
      <c r="BQ8" s="314">
        <f>IF(AND(desc9_1=0,ob9_1=0),BQ7,
IF(AND(desc9_1=0,ob9_1&gt;0),BQ7*(1-ob9_1),BQ7*(1-desc9_1)))</f>
        <v>695.59661162500004</v>
      </c>
      <c r="BR8" s="314">
        <f>IF(AND(desc9_1=0,ob9_1=0),BR7,
IF(AND(desc9_1=0,ob9_1&gt;0),BR7*(1-ob9_1),BR7*(1-desc9_1)))</f>
        <v>700.84444662500005</v>
      </c>
      <c r="BS8" s="314" t="s">
        <v>7</v>
      </c>
      <c r="BT8" s="511" t="s">
        <v>305</v>
      </c>
      <c r="BU8" s="96"/>
      <c r="BV8" s="98" t="s">
        <v>206</v>
      </c>
      <c r="BW8" s="314">
        <f>IF(AND(desc10_1=0,ob10_1=0),BW7,
IF(AND(desc10_1=0,ob10_1&gt;0),BW7*(1-ob10_1),BW7*(1-desc10_1)))</f>
        <v>684.99247650000007</v>
      </c>
      <c r="BX8" s="314">
        <f>IF(AND(desc10_1=0,ob10_1=0),BX7,
IF(AND(desc10_1=0,ob10_1&gt;0),BX7*(1-ob10_1),BX7*(1-desc10_1)))</f>
        <v>690.371840625</v>
      </c>
      <c r="BY8" s="314">
        <f>IF(AND(desc10_1=0,ob10_1=0),BY7,
IF(AND(desc10_1=0,ob10_1&gt;0),BY7*(1-ob10_1),BY7*(1-desc10_1)))</f>
        <v>695.59661162500004</v>
      </c>
      <c r="BZ8" s="314">
        <f>IF(AND(desc10_1=0,ob10_1=0),BZ7,
IF(AND(desc10_1=0,ob10_1&gt;0),BZ7*(1-ob10_1),BZ7*(1-desc10_1)))</f>
        <v>700.84444662500005</v>
      </c>
      <c r="CA8" s="314" t="s">
        <v>7</v>
      </c>
      <c r="CB8" s="511" t="s">
        <v>305</v>
      </c>
      <c r="CC8" s="96"/>
      <c r="CD8" s="98" t="s">
        <v>206</v>
      </c>
      <c r="CE8" s="314">
        <f>IF(AND(desc11_1=0,ob11_1=0),CE7,
IF(AND(desc11_1=0,ob11_1&gt;0),CE7*(1-ob11_1),CE7*(1-desc11_1)))</f>
        <v>684.99247650000007</v>
      </c>
      <c r="CF8" s="314">
        <f>IF(AND(desc11_1=0,ob11_1=0),CF7,
IF(AND(desc11_1=0,ob11_1&gt;0),CF7*(1-ob11_1),CF7*(1-desc11_1)))</f>
        <v>690.371840625</v>
      </c>
      <c r="CG8" s="314">
        <f>IF(AND(desc11_1=0,ob11_1=0),CG7,
IF(AND(desc11_1=0,ob11_1&gt;0),CG7*(1-ob11_1),CG7*(1-desc11_1)))</f>
        <v>695.59661162500004</v>
      </c>
      <c r="CH8" s="314">
        <f>IF(AND(desc11_1=0,ob11_1=0),CH7,
IF(AND(desc11_1=0,ob11_1&gt;0),CH7*(1-ob11_1),CH7*(1-desc11_1)))</f>
        <v>700.84444662500005</v>
      </c>
      <c r="CI8" s="314" t="s">
        <v>7</v>
      </c>
      <c r="CJ8" s="511" t="s">
        <v>305</v>
      </c>
      <c r="CK8" s="96"/>
      <c r="CL8" s="98" t="s">
        <v>206</v>
      </c>
      <c r="CM8" s="314">
        <f>IF(AND(desc12_1=0,ob12_1=0),CM7,
IF(AND(desc12_1=0,ob12_1&gt;0),CM7*(1-ob12_1),CM7*(1-desc12_1)))</f>
        <v>684.99247650000007</v>
      </c>
      <c r="CN8" s="314">
        <f>IF(AND(desc12_1=0,ob12_1=0),CN7,
IF(AND(desc12_1=0,ob12_1&gt;0),CN7*(1-ob12_1),CN7*(1-desc12_1)))</f>
        <v>690.371840625</v>
      </c>
      <c r="CO8" s="314">
        <f>IF(AND(desc12_1=0,ob12_1=0),CO7,
IF(AND(desc12_1=0,ob12_1&gt;0),CO7*(1-ob12_1),CO7*(1-desc12_1)))</f>
        <v>695.59661162500004</v>
      </c>
      <c r="CP8" s="314">
        <f>IF(AND(desc12_1=0,ob12_1=0),CP7,
IF(AND(desc12_1=0,ob12_1&gt;0),CP7*(1-ob12_1),CP7*(1-desc12_1)))</f>
        <v>700.84444662500005</v>
      </c>
      <c r="CQ8" s="314" t="s">
        <v>7</v>
      </c>
      <c r="CR8" s="511" t="s">
        <v>305</v>
      </c>
      <c r="CS8" s="96"/>
      <c r="CT8" s="98" t="s">
        <v>206</v>
      </c>
      <c r="CU8" s="314">
        <f>IF(AND(desc13_1=0,ob13_1=0),CU7,
IF(AND(desc13_1=0,ob13_1&gt;0),CU7*(1-ob13_1),CU7*(1-desc13_1)))</f>
        <v>684.99247650000007</v>
      </c>
      <c r="CV8" s="314">
        <f>IF(AND(desc13_1=0,ob13_1=0),CV7,
IF(AND(desc13_1=0,ob13_1&gt;0),CV7*(1-ob13_1),CV7*(1-desc13_1)))</f>
        <v>690.371840625</v>
      </c>
      <c r="CW8" s="314">
        <f>IF(AND(desc13_1=0,ob13_1=0),CW7,
IF(AND(desc13_1=0,ob13_1&gt;0),CW7*(1-ob13_1),CW7*(1-desc13_1)))</f>
        <v>695.59661162500004</v>
      </c>
      <c r="CX8" s="314">
        <f>IF(AND(desc13_1=0,ob13_1=0),CX7,
IF(AND(desc13_1=0,ob13_1&gt;0),CX7*(1-ob13_1),CX7*(1-desc13_1)))</f>
        <v>700.84444662500005</v>
      </c>
      <c r="CY8" s="314" t="s">
        <v>7</v>
      </c>
      <c r="CZ8" s="511" t="s">
        <v>305</v>
      </c>
      <c r="DA8" s="96"/>
      <c r="DB8" s="98" t="s">
        <v>206</v>
      </c>
      <c r="DC8" s="314">
        <f>IF(AND(desc14_1=0,ob14_1=0),DC7,
IF(AND(desc14_1=0,ob14_1&gt;0),DC7*(1-ob14_1),DC7*(1-desc14_1)))</f>
        <v>684.99247650000007</v>
      </c>
      <c r="DD8" s="314">
        <f>IF(AND(desc14_1=0,ob14_1=0),DD7,
IF(AND(desc14_1=0,ob14_1&gt;0),DD7*(1-ob14_1),DD7*(1-desc14_1)))</f>
        <v>690.371840625</v>
      </c>
      <c r="DE8" s="314">
        <f>IF(AND(desc14_1=0,ob14_1=0),DE7,
IF(AND(desc14_1=0,ob14_1&gt;0),DE7*(1-ob14_1),DE7*(1-desc14_1)))</f>
        <v>695.59661162500004</v>
      </c>
      <c r="DF8" s="314">
        <f>IF(AND(desc14_1=0,ob14_1=0),DF7,
IF(AND(desc14_1=0,ob14_1&gt;0),DF7*(1-ob14_1),DF7*(1-desc14_1)))</f>
        <v>700.84444662500005</v>
      </c>
      <c r="DG8" s="314" t="s">
        <v>7</v>
      </c>
      <c r="DH8" s="511" t="s">
        <v>305</v>
      </c>
      <c r="DI8" s="96"/>
    </row>
    <row r="9" spans="2:113" s="97" customFormat="1">
      <c r="B9" s="99" t="s">
        <v>207</v>
      </c>
      <c r="C9" s="80">
        <f>IF(ob1_1=0,0,
IF(desc1_1=0,C7*ob1_1,
IF(desc_por_ob="No",0,
IF(AND(desc_por_ob="Yes",ob1_1&gt;desc1_1),"wrong data",(C7*ob1_1)))))</f>
        <v>0</v>
      </c>
      <c r="D9" s="80">
        <f>IF(ob1_1=0,0,
IF(desc1_1=0,D7*ob1_1,
IF(desc_por_ob="No",0,
IF(AND(desc_por_ob="Yes",ob1_1&gt;desc1_1),"wrong data",(D7*ob1_1)))))</f>
        <v>0</v>
      </c>
      <c r="E9" s="80">
        <f>IF(ob1_1=0,0,
IF(desc1_1=0,E7*ob1_1,
IF(desc_por_ob="No",0,
IF(AND(desc_por_ob="Yes",ob1_1&gt;desc1_1),"wrong data",(E7*ob1_1)))))</f>
        <v>0</v>
      </c>
      <c r="F9" s="80">
        <f>IF(ob1_1=0,0,
IF(desc1_1=0,F7*ob1_1,
IF(desc_por_ob="No",0,
IF(AND(desc_por_ob="Yes",ob1_1&gt;desc1_1),"wrong data",(F7*ob1_1)))))</f>
        <v>0</v>
      </c>
      <c r="G9" s="80" t="s">
        <v>7</v>
      </c>
      <c r="H9" s="512"/>
      <c r="I9" s="96"/>
      <c r="J9" s="99" t="s">
        <v>207</v>
      </c>
      <c r="K9" s="80">
        <f>IF(ob2_1=0,0,
IF(desc2_1=0,K7*ob2_1,
IF(desc_por_ob="No",0,
IF(AND(desc_por_ob="Yes",ob2_1&gt;desc2_1),"wrong data",(K7*ob2_1)))))</f>
        <v>0</v>
      </c>
      <c r="L9" s="80">
        <f>IF(ob2_1=0,0,
IF(desc2_1=0,L7*ob2_1,
IF(desc_por_ob="No",0,
IF(AND(desc_por_ob="Yes",ob2_1&gt;desc2_1),"wrong data",(L7*ob2_1)))))</f>
        <v>0</v>
      </c>
      <c r="M9" s="80">
        <f>IF(ob2_1=0,0,
IF(desc2_1=0,M7*ob2_1,
IF(desc_por_ob="No",0,
IF(AND(desc_por_ob="Yes",ob2_1&gt;desc2_1),"wrong data",(M7*ob2_1)))))</f>
        <v>0</v>
      </c>
      <c r="N9" s="80">
        <f>IF(ob2_1=0,0,
IF(desc2_1=0,N7*ob2_1,
IF(desc_por_ob="No",0,
IF(AND(desc_por_ob="Yes",ob2_1&gt;desc2_1),"wrong data",(N7*ob2_1)))))</f>
        <v>0</v>
      </c>
      <c r="O9" s="80" t="s">
        <v>7</v>
      </c>
      <c r="P9" s="512"/>
      <c r="Q9" s="96"/>
      <c r="R9" s="99" t="s">
        <v>207</v>
      </c>
      <c r="S9" s="80">
        <f>IF(ob3_1=0,0,
IF(desc3_1=0,S7*ob3_1,
IF(desc_por_ob="No",0,
IF(AND(desc_por_ob="Yes",ob3_1&gt;desc3_1),"wrong data",(S7*ob3_1)))))</f>
        <v>0</v>
      </c>
      <c r="T9" s="80">
        <f>IF(ob3_1=0,0,
IF(desc3_1=0,T7*ob3_1,
IF(desc_por_ob="No",0,
IF(AND(desc_por_ob="Yes",ob3_1&gt;desc3_1),"wrong data",(T7*ob3_1)))))</f>
        <v>0</v>
      </c>
      <c r="U9" s="80">
        <f>IF(ob3_1=0,0,
IF(desc3_1=0,U7*ob3_1,
IF(desc_por_ob="No",0,
IF(AND(desc_por_ob="Yes",ob3_1&gt;desc3_1),"wrong data",(U7*ob3_1)))))</f>
        <v>0</v>
      </c>
      <c r="V9" s="80">
        <f>IF(ob3_1=0,0,
IF(desc3_1=0,V7*ob3_1,
IF(desc_por_ob="No",0,
IF(AND(desc_por_ob="Yes",ob3_1&gt;desc3_1),"wrong data",(V7*ob3_1)))))</f>
        <v>0</v>
      </c>
      <c r="W9" s="80" t="s">
        <v>7</v>
      </c>
      <c r="X9" s="512"/>
      <c r="Y9" s="96"/>
      <c r="Z9" s="99" t="s">
        <v>207</v>
      </c>
      <c r="AA9" s="80">
        <f>IF(ob4_1=0,0,
IF(desc4_1=0,AA7*ob4_1,
IF(desc_por_ob="No",0,
IF(AND(desc_por_ob="Yes",ob4_1&gt;desc4_1),"wrong data",(AA7*ob4_1)))))</f>
        <v>0</v>
      </c>
      <c r="AB9" s="80">
        <f>IF(ob4_1=0,0,
IF(desc4_1=0,AB7*ob4_1,
IF(desc_por_ob="No",0,
IF(AND(desc_por_ob="Yes",ob4_1&gt;desc4_1),"wrong data",(AB7*ob4_1)))))</f>
        <v>0</v>
      </c>
      <c r="AC9" s="80">
        <f>IF(ob4_1=0,0,
IF(desc4_1=0,AC7*ob4_1,
IF(desc_por_ob="No",0,
IF(AND(desc_por_ob="Yes",ob4_1&gt;desc4_1),"wrong data",(AC7*ob4_1)))))</f>
        <v>0</v>
      </c>
      <c r="AD9" s="80">
        <f>IF(ob4_1=0,0,
IF(desc4_1=0,AD7*ob4_1,
IF(desc_por_ob="No",0,
IF(AND(desc_por_ob="Yes",ob4_1&gt;desc4_1),"wrong data",(AD7*ob4_1)))))</f>
        <v>0</v>
      </c>
      <c r="AE9" s="80" t="s">
        <v>7</v>
      </c>
      <c r="AF9" s="512"/>
      <c r="AG9" s="96"/>
      <c r="AH9" s="99" t="s">
        <v>207</v>
      </c>
      <c r="AI9" s="80">
        <f>IF(ob5_1=0,0,
IF(desc5_1=0,AI7*ob5_1,
IF(desc_por_ob="No",0,
IF(AND(desc_por_ob="Yes",ob5_1&gt;desc5_1),"wrong data",(AI7*ob5_1)))))</f>
        <v>0</v>
      </c>
      <c r="AJ9" s="80">
        <f>IF(ob5_1=0,0,
IF(desc5_1=0,AJ7*ob5_1,
IF(desc_por_ob="No",0,
IF(AND(desc_por_ob="Yes",ob5_1&gt;desc5_1),"wrong data",(AJ7*ob5_1)))))</f>
        <v>0</v>
      </c>
      <c r="AK9" s="80">
        <f>IF(ob5_1=0,0,
IF(desc5_1=0,AK7*ob5_1,
IF(desc_por_ob="No",0,
IF(AND(desc_por_ob="Yes",ob5_1&gt;desc5_1),"wrong data",(AK7*ob5_1)))))</f>
        <v>0</v>
      </c>
      <c r="AL9" s="80">
        <f>IF(ob5_1=0,0,
IF(desc5_1=0,AL7*ob5_1,
IF(desc_por_ob="No",0,
IF(AND(desc_por_ob="Yes",ob5_1&gt;desc5_1),"wrong data",(AL7*ob5_1)))))</f>
        <v>0</v>
      </c>
      <c r="AM9" s="80" t="s">
        <v>7</v>
      </c>
      <c r="AN9" s="512"/>
      <c r="AO9" s="96"/>
      <c r="AP9" s="99" t="s">
        <v>207</v>
      </c>
      <c r="AQ9" s="80">
        <f>IF(ob6_1=0,0,
IF(desc6_1=0,AQ7*ob6_1,
IF(desc_por_ob="No",0,
IF(AND(desc_por_ob="Yes",ob6_1&gt;desc6_1),"wrong data",(AQ7*ob6_1)))))</f>
        <v>0</v>
      </c>
      <c r="AR9" s="80">
        <f>IF(ob6_1=0,0,
IF(desc6_1=0,AR7*ob6_1,
IF(desc_por_ob="No",0,
IF(AND(desc_por_ob="Yes",ob6_1&gt;desc6_1),"wrong data",(AR7*ob6_1)))))</f>
        <v>0</v>
      </c>
      <c r="AS9" s="80">
        <f>IF(ob6_1=0,0,
IF(desc6_1=0,AS7*ob6_1,
IF(desc_por_ob="No",0,
IF(AND(desc_por_ob="Yes",ob6_1&gt;desc6_1),"wrong data",(AS7*ob6_1)))))</f>
        <v>0</v>
      </c>
      <c r="AT9" s="80">
        <f>IF(ob6_1=0,0,
IF(desc6_1=0,AT7*ob6_1,
IF(desc_por_ob="No",0,
IF(AND(desc_por_ob="Yes",ob6_1&gt;desc6_1),"wrong data",(AT7*ob6_1)))))</f>
        <v>0</v>
      </c>
      <c r="AU9" s="80" t="s">
        <v>7</v>
      </c>
      <c r="AV9" s="512"/>
      <c r="AW9" s="96"/>
      <c r="AX9" s="99" t="s">
        <v>207</v>
      </c>
      <c r="AY9" s="80">
        <f>IF(ob7_1=0,0,
IF(desc7_1=0,AY7*ob7_1,
IF(desc_por_ob="No",0,
IF(AND(desc_por_ob="Yes",ob7_1&gt;desc7_1),"wrong data",(AY7*ob7_1)))))</f>
        <v>0</v>
      </c>
      <c r="AZ9" s="80">
        <f>IF(ob7_1=0,0,
IF(desc7_1=0,AZ7*ob7_1,
IF(desc_por_ob="No",0,
IF(AND(desc_por_ob="Yes",ob7_1&gt;desc7_1),"wrong data",(AZ7*ob7_1)))))</f>
        <v>0</v>
      </c>
      <c r="BA9" s="80">
        <f>IF(ob7_1=0,0,
IF(desc7_1=0,BA7*ob7_1,
IF(desc_por_ob="No",0,
IF(AND(desc_por_ob="Yes",ob7_1&gt;desc7_1),"wrong data",(BA7*ob7_1)))))</f>
        <v>0</v>
      </c>
      <c r="BB9" s="80">
        <f>IF(ob7_1=0,0,
IF(desc7_1=0,BB7*ob7_1,
IF(desc_por_ob="No",0,
IF(AND(desc_por_ob="Yes",ob7_1&gt;desc7_1),"wrong data",(BB7*ob7_1)))))</f>
        <v>0</v>
      </c>
      <c r="BC9" s="80" t="s">
        <v>7</v>
      </c>
      <c r="BD9" s="512"/>
      <c r="BE9" s="96"/>
      <c r="BF9" s="99" t="s">
        <v>207</v>
      </c>
      <c r="BG9" s="80">
        <f>IF(ob8_1=0,0,
IF(desc8_1=0,BG7*ob8_1,
IF(desc_por_ob="No",0,
IF(AND(desc_por_ob="Yes",ob8_1&gt;desc8_1),"wrong data",(BG7*ob8_1)))))</f>
        <v>0</v>
      </c>
      <c r="BH9" s="80">
        <f>IF(ob8_1=0,0,
IF(desc8_1=0,BH7*ob8_1,
IF(desc_por_ob="No",0,
IF(AND(desc_por_ob="Yes",ob8_1&gt;desc8_1),"wrong data",(BH7*ob8_1)))))</f>
        <v>0</v>
      </c>
      <c r="BI9" s="80">
        <f>IF(ob8_1=0,0,
IF(desc8_1=0,BI7*ob8_1,
IF(desc_por_ob="No",0,
IF(AND(desc_por_ob="Yes",ob8_1&gt;desc8_1),"wrong data",(BI7*ob8_1)))))</f>
        <v>0</v>
      </c>
      <c r="BJ9" s="80">
        <f>IF(ob8_1=0,0,
IF(desc8_1=0,BJ7*ob8_1,
IF(desc_por_ob="No",0,
IF(AND(desc_por_ob="Yes",ob8_1&gt;desc8_1),"wrong data",(BJ7*ob8_1)))))</f>
        <v>0</v>
      </c>
      <c r="BK9" s="80" t="s">
        <v>7</v>
      </c>
      <c r="BL9" s="512"/>
      <c r="BM9" s="96"/>
      <c r="BN9" s="99" t="s">
        <v>207</v>
      </c>
      <c r="BO9" s="80">
        <f>IF(ob9_1=0,0,
IF(desc9_1=0,BO7*ob9_1,
IF(desc_por_ob="No",0,
IF(AND(desc_por_ob="Yes",ob9_1&gt;desc9_1),"wrong data",(BO7*ob9_1)))))</f>
        <v>0</v>
      </c>
      <c r="BP9" s="80">
        <f>IF(ob9_1=0,0,
IF(desc9_1=0,BP7*ob9_1,
IF(desc_por_ob="No",0,
IF(AND(desc_por_ob="Yes",ob9_1&gt;desc9_1),"wrong data",(BP7*ob9_1)))))</f>
        <v>0</v>
      </c>
      <c r="BQ9" s="80">
        <f>IF(ob9_1=0,0,
IF(desc9_1=0,BQ7*ob9_1,
IF(desc_por_ob="No",0,
IF(AND(desc_por_ob="Yes",ob9_1&gt;desc9_1),"wrong data",(BQ7*ob9_1)))))</f>
        <v>0</v>
      </c>
      <c r="BR9" s="80">
        <f>IF(ob9_1=0,0,
IF(desc9_1=0,BR7*ob9_1,
IF(desc_por_ob="No",0,
IF(AND(desc_por_ob="Yes",ob9_1&gt;desc9_1),"wrong data",(BR7*ob9_1)))))</f>
        <v>0</v>
      </c>
      <c r="BS9" s="80" t="s">
        <v>7</v>
      </c>
      <c r="BT9" s="512"/>
      <c r="BU9" s="96"/>
      <c r="BV9" s="99" t="s">
        <v>207</v>
      </c>
      <c r="BW9" s="80">
        <f>IF(ob10_1=0,0,
IF(desc10_1=0,BW7*ob10_1,
IF(desc_por_ob="No",0,
IF(AND(desc_por_ob="Yes",ob10_1&gt;desc10_1),"wrong data",(BW7*ob10_1)))))</f>
        <v>0</v>
      </c>
      <c r="BX9" s="80">
        <f>IF(ob10_1=0,0,
IF(desc10_1=0,BX7*ob10_1,
IF(desc_por_ob="No",0,
IF(AND(desc_por_ob="Yes",ob10_1&gt;desc10_1),"wrong data",(BX7*ob10_1)))))</f>
        <v>0</v>
      </c>
      <c r="BY9" s="80">
        <f>IF(ob10_1=0,0,
IF(desc10_1=0,BY7*ob10_1,
IF(desc_por_ob="No",0,
IF(AND(desc_por_ob="Yes",ob10_1&gt;desc10_1),"wrong data",(BY7*ob10_1)))))</f>
        <v>0</v>
      </c>
      <c r="BZ9" s="80">
        <f>IF(ob10_1=0,0,
IF(desc10_1=0,BZ7*ob10_1,
IF(desc_por_ob="No",0,
IF(AND(desc_por_ob="Yes",ob10_1&gt;desc10_1),"wrong data",(BZ7*ob10_1)))))</f>
        <v>0</v>
      </c>
      <c r="CA9" s="80" t="s">
        <v>7</v>
      </c>
      <c r="CB9" s="512"/>
      <c r="CC9" s="96"/>
      <c r="CD9" s="99" t="s">
        <v>207</v>
      </c>
      <c r="CE9" s="80">
        <f>IF(ob11_1=0,0,
IF(desc11_1=0,CE7*ob11_1,
IF(desc_por_ob="No",0,
IF(AND(desc_por_ob="Yes",ob11_1&gt;desc11_1),"wrong data",(CE7*ob11_1)))))</f>
        <v>0</v>
      </c>
      <c r="CF9" s="80">
        <f>IF(ob11_1=0,0,
IF(desc11_1=0,CF7*ob11_1,
IF(desc_por_ob="No",0,
IF(AND(desc_por_ob="Yes",ob11_1&gt;desc11_1),"wrong data",(CF7*ob11_1)))))</f>
        <v>0</v>
      </c>
      <c r="CG9" s="80">
        <f>IF(ob11_1=0,0,
IF(desc11_1=0,CG7*ob11_1,
IF(desc_por_ob="No",0,
IF(AND(desc_por_ob="Yes",ob11_1&gt;desc11_1),"wrong data",(CG7*ob11_1)))))</f>
        <v>0</v>
      </c>
      <c r="CH9" s="80">
        <f>IF(ob11_1=0,0,
IF(desc11_1=0,CH7*ob11_1,
IF(desc_por_ob="No",0,
IF(AND(desc_por_ob="Yes",ob11_1&gt;desc11_1),"wrong data",(CH7*ob11_1)))))</f>
        <v>0</v>
      </c>
      <c r="CI9" s="80" t="s">
        <v>7</v>
      </c>
      <c r="CJ9" s="512"/>
      <c r="CK9" s="96"/>
      <c r="CL9" s="99" t="s">
        <v>207</v>
      </c>
      <c r="CM9" s="80">
        <f>IF(ob12_1=0,0,
IF(desc12_1=0,CM7*ob12_1,
IF(desc_por_ob="No",0,
IF(AND(desc_por_ob="Yes",ob12_1&gt;desc12_1),"wrong data",(CM7*ob12_1)))))</f>
        <v>0</v>
      </c>
      <c r="CN9" s="80">
        <f>IF(ob12_1=0,0,
IF(desc12_1=0,CN7*ob12_1,
IF(desc_por_ob="No",0,
IF(AND(desc_por_ob="Yes",ob12_1&gt;desc12_1),"wrong data",(CN7*ob12_1)))))</f>
        <v>0</v>
      </c>
      <c r="CO9" s="80">
        <f>IF(ob12_1=0,0,
IF(desc12_1=0,CO7*ob12_1,
IF(desc_por_ob="No",0,
IF(AND(desc_por_ob="Yes",ob12_1&gt;desc12_1),"wrong data",(CO7*ob12_1)))))</f>
        <v>0</v>
      </c>
      <c r="CP9" s="80">
        <f>IF(ob12_1=0,0,
IF(desc12_1=0,CP7*ob12_1,
IF(desc_por_ob="No",0,
IF(AND(desc_por_ob="Yes",ob12_1&gt;desc12_1),"wrong data",(CP7*ob12_1)))))</f>
        <v>0</v>
      </c>
      <c r="CQ9" s="80" t="s">
        <v>7</v>
      </c>
      <c r="CR9" s="512"/>
      <c r="CS9" s="96"/>
      <c r="CT9" s="99" t="s">
        <v>207</v>
      </c>
      <c r="CU9" s="80">
        <f>IF(ob13_1=0,0,
IF(desc13_1=0,CU7*ob13_1,
IF(desc_por_ob="No",0,
IF(AND(desc_por_ob="Yes",ob13_1&gt;desc13_1),"wrong data",(CU7*ob13_1)))))</f>
        <v>0</v>
      </c>
      <c r="CV9" s="80">
        <f>IF(ob13_1=0,0,
IF(desc13_1=0,CV7*ob13_1,
IF(desc_por_ob="No",0,
IF(AND(desc_por_ob="Yes",ob13_1&gt;desc13_1),"wrong data",(CV7*ob13_1)))))</f>
        <v>0</v>
      </c>
      <c r="CW9" s="80">
        <f>IF(ob13_1=0,0,
IF(desc13_1=0,CW7*ob13_1,
IF(desc_por_ob="No",0,
IF(AND(desc_por_ob="Yes",ob13_1&gt;desc13_1),"wrong data",(CW7*ob13_1)))))</f>
        <v>0</v>
      </c>
      <c r="CX9" s="80">
        <f>IF(ob13_1=0,0,
IF(desc13_1=0,CX7*ob13_1,
IF(desc_por_ob="No",0,
IF(AND(desc_por_ob="Yes",ob13_1&gt;desc13_1),"wrong data",(CX7*ob13_1)))))</f>
        <v>0</v>
      </c>
      <c r="CY9" s="80" t="s">
        <v>7</v>
      </c>
      <c r="CZ9" s="512"/>
      <c r="DA9" s="96"/>
      <c r="DB9" s="99" t="s">
        <v>207</v>
      </c>
      <c r="DC9" s="80">
        <f>IF(ob14_1=0,0,
IF(desc14_1=0,DC7*ob14_1,
IF(desc_por_ob="No",0,
IF(AND(desc_por_ob="Yes",ob14_1&gt;desc14_1),"wrong data",(DC7*ob14_1)))))</f>
        <v>0</v>
      </c>
      <c r="DD9" s="80">
        <f>IF(ob14_1=0,0,
IF(desc14_1=0,DD7*ob14_1,
IF(desc_por_ob="No",0,
IF(AND(desc_por_ob="Yes",ob14_1&gt;desc14_1),"wrong data",(DD7*ob14_1)))))</f>
        <v>0</v>
      </c>
      <c r="DE9" s="80">
        <f>IF(ob14_1=0,0,
IF(desc14_1=0,DE7*ob14_1,
IF(desc_por_ob="No",0,
IF(AND(desc_por_ob="Yes",ob14_1&gt;desc14_1),"wrong data",(DE7*ob14_1)))))</f>
        <v>0</v>
      </c>
      <c r="DF9" s="80">
        <f>IF(ob14_1=0,0,
IF(desc14_1=0,DF7*ob14_1,
IF(desc_por_ob="No",0,
IF(AND(desc_por_ob="Yes",ob14_1&gt;desc14_1),"wrong data",(DF7*ob14_1)))))</f>
        <v>0</v>
      </c>
      <c r="DG9" s="80" t="s">
        <v>7</v>
      </c>
      <c r="DH9" s="512"/>
      <c r="DI9" s="96"/>
    </row>
    <row r="10" spans="2:113" s="97" customFormat="1" ht="15" thickBot="1">
      <c r="B10" s="100" t="str">
        <f>IF(OR(uso=3,uso=4),"Progressed","Discontinued")</f>
        <v>Discontinued</v>
      </c>
      <c r="C10" s="315">
        <f>IF(desc1_1=0,0,
IF(AND(desc_por_ob="Yes",ob1_1&gt;desc1_1),"wrong data",C7-C8-C9))</f>
        <v>34.249623825000072</v>
      </c>
      <c r="D10" s="315">
        <f>IF(desc1_1=0,0,
IF(AND(desc_por_ob="Yes",ob1_1&gt;desc1_1),"wrong data",D7-D8-D9))</f>
        <v>34.518592031250023</v>
      </c>
      <c r="E10" s="315">
        <f>IF(desc1_1=0,0,
IF(AND(desc_por_ob="Yes",ob1_1&gt;desc1_1),"wrong data",E7-E8-E9))</f>
        <v>34.779830581250053</v>
      </c>
      <c r="F10" s="315">
        <f>IF(desc1_1=0,0,
IF(AND(desc_por_ob="Yes",ob1_1&gt;desc1_1),"wrong data",F7-F8-F9))</f>
        <v>35.042222331250059</v>
      </c>
      <c r="G10" s="315" t="s">
        <v>7</v>
      </c>
      <c r="H10" s="513"/>
      <c r="I10" s="96"/>
      <c r="J10" s="100" t="str">
        <f>IF(OR(uso=3,uso=4),"Progressed","Discontinued")</f>
        <v>Discontinued</v>
      </c>
      <c r="K10" s="315">
        <f>IF(desc2_1=0,0,
IF(AND(desc_por_ob="Yes",ob2_1&gt;desc2_1),"wrong data",K7-K8-K9))</f>
        <v>13.699849530000051</v>
      </c>
      <c r="L10" s="315">
        <f>IF(desc2_1=0,0,
IF(AND(desc_por_ob="Yes",ob2_1&gt;desc2_1),"wrong data",L7-L8-L9))</f>
        <v>13.807436812499986</v>
      </c>
      <c r="M10" s="315">
        <f>IF(desc2_1=0,0,
IF(AND(desc_por_ob="Yes",ob2_1&gt;desc2_1),"wrong data",M7-M8-M9))</f>
        <v>13.911932232500021</v>
      </c>
      <c r="N10" s="315">
        <f>IF(desc2_1=0,0,
IF(AND(desc_por_ob="Yes",ob2_1&gt;desc2_1),"wrong data",N7-N8-N9))</f>
        <v>14.016888932500024</v>
      </c>
      <c r="O10" s="315" t="s">
        <v>7</v>
      </c>
      <c r="P10" s="513"/>
      <c r="Q10" s="96"/>
      <c r="R10" s="100" t="s">
        <v>208</v>
      </c>
      <c r="S10" s="315">
        <f>IF(desc3_1=0,0,
IF(AND(desc_por_ob="Yes",ob3_1&gt;desc3_1),"wrong data",S7-S8-S9))</f>
        <v>0</v>
      </c>
      <c r="T10" s="315">
        <f>IF(desc3_1=0,0,
IF(AND(desc_por_ob="Yes",ob3_1&gt;desc3_1),"wrong data",T7-T8-T9))</f>
        <v>0</v>
      </c>
      <c r="U10" s="315">
        <f>IF(desc3_1=0,0,
IF(AND(desc_por_ob="Yes",ob3_1&gt;desc3_1),"wrong data",U7-U8-U9))</f>
        <v>0</v>
      </c>
      <c r="V10" s="315">
        <f>IF(desc3_1=0,0,
IF(AND(desc_por_ob="Yes",ob3_1&gt;desc3_1),"wrong data",V7-V8-V9))</f>
        <v>0</v>
      </c>
      <c r="W10" s="315" t="s">
        <v>7</v>
      </c>
      <c r="X10" s="513"/>
      <c r="Y10" s="96"/>
      <c r="Z10" s="100" t="s">
        <v>208</v>
      </c>
      <c r="AA10" s="315">
        <f>IF(desc4_1=0,0,
IF(AND(desc_por_ob="Yes",ob4_1&gt;desc4_1),"wrong data",AA7-AA8-AA9))</f>
        <v>0</v>
      </c>
      <c r="AB10" s="315">
        <f>IF(desc4_1=0,0,
IF(AND(desc_por_ob="Yes",ob4_1&gt;desc4_1),"wrong data",AB7-AB8-AB9))</f>
        <v>0</v>
      </c>
      <c r="AC10" s="315">
        <f>IF(desc4_1=0,0,
IF(AND(desc_por_ob="Yes",ob4_1&gt;desc4_1),"wrong data",AC7-AC8-AC9))</f>
        <v>0</v>
      </c>
      <c r="AD10" s="315">
        <f>IF(desc4_1=0,0,
IF(AND(desc_por_ob="Yes",ob4_1&gt;desc4_1),"wrong data",AD7-AD8-AD9))</f>
        <v>0</v>
      </c>
      <c r="AE10" s="315" t="s">
        <v>7</v>
      </c>
      <c r="AF10" s="513"/>
      <c r="AG10" s="96"/>
      <c r="AH10" s="100" t="s">
        <v>208</v>
      </c>
      <c r="AI10" s="315">
        <f>IF(desc5_1=0,0,
IF(AND(desc_por_ob="Yes",ob5_1&gt;desc5_1),"wrong data",AI7-AI8-AI9))</f>
        <v>0</v>
      </c>
      <c r="AJ10" s="315">
        <f>IF(desc5_1=0,0,
IF(AND(desc_por_ob="Yes",ob5_1&gt;desc5_1),"wrong data",AJ7-AJ8-AJ9))</f>
        <v>0</v>
      </c>
      <c r="AK10" s="315">
        <f>IF(desc5_1=0,0,
IF(AND(desc_por_ob="Yes",ob5_1&gt;desc5_1),"wrong data",AK7-AK8-AK9))</f>
        <v>0</v>
      </c>
      <c r="AL10" s="315">
        <f>IF(desc5_1=0,0,
IF(AND(desc_por_ob="Yes",ob5_1&gt;desc5_1),"wrong data",AL7-AL8-AL9))</f>
        <v>0</v>
      </c>
      <c r="AM10" s="315" t="s">
        <v>7</v>
      </c>
      <c r="AN10" s="513"/>
      <c r="AO10" s="96"/>
      <c r="AP10" s="100" t="s">
        <v>208</v>
      </c>
      <c r="AQ10" s="315">
        <f>IF(desc6_1=0,0,
IF(AND(desc_por_ob="Yes",ob6_1&gt;desc6_1),"wrong data",AQ7-AQ8-AQ9))</f>
        <v>0</v>
      </c>
      <c r="AR10" s="315">
        <f>IF(desc6_1=0,0,
IF(AND(desc_por_ob="Yes",ob6_1&gt;desc6_1),"wrong data",AR7-AR8-AR9))</f>
        <v>0</v>
      </c>
      <c r="AS10" s="315">
        <f>IF(desc6_1=0,0,
IF(AND(desc_por_ob="Yes",ob6_1&gt;desc6_1),"wrong data",AS7-AS8-AS9))</f>
        <v>0</v>
      </c>
      <c r="AT10" s="315">
        <f>IF(desc6_1=0,0,
IF(AND(desc_por_ob="Yes",ob6_1&gt;desc6_1),"wrong data",AT7-AT8-AT9))</f>
        <v>0</v>
      </c>
      <c r="AU10" s="315" t="s">
        <v>7</v>
      </c>
      <c r="AV10" s="513"/>
      <c r="AW10" s="96"/>
      <c r="AX10" s="100" t="s">
        <v>208</v>
      </c>
      <c r="AY10" s="315">
        <f>IF(desc7_1=0,0,
IF(AND(desc_por_ob="Yes",ob7_1&gt;desc7_1),"wrong data",AY7-AY8-AY9))</f>
        <v>0</v>
      </c>
      <c r="AZ10" s="315">
        <f>IF(desc7_1=0,0,
IF(AND(desc_por_ob="Yes",ob7_1&gt;desc7_1),"wrong data",AZ7-AZ8-AZ9))</f>
        <v>0</v>
      </c>
      <c r="BA10" s="315">
        <f>IF(desc7_1=0,0,
IF(AND(desc_por_ob="Yes",ob7_1&gt;desc7_1),"wrong data",BA7-BA8-BA9))</f>
        <v>0</v>
      </c>
      <c r="BB10" s="315">
        <f>IF(desc7_1=0,0,
IF(AND(desc_por_ob="Yes",ob7_1&gt;desc7_1),"wrong data",BB7-BB8-BB9))</f>
        <v>0</v>
      </c>
      <c r="BC10" s="315" t="s">
        <v>7</v>
      </c>
      <c r="BD10" s="513"/>
      <c r="BE10" s="96"/>
      <c r="BF10" s="100" t="s">
        <v>208</v>
      </c>
      <c r="BG10" s="315">
        <f>IF(desc8_1=0,0,
IF(AND(desc_por_ob="Yes",ob8_1&gt;desc8_1),"wrong data",BG7-BG8-BG9))</f>
        <v>0</v>
      </c>
      <c r="BH10" s="315">
        <f>IF(desc8_1=0,0,
IF(AND(desc_por_ob="Yes",ob8_1&gt;desc8_1),"wrong data",BH7-BH8-BH9))</f>
        <v>0</v>
      </c>
      <c r="BI10" s="315">
        <f>IF(desc8_1=0,0,
IF(AND(desc_por_ob="Yes",ob8_1&gt;desc8_1),"wrong data",BI7-BI8-BI9))</f>
        <v>0</v>
      </c>
      <c r="BJ10" s="315">
        <f>IF(desc8_1=0,0,
IF(AND(desc_por_ob="Yes",ob8_1&gt;desc8_1),"wrong data",BJ7-BJ8-BJ9))</f>
        <v>0</v>
      </c>
      <c r="BK10" s="315" t="s">
        <v>7</v>
      </c>
      <c r="BL10" s="513"/>
      <c r="BM10" s="96"/>
      <c r="BN10" s="100" t="s">
        <v>208</v>
      </c>
      <c r="BO10" s="315">
        <f>IF(desc9_1=0,0,
IF(AND(desc_por_ob="Yes",ob9_1&gt;desc9_1),"wrong data",BO7-BO8-BO9))</f>
        <v>0</v>
      </c>
      <c r="BP10" s="315">
        <f>IF(desc9_1=0,0,
IF(AND(desc_por_ob="Yes",ob9_1&gt;desc9_1),"wrong data",BP7-BP8-BP9))</f>
        <v>0</v>
      </c>
      <c r="BQ10" s="315">
        <f>IF(desc9_1=0,0,
IF(AND(desc_por_ob="Yes",ob9_1&gt;desc9_1),"wrong data",BQ7-BQ8-BQ9))</f>
        <v>0</v>
      </c>
      <c r="BR10" s="315">
        <f>IF(desc9_1=0,0,
IF(AND(desc_por_ob="Yes",ob9_1&gt;desc9_1),"wrong data",BR7-BR8-BR9))</f>
        <v>0</v>
      </c>
      <c r="BS10" s="315" t="s">
        <v>7</v>
      </c>
      <c r="BT10" s="513"/>
      <c r="BU10" s="96"/>
      <c r="BV10" s="100" t="s">
        <v>208</v>
      </c>
      <c r="BW10" s="315">
        <f>IF(desc10_1=0,0,
IF(AND(desc_por_ob="Yes",ob10_1&gt;desc10_1),"wrong data",BW7-BW8-BW9))</f>
        <v>0</v>
      </c>
      <c r="BX10" s="315">
        <f>IF(desc10_1=0,0,
IF(AND(desc_por_ob="Yes",ob10_1&gt;desc10_1),"wrong data",BX7-BX8-BX9))</f>
        <v>0</v>
      </c>
      <c r="BY10" s="315">
        <f>IF(desc10_1=0,0,
IF(AND(desc_por_ob="Yes",ob10_1&gt;desc10_1),"wrong data",BY7-BY8-BY9))</f>
        <v>0</v>
      </c>
      <c r="BZ10" s="315">
        <f>IF(desc10_1=0,0,
IF(AND(desc_por_ob="Yes",ob10_1&gt;desc10_1),"wrong data",BZ7-BZ8-BZ9))</f>
        <v>0</v>
      </c>
      <c r="CA10" s="315" t="s">
        <v>7</v>
      </c>
      <c r="CB10" s="513"/>
      <c r="CC10" s="96"/>
      <c r="CD10" s="100" t="s">
        <v>208</v>
      </c>
      <c r="CE10" s="315">
        <f>IF(desc11_1=0,0,
IF(AND(desc_por_ob="Yes",ob11_1&gt;desc11_1),"wrong data",CE7-CE8-CE9))</f>
        <v>0</v>
      </c>
      <c r="CF10" s="315">
        <f>IF(desc11_1=0,0,
IF(AND(desc_por_ob="Yes",ob11_1&gt;desc11_1),"wrong data",CF7-CF8-CF9))</f>
        <v>0</v>
      </c>
      <c r="CG10" s="315">
        <f>IF(desc11_1=0,0,
IF(AND(desc_por_ob="Yes",ob11_1&gt;desc11_1),"wrong data",CG7-CG8-CG9))</f>
        <v>0</v>
      </c>
      <c r="CH10" s="315">
        <f>IF(desc11_1=0,0,
IF(AND(desc_por_ob="Yes",ob11_1&gt;desc11_1),"wrong data",CH7-CH8-CH9))</f>
        <v>0</v>
      </c>
      <c r="CI10" s="315" t="s">
        <v>7</v>
      </c>
      <c r="CJ10" s="513"/>
      <c r="CK10" s="96"/>
      <c r="CL10" s="100" t="s">
        <v>208</v>
      </c>
      <c r="CM10" s="315">
        <f>IF(desc12_1=0,0,
IF(AND(desc_por_ob="Yes",ob12_1&gt;desc12_1),"wrong data",CM7-CM8-CM9))</f>
        <v>0</v>
      </c>
      <c r="CN10" s="315">
        <f>IF(desc12_1=0,0,
IF(AND(desc_por_ob="Yes",ob12_1&gt;desc12_1),"wrong data",CN7-CN8-CN9))</f>
        <v>0</v>
      </c>
      <c r="CO10" s="315">
        <f>IF(desc12_1=0,0,
IF(AND(desc_por_ob="Yes",ob12_1&gt;desc12_1),"wrong data",CO7-CO8-CO9))</f>
        <v>0</v>
      </c>
      <c r="CP10" s="315">
        <f>IF(desc12_1=0,0,
IF(AND(desc_por_ob="Yes",ob12_1&gt;desc12_1),"wrong data",CP7-CP8-CP9))</f>
        <v>0</v>
      </c>
      <c r="CQ10" s="315" t="s">
        <v>7</v>
      </c>
      <c r="CR10" s="513"/>
      <c r="CS10" s="96"/>
      <c r="CT10" s="100" t="s">
        <v>208</v>
      </c>
      <c r="CU10" s="315">
        <f>IF(desc13_1=0,0,
IF(AND(desc_por_ob="Yes",ob13_1&gt;desc13_1),"wrong data",CU7-CU8-CU9))</f>
        <v>0</v>
      </c>
      <c r="CV10" s="315">
        <f>IF(desc13_1=0,0,
IF(AND(desc_por_ob="Yes",ob13_1&gt;desc13_1),"wrong data",CV7-CV8-CV9))</f>
        <v>0</v>
      </c>
      <c r="CW10" s="315">
        <f>IF(desc13_1=0,0,
IF(AND(desc_por_ob="Yes",ob13_1&gt;desc13_1),"wrong data",CW7-CW8-CW9))</f>
        <v>0</v>
      </c>
      <c r="CX10" s="315">
        <f>IF(desc13_1=0,0,
IF(AND(desc_por_ob="Yes",ob13_1&gt;desc13_1),"wrong data",CX7-CX8-CX9))</f>
        <v>0</v>
      </c>
      <c r="CY10" s="315" t="s">
        <v>7</v>
      </c>
      <c r="CZ10" s="513"/>
      <c r="DA10" s="96"/>
      <c r="DB10" s="100" t="s">
        <v>208</v>
      </c>
      <c r="DC10" s="315">
        <f>IF(desc14_1=0,0,
IF(AND(desc_por_ob="Yes",ob14_1&gt;desc14_1),"wrong data",DC7-DC8-DC9))</f>
        <v>0</v>
      </c>
      <c r="DD10" s="315">
        <f>IF(desc14_1=0,0,
IF(AND(desc_por_ob="Yes",ob14_1&gt;desc14_1),"wrong data",DD7-DD8-DD9))</f>
        <v>0</v>
      </c>
      <c r="DE10" s="315">
        <f>IF(desc14_1=0,0,
IF(AND(desc_por_ob="Yes",ob14_1&gt;desc14_1),"wrong data",DE7-DE8-DE9))</f>
        <v>0</v>
      </c>
      <c r="DF10" s="315">
        <f>IF(desc14_1=0,0,
IF(AND(desc_por_ob="Yes",ob14_1&gt;desc14_1),"wrong data",DF7-DF8-DF9))</f>
        <v>0</v>
      </c>
      <c r="DG10" s="315" t="s">
        <v>7</v>
      </c>
      <c r="DH10" s="513"/>
      <c r="DI10" s="96"/>
    </row>
    <row r="11" spans="2:113" s="97" customFormat="1" ht="15" customHeight="1">
      <c r="B11" s="98" t="str">
        <f>IF(OR(uso=3,uso=4),"Progression-free","On treatment")</f>
        <v>On treatment</v>
      </c>
      <c r="C11" s="314">
        <f>IF(AND(desc1_2=0,ob1_2=0),C8,
IF(AND(desc1_2=0,ob1_2&gt;0),C7*(1-ob1_2),C7*(1-desc1_2)))</f>
        <v>616.49322885000004</v>
      </c>
      <c r="D11" s="314">
        <f>IF(AND(desc1_2=0,ob1_2=0),D8,
IF(AND(desc1_2=0,ob1_2&gt;0),D7*(1-ob1_2),D7*(1-desc1_2)))</f>
        <v>621.33465656250007</v>
      </c>
      <c r="E11" s="314">
        <f>IF(AND(desc1_2=0,ob1_2=0),E8,
IF(AND(desc1_2=0,ob1_2&gt;0),E7*(1-ob1_2),E7*(1-desc1_2)))</f>
        <v>626.03695046250004</v>
      </c>
      <c r="F11" s="314" t="s">
        <v>7</v>
      </c>
      <c r="G11" s="314" t="s">
        <v>7</v>
      </c>
      <c r="H11" s="511" t="s">
        <v>306</v>
      </c>
      <c r="I11" s="96"/>
      <c r="J11" s="98" t="str">
        <f>IF(OR(uso=3,uso=4),"Progression-free","On treatment")</f>
        <v>On treatment</v>
      </c>
      <c r="K11" s="314">
        <f>IF(AND(desc2_2=0,ob2_2=0),K8,
IF(AND(desc2_2=0,ob2_2&gt;0),K7*(1-ob2_2),K7*(1-desc2_2)))</f>
        <v>657.59277744000008</v>
      </c>
      <c r="L11" s="314">
        <f>IF(AND(desc2_2=0,ob2_2=0),L8,
IF(AND(desc2_2=0,ob2_2&gt;0),L7*(1-ob2_2),L7*(1-desc2_2)))</f>
        <v>662.75696700000003</v>
      </c>
      <c r="M11" s="314">
        <f>IF(AND(desc2_2=0,ob2_2=0),M8,
IF(AND(desc2_2=0,ob2_2&gt;0),M7*(1-ob2_2),M7*(1-desc2_2)))</f>
        <v>667.77274715999999</v>
      </c>
      <c r="N11" s="314" t="s">
        <v>7</v>
      </c>
      <c r="O11" s="314" t="s">
        <v>7</v>
      </c>
      <c r="P11" s="511" t="s">
        <v>306</v>
      </c>
      <c r="Q11" s="96"/>
      <c r="R11" s="98" t="s">
        <v>206</v>
      </c>
      <c r="S11" s="314">
        <f>IF(AND(desc3_2=0,ob3_2=0),S8,
IF(AND(desc3_2=0,ob3_2&gt;0),S7*(1-ob3_2),S7*(1-desc3_2)))</f>
        <v>684.99247650000007</v>
      </c>
      <c r="T11" s="314">
        <f>IF(AND(desc3_2=0,ob3_2=0),T8,
IF(AND(desc3_2=0,ob3_2&gt;0),T7*(1-ob3_2),T7*(1-desc3_2)))</f>
        <v>690.371840625</v>
      </c>
      <c r="U11" s="314">
        <f>IF(AND(desc3_2=0,ob3_2=0),U8,
IF(AND(desc3_2=0,ob3_2&gt;0),U7*(1-ob3_2),U7*(1-desc3_2)))</f>
        <v>695.59661162500004</v>
      </c>
      <c r="V11" s="314" t="s">
        <v>7</v>
      </c>
      <c r="W11" s="314" t="s">
        <v>7</v>
      </c>
      <c r="X11" s="511" t="s">
        <v>306</v>
      </c>
      <c r="Y11" s="96"/>
      <c r="Z11" s="98" t="s">
        <v>206</v>
      </c>
      <c r="AA11" s="314">
        <f>IF(AND(desc4_2=0,ob4_2=0),AA8,
IF(AND(desc4_2=0,ob4_2&gt;0),AA7*(1-ob4_2),AA7*(1-desc4_2)))</f>
        <v>684.99247650000007</v>
      </c>
      <c r="AB11" s="314">
        <f>IF(AND(desc4_2=0,ob4_2=0),AB8,
IF(AND(desc4_2=0,ob4_2&gt;0),AB7*(1-ob4_2),AB7*(1-desc4_2)))</f>
        <v>690.371840625</v>
      </c>
      <c r="AC11" s="314">
        <f>IF(AND(desc4_2=0,ob4_2=0),AC8,
IF(AND(desc4_2=0,ob4_2&gt;0),AC7*(1-ob4_2),AC7*(1-desc4_2)))</f>
        <v>695.59661162500004</v>
      </c>
      <c r="AD11" s="314" t="s">
        <v>7</v>
      </c>
      <c r="AE11" s="314" t="s">
        <v>7</v>
      </c>
      <c r="AF11" s="511" t="s">
        <v>306</v>
      </c>
      <c r="AG11" s="96"/>
      <c r="AH11" s="98" t="s">
        <v>206</v>
      </c>
      <c r="AI11" s="314">
        <f>IF(AND(desc5_2=0,ob5_2=0),AI8,
IF(AND(desc5_2=0,ob5_2&gt;0),AI7*(1-ob5_2),AI7*(1-desc5_2)))</f>
        <v>684.99247650000007</v>
      </c>
      <c r="AJ11" s="314">
        <f>IF(AND(desc5_2=0,ob5_2=0),AJ8,
IF(AND(desc5_2=0,ob5_2&gt;0),AJ7*(1-ob5_2),AJ7*(1-desc5_2)))</f>
        <v>690.371840625</v>
      </c>
      <c r="AK11" s="314">
        <f>IF(AND(desc5_2=0,ob5_2=0),AK8,
IF(AND(desc5_2=0,ob5_2&gt;0),AK7*(1-ob5_2),AK7*(1-desc5_2)))</f>
        <v>695.59661162500004</v>
      </c>
      <c r="AL11" s="314" t="s">
        <v>7</v>
      </c>
      <c r="AM11" s="314" t="s">
        <v>7</v>
      </c>
      <c r="AN11" s="511" t="s">
        <v>306</v>
      </c>
      <c r="AO11" s="96"/>
      <c r="AP11" s="98" t="s">
        <v>206</v>
      </c>
      <c r="AQ11" s="314">
        <f>IF(AND(desc6_2=0,ob6_2=0),AQ8,
IF(AND(desc6_2=0,ob6_2&gt;0),AQ7*(1-ob6_2),AQ7*(1-desc6_2)))</f>
        <v>684.99247650000007</v>
      </c>
      <c r="AR11" s="314">
        <f>IF(AND(desc6_2=0,ob6_2=0),AR8,
IF(AND(desc6_2=0,ob6_2&gt;0),AR7*(1-ob6_2),AR7*(1-desc6_2)))</f>
        <v>690.371840625</v>
      </c>
      <c r="AS11" s="314">
        <f>IF(AND(desc6_2=0,ob6_2=0),AS8,
IF(AND(desc6_2=0,ob6_2&gt;0),AS7*(1-ob6_2),AS7*(1-desc6_2)))</f>
        <v>695.59661162500004</v>
      </c>
      <c r="AT11" s="314" t="s">
        <v>7</v>
      </c>
      <c r="AU11" s="314" t="s">
        <v>7</v>
      </c>
      <c r="AV11" s="511" t="s">
        <v>306</v>
      </c>
      <c r="AW11" s="96"/>
      <c r="AX11" s="98" t="s">
        <v>206</v>
      </c>
      <c r="AY11" s="314">
        <f>IF(AND(desc7_2=0,ob7_2=0),AY8,
IF(AND(desc7_2=0,ob7_2&gt;0),AY7*(1-ob7_2),AY7*(1-desc7_2)))</f>
        <v>684.99247650000007</v>
      </c>
      <c r="AZ11" s="314">
        <f>IF(AND(desc7_2=0,ob7_2=0),AZ8,
IF(AND(desc7_2=0,ob7_2&gt;0),AZ7*(1-ob7_2),AZ7*(1-desc7_2)))</f>
        <v>690.371840625</v>
      </c>
      <c r="BA11" s="314">
        <f>IF(AND(desc7_2=0,ob7_2=0),BA8,
IF(AND(desc7_2=0,ob7_2&gt;0),BA7*(1-ob7_2),BA7*(1-desc7_2)))</f>
        <v>695.59661162500004</v>
      </c>
      <c r="BB11" s="314" t="s">
        <v>7</v>
      </c>
      <c r="BC11" s="314" t="s">
        <v>7</v>
      </c>
      <c r="BD11" s="511" t="s">
        <v>306</v>
      </c>
      <c r="BE11" s="96"/>
      <c r="BF11" s="98" t="s">
        <v>206</v>
      </c>
      <c r="BG11" s="314">
        <f>IF(AND(desc8_2=0,ob8_2=0),BG8,
IF(AND(desc8_2=0,ob8_2&gt;0),BG7*(1-ob8_2),BG7*(1-desc8_2)))</f>
        <v>684.99247650000007</v>
      </c>
      <c r="BH11" s="314">
        <f>IF(AND(desc8_2=0,ob8_2=0),BH8,
IF(AND(desc8_2=0,ob8_2&gt;0),BH7*(1-ob8_2),BH7*(1-desc8_2)))</f>
        <v>690.371840625</v>
      </c>
      <c r="BI11" s="314">
        <f>IF(AND(desc8_2=0,ob8_2=0),BI8,
IF(AND(desc8_2=0,ob8_2&gt;0),BI7*(1-ob8_2),BI7*(1-desc8_2)))</f>
        <v>695.59661162500004</v>
      </c>
      <c r="BJ11" s="314" t="s">
        <v>7</v>
      </c>
      <c r="BK11" s="314" t="s">
        <v>7</v>
      </c>
      <c r="BL11" s="511" t="s">
        <v>306</v>
      </c>
      <c r="BM11" s="96"/>
      <c r="BN11" s="98" t="s">
        <v>206</v>
      </c>
      <c r="BO11" s="314">
        <f>IF(AND(desc9_2=0,ob9_2=0),BO8,
IF(AND(desc9_2=0,ob9_2&gt;0),BO7*(1-ob9_2),BO7*(1-desc9_2)))</f>
        <v>684.99247650000007</v>
      </c>
      <c r="BP11" s="314">
        <f>IF(AND(desc9_2=0,ob9_2=0),BP8,
IF(AND(desc9_2=0,ob9_2&gt;0),BP7*(1-ob9_2),BP7*(1-desc9_2)))</f>
        <v>690.371840625</v>
      </c>
      <c r="BQ11" s="314">
        <f>IF(AND(desc9_2=0,ob9_2=0),BQ8,
IF(AND(desc9_2=0,ob9_2&gt;0),BQ7*(1-ob9_2),BQ7*(1-desc9_2)))</f>
        <v>695.59661162500004</v>
      </c>
      <c r="BR11" s="314" t="s">
        <v>7</v>
      </c>
      <c r="BS11" s="314" t="s">
        <v>7</v>
      </c>
      <c r="BT11" s="511" t="s">
        <v>306</v>
      </c>
      <c r="BU11" s="96"/>
      <c r="BV11" s="98" t="s">
        <v>206</v>
      </c>
      <c r="BW11" s="314">
        <f>IF(AND(desc10_2=0,ob10_2=0),BW8,
IF(AND(desc10_2=0,ob10_2&gt;0),BW7*(1-ob10_2),BW7*(1-desc10_2)))</f>
        <v>684.99247650000007</v>
      </c>
      <c r="BX11" s="314">
        <f>IF(AND(desc10_2=0,ob10_2=0),BX8,
IF(AND(desc10_2=0,ob10_2&gt;0),BX7*(1-ob10_2),BX7*(1-desc10_2)))</f>
        <v>690.371840625</v>
      </c>
      <c r="BY11" s="314">
        <f>IF(AND(desc10_2=0,ob10_2=0),BY8,
IF(AND(desc10_2=0,ob10_2&gt;0),BY7*(1-ob10_2),BY7*(1-desc10_2)))</f>
        <v>695.59661162500004</v>
      </c>
      <c r="BZ11" s="314" t="s">
        <v>7</v>
      </c>
      <c r="CA11" s="314" t="s">
        <v>7</v>
      </c>
      <c r="CB11" s="511" t="s">
        <v>306</v>
      </c>
      <c r="CC11" s="96"/>
      <c r="CD11" s="98" t="s">
        <v>206</v>
      </c>
      <c r="CE11" s="314">
        <f>IF(AND(desc11_2=0,ob11_2=0),CE8,
IF(AND(desc11_2=0,ob11_2&gt;0),CE7*(1-ob11_2),CE7*(1-desc11_2)))</f>
        <v>684.99247650000007</v>
      </c>
      <c r="CF11" s="314">
        <f>IF(AND(desc11_2=0,ob11_2=0),CF8,
IF(AND(desc11_2=0,ob11_2&gt;0),CF7*(1-ob11_2),CF7*(1-desc11_2)))</f>
        <v>690.371840625</v>
      </c>
      <c r="CG11" s="314">
        <f>IF(AND(desc11_2=0,ob11_2=0),CG8,
IF(AND(desc11_2=0,ob11_2&gt;0),CG7*(1-ob11_2),CG7*(1-desc11_2)))</f>
        <v>695.59661162500004</v>
      </c>
      <c r="CH11" s="314" t="s">
        <v>7</v>
      </c>
      <c r="CI11" s="314" t="s">
        <v>7</v>
      </c>
      <c r="CJ11" s="511" t="s">
        <v>306</v>
      </c>
      <c r="CK11" s="96"/>
      <c r="CL11" s="98" t="s">
        <v>206</v>
      </c>
      <c r="CM11" s="314">
        <f>IF(AND(desc12_2=0,ob12_2=0),CM8,
IF(AND(desc12_2=0,ob12_2&gt;0),CM7*(1-ob12_2),CM7*(1-desc12_2)))</f>
        <v>684.99247650000007</v>
      </c>
      <c r="CN11" s="314">
        <f>IF(AND(desc12_2=0,ob12_2=0),CN8,
IF(AND(desc12_2=0,ob12_2&gt;0),CN7*(1-ob12_2),CN7*(1-desc12_2)))</f>
        <v>690.371840625</v>
      </c>
      <c r="CO11" s="314">
        <f>IF(AND(desc12_2=0,ob12_2=0),CO8,
IF(AND(desc12_2=0,ob12_2&gt;0),CO7*(1-ob12_2),CO7*(1-desc12_2)))</f>
        <v>695.59661162500004</v>
      </c>
      <c r="CP11" s="314" t="s">
        <v>7</v>
      </c>
      <c r="CQ11" s="314" t="s">
        <v>7</v>
      </c>
      <c r="CR11" s="511" t="s">
        <v>306</v>
      </c>
      <c r="CS11" s="96"/>
      <c r="CT11" s="98" t="s">
        <v>206</v>
      </c>
      <c r="CU11" s="314">
        <f>IF(AND(desc13_2=0,ob13_2=0),CU8,
IF(AND(desc13_2=0,ob13_2&gt;0),CU7*(1-ob13_2),CU7*(1-desc13_2)))</f>
        <v>684.99247650000007</v>
      </c>
      <c r="CV11" s="314">
        <f>IF(AND(desc13_2=0,ob13_2=0),CV8,
IF(AND(desc13_2=0,ob13_2&gt;0),CV7*(1-ob13_2),CV7*(1-desc13_2)))</f>
        <v>690.371840625</v>
      </c>
      <c r="CW11" s="314">
        <f>IF(AND(desc13_2=0,ob13_2=0),CW8,
IF(AND(desc13_2=0,ob13_2&gt;0),CW7*(1-ob13_2),CW7*(1-desc13_2)))</f>
        <v>695.59661162500004</v>
      </c>
      <c r="CX11" s="314" t="s">
        <v>7</v>
      </c>
      <c r="CY11" s="314" t="s">
        <v>7</v>
      </c>
      <c r="CZ11" s="511" t="s">
        <v>306</v>
      </c>
      <c r="DA11" s="96"/>
      <c r="DB11" s="98" t="s">
        <v>206</v>
      </c>
      <c r="DC11" s="314">
        <f>IF(AND(desc14_2=0,ob14_2=0),DC8,
IF(AND(desc14_2=0,ob14_2&gt;0),DC7*(1-ob14_2),DC7*(1-desc14_2)))</f>
        <v>684.99247650000007</v>
      </c>
      <c r="DD11" s="314">
        <f>IF(AND(desc14_2=0,ob14_2=0),DD8,
IF(AND(desc14_2=0,ob14_2&gt;0),DD7*(1-ob14_2),DD7*(1-desc14_2)))</f>
        <v>690.371840625</v>
      </c>
      <c r="DE11" s="314">
        <f>IF(AND(desc14_2=0,ob14_2=0),DE8,
IF(AND(desc14_2=0,ob14_2&gt;0),DE7*(1-ob14_2),DE7*(1-desc14_2)))</f>
        <v>695.59661162500004</v>
      </c>
      <c r="DF11" s="314" t="s">
        <v>7</v>
      </c>
      <c r="DG11" s="314" t="s">
        <v>7</v>
      </c>
      <c r="DH11" s="511" t="s">
        <v>306</v>
      </c>
      <c r="DI11" s="96"/>
    </row>
    <row r="12" spans="2:113" s="97" customFormat="1">
      <c r="B12" s="99" t="s">
        <v>207</v>
      </c>
      <c r="C12" s="80">
        <f>IF(ob1_2=0,0,
IF(desc1_2=0,C7*ob1_2,
IF(desc_por_ob="No",0,
IF(AND(desc_por_ob="Yes",ob1_2&gt;desc1_2),"wrong data",(C7*ob1_2)))))</f>
        <v>6.849924765000007</v>
      </c>
      <c r="D12" s="80">
        <f>IF(ob1_2=0,0,
IF(desc1_2=0,D7*ob1_2,
IF(desc_por_ob="No",0,
IF(AND(desc_por_ob="Yes",ob1_2&gt;desc1_2),"wrong data",(D7*ob1_2)))))</f>
        <v>6.9037184062500065</v>
      </c>
      <c r="E12" s="80">
        <f>IF(ob1_2=0,0,
IF(desc1_2=0,E7*ob1_2,
IF(desc_por_ob="No",0,
IF(AND(desc_por_ob="Yes",ob1_2&gt;desc1_2),"wrong data",(E7*ob1_2)))))</f>
        <v>6.9559661162500062</v>
      </c>
      <c r="F12" s="80" t="s">
        <v>7</v>
      </c>
      <c r="G12" s="80" t="s">
        <v>7</v>
      </c>
      <c r="H12" s="512"/>
      <c r="I12" s="96"/>
      <c r="J12" s="99" t="s">
        <v>207</v>
      </c>
      <c r="K12" s="80">
        <f>IF(ob2_2=0,0,
IF(desc2_2=0,K7*ob2_2,
IF(desc_por_ob="No",0,
IF(AND(desc_por_ob="Yes",ob2_2&gt;desc2_2),"wrong data",(K7*ob2_2)))))</f>
        <v>6.849924765000007</v>
      </c>
      <c r="L12" s="80">
        <f>IF(ob2_2=0,0,
IF(desc2_2=0,L7*ob2_2,
IF(desc_por_ob="No",0,
IF(AND(desc_por_ob="Yes",ob2_2&gt;desc2_2),"wrong data",(L7*ob2_2)))))</f>
        <v>6.9037184062500065</v>
      </c>
      <c r="M12" s="80">
        <f>IF(ob2_2=0,0,
IF(desc2_2=0,M7*ob2_2,
IF(desc_por_ob="No",0,
IF(AND(desc_por_ob="Yes",ob2_2&gt;desc2_2),"wrong data",(M7*ob2_2)))))</f>
        <v>6.9559661162500062</v>
      </c>
      <c r="N12" s="80" t="s">
        <v>7</v>
      </c>
      <c r="O12" s="80" t="s">
        <v>7</v>
      </c>
      <c r="P12" s="512"/>
      <c r="Q12" s="96"/>
      <c r="R12" s="99" t="s">
        <v>207</v>
      </c>
      <c r="S12" s="80">
        <f>IF(ob3_2=0,0,
IF(desc3_2=0,S7*ob3_2,
IF(desc_por_ob="No",0,
IF(AND(desc_por_ob="Yes",ob3_2&gt;desc3_2),"wrong data",(S7*ob3_2)))))</f>
        <v>0</v>
      </c>
      <c r="T12" s="80">
        <f>IF(ob3_2=0,0,
IF(desc3_2=0,T7*ob3_2,
IF(desc_por_ob="No",0,
IF(AND(desc_por_ob="Yes",ob3_2&gt;desc3_2),"wrong data",(T7*ob3_2)))))</f>
        <v>0</v>
      </c>
      <c r="U12" s="80">
        <f>IF(ob3_2=0,0,
IF(desc3_2=0,U7*ob3_2,
IF(desc_por_ob="No",0,
IF(AND(desc_por_ob="Yes",ob3_2&gt;desc3_2),"wrong data",(U7*ob3_2)))))</f>
        <v>0</v>
      </c>
      <c r="V12" s="80" t="s">
        <v>7</v>
      </c>
      <c r="W12" s="80" t="s">
        <v>7</v>
      </c>
      <c r="X12" s="512"/>
      <c r="Y12" s="96"/>
      <c r="Z12" s="99" t="s">
        <v>207</v>
      </c>
      <c r="AA12" s="80">
        <f>IF(ob4_2=0,0,
IF(desc4_2=0,AA7*ob4_2,
IF(desc_por_ob="No",0,
IF(AND(desc_por_ob="Yes",ob4_2&gt;desc4_2),"wrong data",(AA7*ob4_2)))))</f>
        <v>0</v>
      </c>
      <c r="AB12" s="80">
        <f>IF(ob4_2=0,0,
IF(desc4_2=0,AB7*ob4_2,
IF(desc_por_ob="No",0,
IF(AND(desc_por_ob="Yes",ob4_2&gt;desc4_2),"wrong data",(AB7*ob4_2)))))</f>
        <v>0</v>
      </c>
      <c r="AC12" s="80">
        <f>IF(ob4_2=0,0,
IF(desc4_2=0,AC7*ob4_2,
IF(desc_por_ob="No",0,
IF(AND(desc_por_ob="Yes",ob4_2&gt;desc4_2),"wrong data",(AC7*ob4_2)))))</f>
        <v>0</v>
      </c>
      <c r="AD12" s="80" t="s">
        <v>7</v>
      </c>
      <c r="AE12" s="80" t="s">
        <v>7</v>
      </c>
      <c r="AF12" s="512"/>
      <c r="AG12" s="96"/>
      <c r="AH12" s="99" t="s">
        <v>207</v>
      </c>
      <c r="AI12" s="80">
        <f>IF(ob5_2=0,0,
IF(desc5_2=0,AI7*ob5_2,
IF(desc_por_ob="No",0,
IF(AND(desc_por_ob="Yes",ob5_2&gt;desc5_2),"wrong data",(AI7*ob5_2)))))</f>
        <v>0</v>
      </c>
      <c r="AJ12" s="80">
        <f>IF(ob5_2=0,0,
IF(desc5_2=0,AJ7*ob5_2,
IF(desc_por_ob="No",0,
IF(AND(desc_por_ob="Yes",ob5_2&gt;desc5_2),"wrong data",(AJ7*ob5_2)))))</f>
        <v>0</v>
      </c>
      <c r="AK12" s="80">
        <f>IF(ob5_2=0,0,
IF(desc5_2=0,AK7*ob5_2,
IF(desc_por_ob="No",0,
IF(AND(desc_por_ob="Yes",ob5_2&gt;desc5_2),"wrong data",(AK7*ob5_2)))))</f>
        <v>0</v>
      </c>
      <c r="AL12" s="80" t="s">
        <v>7</v>
      </c>
      <c r="AM12" s="80" t="s">
        <v>7</v>
      </c>
      <c r="AN12" s="512"/>
      <c r="AO12" s="96"/>
      <c r="AP12" s="99" t="s">
        <v>207</v>
      </c>
      <c r="AQ12" s="80">
        <f>IF(ob6_2=0,0,
IF(desc6_2=0,AQ7*ob6_2,
IF(desc_por_ob="No",0,
IF(AND(desc_por_ob="Yes",ob6_2&gt;desc6_2),"wrong data",(AQ7*ob6_2)))))</f>
        <v>0</v>
      </c>
      <c r="AR12" s="80">
        <f>IF(ob6_2=0,0,
IF(desc6_2=0,AR7*ob6_2,
IF(desc_por_ob="No",0,
IF(AND(desc_por_ob="Yes",ob6_2&gt;desc6_2),"wrong data",(AR7*ob6_2)))))</f>
        <v>0</v>
      </c>
      <c r="AS12" s="80">
        <f>IF(ob6_2=0,0,
IF(desc6_2=0,AS7*ob6_2,
IF(desc_por_ob="No",0,
IF(AND(desc_por_ob="Yes",ob6_2&gt;desc6_2),"wrong data",(AS7*ob6_2)))))</f>
        <v>0</v>
      </c>
      <c r="AT12" s="80" t="s">
        <v>7</v>
      </c>
      <c r="AU12" s="80" t="s">
        <v>7</v>
      </c>
      <c r="AV12" s="512"/>
      <c r="AW12" s="96"/>
      <c r="AX12" s="99" t="s">
        <v>207</v>
      </c>
      <c r="AY12" s="80">
        <f>IF(ob7_2=0,0,
IF(desc7_2=0,AY7*ob7_2,
IF(desc_por_ob="No",0,
IF(AND(desc_por_ob="Yes",ob7_2&gt;desc7_2),"wrong data",(AY7*ob7_2)))))</f>
        <v>0</v>
      </c>
      <c r="AZ12" s="80">
        <f>IF(ob7_2=0,0,
IF(desc7_2=0,AZ7*ob7_2,
IF(desc_por_ob="No",0,
IF(AND(desc_por_ob="Yes",ob7_2&gt;desc7_2),"wrong data",(AZ7*ob7_2)))))</f>
        <v>0</v>
      </c>
      <c r="BA12" s="80">
        <f>IF(ob7_2=0,0,
IF(desc7_2=0,BA7*ob7_2,
IF(desc_por_ob="No",0,
IF(AND(desc_por_ob="Yes",ob7_2&gt;desc7_2),"wrong data",(BA7*ob7_2)))))</f>
        <v>0</v>
      </c>
      <c r="BB12" s="80" t="s">
        <v>7</v>
      </c>
      <c r="BC12" s="80" t="s">
        <v>7</v>
      </c>
      <c r="BD12" s="512"/>
      <c r="BE12" s="96"/>
      <c r="BF12" s="99" t="s">
        <v>207</v>
      </c>
      <c r="BG12" s="80">
        <f>IF(ob8_2=0,0,
IF(desc8_2=0,BG7*ob8_2,
IF(desc_por_ob="No",0,
IF(AND(desc_por_ob="Yes",ob8_2&gt;desc8_2),"wrong data",(BG7*ob8_2)))))</f>
        <v>0</v>
      </c>
      <c r="BH12" s="80">
        <f>IF(ob8_2=0,0,
IF(desc8_2=0,BH7*ob8_2,
IF(desc_por_ob="No",0,
IF(AND(desc_por_ob="Yes",ob8_2&gt;desc8_2),"wrong data",(BH7*ob8_2)))))</f>
        <v>0</v>
      </c>
      <c r="BI12" s="80">
        <f>IF(ob8_2=0,0,
IF(desc8_2=0,BI7*ob8_2,
IF(desc_por_ob="No",0,
IF(AND(desc_por_ob="Yes",ob8_2&gt;desc8_2),"wrong data",(BI7*ob8_2)))))</f>
        <v>0</v>
      </c>
      <c r="BJ12" s="80" t="s">
        <v>7</v>
      </c>
      <c r="BK12" s="80" t="s">
        <v>7</v>
      </c>
      <c r="BL12" s="512"/>
      <c r="BM12" s="96"/>
      <c r="BN12" s="99" t="s">
        <v>207</v>
      </c>
      <c r="BO12" s="80">
        <f>IF(ob9_2=0,0,
IF(desc9_2=0,BO7*ob9_2,
IF(desc_por_ob="No",0,
IF(AND(desc_por_ob="Yes",ob9_2&gt;desc9_2),"wrong data",(BO7*ob9_2)))))</f>
        <v>0</v>
      </c>
      <c r="BP12" s="80">
        <f>IF(ob9_2=0,0,
IF(desc9_2=0,BP7*ob9_2,
IF(desc_por_ob="No",0,
IF(AND(desc_por_ob="Yes",ob9_2&gt;desc9_2),"wrong data",(BP7*ob9_2)))))</f>
        <v>0</v>
      </c>
      <c r="BQ12" s="80">
        <f>IF(ob9_2=0,0,
IF(desc9_2=0,BQ7*ob9_2,
IF(desc_por_ob="No",0,
IF(AND(desc_por_ob="Yes",ob9_2&gt;desc9_2),"wrong data",(BQ7*ob9_2)))))</f>
        <v>0</v>
      </c>
      <c r="BR12" s="80" t="s">
        <v>7</v>
      </c>
      <c r="BS12" s="80" t="s">
        <v>7</v>
      </c>
      <c r="BT12" s="512"/>
      <c r="BU12" s="96"/>
      <c r="BV12" s="99" t="s">
        <v>207</v>
      </c>
      <c r="BW12" s="80">
        <f>IF(ob10_2=0,0,
IF(desc10_2=0,BW7*ob10_2,
IF(desc_por_ob="No",0,
IF(AND(desc_por_ob="Yes",ob10_2&gt;desc10_2),"wrong data",(BW7*ob10_2)))))</f>
        <v>0</v>
      </c>
      <c r="BX12" s="80">
        <f>IF(ob10_2=0,0,
IF(desc10_2=0,BX7*ob10_2,
IF(desc_por_ob="No",0,
IF(AND(desc_por_ob="Yes",ob10_2&gt;desc10_2),"wrong data",(BX7*ob10_2)))))</f>
        <v>0</v>
      </c>
      <c r="BY12" s="80">
        <f>IF(ob10_2=0,0,
IF(desc10_2=0,BY7*ob10_2,
IF(desc_por_ob="No",0,
IF(AND(desc_por_ob="Yes",ob10_2&gt;desc10_2),"wrong data",(BY7*ob10_2)))))</f>
        <v>0</v>
      </c>
      <c r="BZ12" s="80" t="s">
        <v>7</v>
      </c>
      <c r="CA12" s="80" t="s">
        <v>7</v>
      </c>
      <c r="CB12" s="512"/>
      <c r="CC12" s="96"/>
      <c r="CD12" s="99" t="s">
        <v>207</v>
      </c>
      <c r="CE12" s="80">
        <f>IF(ob11_2=0,0,
IF(desc11_2=0,CE7*ob11_2,
IF(desc_por_ob="No",0,
IF(AND(desc_por_ob="Yes",ob11_2&gt;desc11_2),"wrong data",(CE7*ob11_2)))))</f>
        <v>0</v>
      </c>
      <c r="CF12" s="80">
        <f>IF(ob11_2=0,0,
IF(desc11_2=0,CF7*ob11_2,
IF(desc_por_ob="No",0,
IF(AND(desc_por_ob="Yes",ob11_2&gt;desc11_2),"wrong data",(CF7*ob11_2)))))</f>
        <v>0</v>
      </c>
      <c r="CG12" s="80">
        <f>IF(ob11_2=0,0,
IF(desc11_2=0,CG7*ob11_2,
IF(desc_por_ob="No",0,
IF(AND(desc_por_ob="Yes",ob11_2&gt;desc11_2),"wrong data",(CG7*ob11_2)))))</f>
        <v>0</v>
      </c>
      <c r="CH12" s="80" t="s">
        <v>7</v>
      </c>
      <c r="CI12" s="80" t="s">
        <v>7</v>
      </c>
      <c r="CJ12" s="512"/>
      <c r="CK12" s="96"/>
      <c r="CL12" s="99" t="s">
        <v>207</v>
      </c>
      <c r="CM12" s="80">
        <f>IF(ob12_2=0,0,
IF(desc12_2=0,CM7*ob12_2,
IF(desc_por_ob="No",0,
IF(AND(desc_por_ob="Yes",ob12_2&gt;desc12_2),"wrong data",(CM7*ob12_2)))))</f>
        <v>0</v>
      </c>
      <c r="CN12" s="80">
        <f>IF(ob12_2=0,0,
IF(desc12_2=0,CN7*ob12_2,
IF(desc_por_ob="No",0,
IF(AND(desc_por_ob="Yes",ob12_2&gt;desc12_2),"wrong data",(CN7*ob12_2)))))</f>
        <v>0</v>
      </c>
      <c r="CO12" s="80">
        <f>IF(ob12_2=0,0,
IF(desc12_2=0,CO7*ob12_2,
IF(desc_por_ob="No",0,
IF(AND(desc_por_ob="Yes",ob12_2&gt;desc12_2),"wrong data",(CO7*ob12_2)))))</f>
        <v>0</v>
      </c>
      <c r="CP12" s="80" t="s">
        <v>7</v>
      </c>
      <c r="CQ12" s="80" t="s">
        <v>7</v>
      </c>
      <c r="CR12" s="512"/>
      <c r="CS12" s="96"/>
      <c r="CT12" s="99" t="s">
        <v>207</v>
      </c>
      <c r="CU12" s="80">
        <f>IF(ob13_2=0,0,
IF(desc13_2=0,CU7*ob13_2,
IF(desc_por_ob="No",0,
IF(AND(desc_por_ob="Yes",ob13_2&gt;desc13_2),"wrong data",(CU7*ob13_2)))))</f>
        <v>0</v>
      </c>
      <c r="CV12" s="80">
        <f>IF(ob13_2=0,0,
IF(desc13_2=0,CV7*ob13_2,
IF(desc_por_ob="No",0,
IF(AND(desc_por_ob="Yes",ob13_2&gt;desc13_2),"wrong data",(CV7*ob13_2)))))</f>
        <v>0</v>
      </c>
      <c r="CW12" s="80">
        <f>IF(ob13_2=0,0,
IF(desc13_2=0,CW7*ob13_2,
IF(desc_por_ob="No",0,
IF(AND(desc_por_ob="Yes",ob13_2&gt;desc13_2),"wrong data",(CW7*ob13_2)))))</f>
        <v>0</v>
      </c>
      <c r="CX12" s="80" t="s">
        <v>7</v>
      </c>
      <c r="CY12" s="80" t="s">
        <v>7</v>
      </c>
      <c r="CZ12" s="512"/>
      <c r="DA12" s="96"/>
      <c r="DB12" s="99" t="s">
        <v>207</v>
      </c>
      <c r="DC12" s="80">
        <f>IF(ob14_2=0,0,
IF(desc14_2=0,DC7*ob14_2,
IF(desc_por_ob="No",0,
IF(AND(desc_por_ob="Yes",ob14_2&gt;desc14_2),"wrong data",(DC7*ob14_2)))))</f>
        <v>0</v>
      </c>
      <c r="DD12" s="80">
        <f>IF(ob14_2=0,0,
IF(desc14_2=0,DD7*ob14_2,
IF(desc_por_ob="No",0,
IF(AND(desc_por_ob="Yes",ob14_2&gt;desc14_2),"wrong data",(DD7*ob14_2)))))</f>
        <v>0</v>
      </c>
      <c r="DE12" s="80">
        <f>IF(ob14_2=0,0,
IF(desc14_2=0,DE7*ob14_2,
IF(desc_por_ob="No",0,
IF(AND(desc_por_ob="Yes",ob14_2&gt;desc14_2),"wrong data",(DE7*ob14_2)))))</f>
        <v>0</v>
      </c>
      <c r="DF12" s="80" t="s">
        <v>7</v>
      </c>
      <c r="DG12" s="80" t="s">
        <v>7</v>
      </c>
      <c r="DH12" s="512"/>
      <c r="DI12" s="96"/>
    </row>
    <row r="13" spans="2:113" s="97" customFormat="1" ht="15" thickBot="1">
      <c r="B13" s="100" t="str">
        <f>IF(OR(uso=3,uso=4),"Progressed","Discontinued")</f>
        <v>Discontinued</v>
      </c>
      <c r="C13" s="315">
        <f>IF(desc1_2=0,0,
IF(AND(desc_por_ob="Yes",ob1_2&gt;desc1_2),"wrong data",C7-C11-C12))</f>
        <v>61.649322885000025</v>
      </c>
      <c r="D13" s="315">
        <f>IF(desc1_2=0,0,
IF(AND(desc_por_ob="Yes",ob1_2&gt;desc1_2),"wrong data",D7-D11-D12))</f>
        <v>62.133465656249925</v>
      </c>
      <c r="E13" s="315">
        <f>IF(desc1_2=0,0,
IF(AND(desc_por_ob="Yes",ob1_2&gt;desc1_2),"wrong data",E7-E11-E12))</f>
        <v>62.603695046249989</v>
      </c>
      <c r="F13" s="315" t="s">
        <v>7</v>
      </c>
      <c r="G13" s="315" t="s">
        <v>7</v>
      </c>
      <c r="H13" s="513"/>
      <c r="I13" s="96"/>
      <c r="J13" s="100" t="str">
        <f>IF(OR(uso=3,uso=4),"Progressed","Discontinued")</f>
        <v>Discontinued</v>
      </c>
      <c r="K13" s="315">
        <f>IF(desc2_2=0,0,
IF(AND(desc_por_ob="Yes",ob2_2&gt;desc2_2),"wrong data",K7-K11-K12))</f>
        <v>20.549774294999981</v>
      </c>
      <c r="L13" s="315">
        <f>IF(desc2_2=0,0,
IF(AND(desc_por_ob="Yes",ob2_2&gt;desc2_2),"wrong data",L7-L11-L12))</f>
        <v>20.711155218749965</v>
      </c>
      <c r="M13" s="315">
        <f>IF(desc2_2=0,0,
IF(AND(desc_por_ob="Yes",ob2_2&gt;desc2_2),"wrong data",M7-M11-M12))</f>
        <v>20.867898348750035</v>
      </c>
      <c r="N13" s="315" t="s">
        <v>7</v>
      </c>
      <c r="O13" s="315" t="s">
        <v>7</v>
      </c>
      <c r="P13" s="513"/>
      <c r="Q13" s="96"/>
      <c r="R13" s="100" t="s">
        <v>208</v>
      </c>
      <c r="S13" s="315">
        <f>IF(desc3_2=0,0,
IF(AND(desc_por_ob="Yes",ob3_2&gt;desc3_2),"wrong data",S7-S11-S12))</f>
        <v>0</v>
      </c>
      <c r="T13" s="315">
        <f>IF(desc3_2=0,0,
IF(AND(desc_por_ob="Yes",ob3_2&gt;desc3_2),"wrong data",T7-T11-T12))</f>
        <v>0</v>
      </c>
      <c r="U13" s="315">
        <f>IF(desc3_2=0,0,
IF(AND(desc_por_ob="Yes",ob3_2&gt;desc3_2),"wrong data",U7-U11-U12))</f>
        <v>0</v>
      </c>
      <c r="V13" s="315" t="s">
        <v>7</v>
      </c>
      <c r="W13" s="315" t="s">
        <v>7</v>
      </c>
      <c r="X13" s="513"/>
      <c r="Y13" s="96"/>
      <c r="Z13" s="100" t="s">
        <v>208</v>
      </c>
      <c r="AA13" s="315">
        <f>IF(desc4_2=0,0,
IF(AND(desc_por_ob="Yes",ob4_2&gt;desc4_2),"wrong data",AA7-AA11-AA12))</f>
        <v>0</v>
      </c>
      <c r="AB13" s="315">
        <f>IF(desc4_2=0,0,
IF(AND(desc_por_ob="Yes",ob4_2&gt;desc4_2),"wrong data",AB7-AB11-AB12))</f>
        <v>0</v>
      </c>
      <c r="AC13" s="315">
        <f>IF(desc4_2=0,0,
IF(AND(desc_por_ob="Yes",ob4_2&gt;desc4_2),"wrong data",AC7-AC11-AC12))</f>
        <v>0</v>
      </c>
      <c r="AD13" s="315" t="s">
        <v>7</v>
      </c>
      <c r="AE13" s="315" t="s">
        <v>7</v>
      </c>
      <c r="AF13" s="513"/>
      <c r="AG13" s="96"/>
      <c r="AH13" s="100" t="s">
        <v>208</v>
      </c>
      <c r="AI13" s="315">
        <f>IF(desc5_2=0,0,
IF(AND(desc_por_ob="Yes",ob5_2&gt;desc5_2),"wrong data",AI7-AI11-AI12))</f>
        <v>0</v>
      </c>
      <c r="AJ13" s="315">
        <f>IF(desc5_2=0,0,
IF(AND(desc_por_ob="Yes",ob5_2&gt;desc5_2),"wrong data",AJ7-AJ11-AJ12))</f>
        <v>0</v>
      </c>
      <c r="AK13" s="315">
        <f>IF(desc5_2=0,0,
IF(AND(desc_por_ob="Yes",ob5_2&gt;desc5_2),"wrong data",AK7-AK11-AK12))</f>
        <v>0</v>
      </c>
      <c r="AL13" s="315" t="s">
        <v>7</v>
      </c>
      <c r="AM13" s="315" t="s">
        <v>7</v>
      </c>
      <c r="AN13" s="513"/>
      <c r="AO13" s="96"/>
      <c r="AP13" s="100" t="s">
        <v>208</v>
      </c>
      <c r="AQ13" s="315">
        <f>IF(desc6_2=0,0,
IF(AND(desc_por_ob="Yes",ob6_2&gt;desc6_2),"wrong data",AQ7-AQ11-AQ12))</f>
        <v>0</v>
      </c>
      <c r="AR13" s="315">
        <f>IF(desc6_2=0,0,
IF(AND(desc_por_ob="Yes",ob6_2&gt;desc6_2),"wrong data",AR7-AR11-AR12))</f>
        <v>0</v>
      </c>
      <c r="AS13" s="315">
        <f>IF(desc6_2=0,0,
IF(AND(desc_por_ob="Yes",ob6_2&gt;desc6_2),"wrong data",AS7-AS11-AS12))</f>
        <v>0</v>
      </c>
      <c r="AT13" s="315" t="s">
        <v>7</v>
      </c>
      <c r="AU13" s="315" t="s">
        <v>7</v>
      </c>
      <c r="AV13" s="513"/>
      <c r="AW13" s="96"/>
      <c r="AX13" s="100" t="s">
        <v>208</v>
      </c>
      <c r="AY13" s="315">
        <f>IF(desc7_2=0,0,
IF(AND(desc_por_ob="Yes",ob7_2&gt;desc7_2),"wrong data",AY7-AY11-AY12))</f>
        <v>0</v>
      </c>
      <c r="AZ13" s="315">
        <f>IF(desc7_2=0,0,
IF(AND(desc_por_ob="Yes",ob7_2&gt;desc7_2),"wrong data",AZ7-AZ11-AZ12))</f>
        <v>0</v>
      </c>
      <c r="BA13" s="315">
        <f>IF(desc7_2=0,0,
IF(AND(desc_por_ob="Yes",ob7_2&gt;desc7_2),"wrong data",BA7-BA11-BA12))</f>
        <v>0</v>
      </c>
      <c r="BB13" s="315" t="s">
        <v>7</v>
      </c>
      <c r="BC13" s="315" t="s">
        <v>7</v>
      </c>
      <c r="BD13" s="513"/>
      <c r="BE13" s="96"/>
      <c r="BF13" s="100" t="s">
        <v>208</v>
      </c>
      <c r="BG13" s="315">
        <f>IF(desc8_2=0,0,
IF(AND(desc_por_ob="Yes",ob8_2&gt;desc8_2),"wrong data",BG7-BG11-BG12))</f>
        <v>0</v>
      </c>
      <c r="BH13" s="315">
        <f>IF(desc8_2=0,0,
IF(AND(desc_por_ob="Yes",ob8_2&gt;desc8_2),"wrong data",BH7-BH11-BH12))</f>
        <v>0</v>
      </c>
      <c r="BI13" s="315">
        <f>IF(desc8_2=0,0,
IF(AND(desc_por_ob="Yes",ob8_2&gt;desc8_2),"wrong data",BI7-BI11-BI12))</f>
        <v>0</v>
      </c>
      <c r="BJ13" s="315" t="s">
        <v>7</v>
      </c>
      <c r="BK13" s="315" t="s">
        <v>7</v>
      </c>
      <c r="BL13" s="513"/>
      <c r="BM13" s="96"/>
      <c r="BN13" s="100" t="s">
        <v>208</v>
      </c>
      <c r="BO13" s="315">
        <f>IF(desc9_2=0,0,
IF(AND(desc_por_ob="Yes",ob9_2&gt;desc9_2),"wrong data",BO7-BO11-BO12))</f>
        <v>0</v>
      </c>
      <c r="BP13" s="315">
        <f>IF(desc9_2=0,0,
IF(AND(desc_por_ob="Yes",ob9_2&gt;desc9_2),"wrong data",BP7-BP11-BP12))</f>
        <v>0</v>
      </c>
      <c r="BQ13" s="315">
        <f>IF(desc9_2=0,0,
IF(AND(desc_por_ob="Yes",ob9_2&gt;desc9_2),"wrong data",BQ7-BQ11-BQ12))</f>
        <v>0</v>
      </c>
      <c r="BR13" s="315" t="s">
        <v>7</v>
      </c>
      <c r="BS13" s="315" t="s">
        <v>7</v>
      </c>
      <c r="BT13" s="513"/>
      <c r="BU13" s="96"/>
      <c r="BV13" s="100" t="s">
        <v>208</v>
      </c>
      <c r="BW13" s="315">
        <f>IF(desc10_2=0,0,
IF(AND(desc_por_ob="Yes",ob10_2&gt;desc10_2),"wrong data",BW7-BW11-BW12))</f>
        <v>0</v>
      </c>
      <c r="BX13" s="315">
        <f>IF(desc10_2=0,0,
IF(AND(desc_por_ob="Yes",ob10_2&gt;desc10_2),"wrong data",BX7-BX11-BX12))</f>
        <v>0</v>
      </c>
      <c r="BY13" s="315">
        <f>IF(desc10_2=0,0,
IF(AND(desc_por_ob="Yes",ob10_2&gt;desc10_2),"wrong data",BY7-BY11-BY12))</f>
        <v>0</v>
      </c>
      <c r="BZ13" s="315" t="s">
        <v>7</v>
      </c>
      <c r="CA13" s="315" t="s">
        <v>7</v>
      </c>
      <c r="CB13" s="513"/>
      <c r="CC13" s="96"/>
      <c r="CD13" s="100" t="s">
        <v>208</v>
      </c>
      <c r="CE13" s="315">
        <f>IF(desc11_2=0,0,
IF(AND(desc_por_ob="Yes",ob11_2&gt;desc11_2),"wrong data",CE7-CE11-CE12))</f>
        <v>0</v>
      </c>
      <c r="CF13" s="315">
        <f>IF(desc11_2=0,0,
IF(AND(desc_por_ob="Yes",ob11_2&gt;desc11_2),"wrong data",CF7-CF11-CF12))</f>
        <v>0</v>
      </c>
      <c r="CG13" s="315">
        <f>IF(desc11_2=0,0,
IF(AND(desc_por_ob="Yes",ob11_2&gt;desc11_2),"wrong data",CG7-CG11-CG12))</f>
        <v>0</v>
      </c>
      <c r="CH13" s="315" t="s">
        <v>7</v>
      </c>
      <c r="CI13" s="315" t="s">
        <v>7</v>
      </c>
      <c r="CJ13" s="513"/>
      <c r="CK13" s="96"/>
      <c r="CL13" s="100" t="s">
        <v>208</v>
      </c>
      <c r="CM13" s="315">
        <f>IF(desc12_2=0,0,
IF(AND(desc_por_ob="Yes",ob12_2&gt;desc12_2),"wrong data",CM7-CM11-CM12))</f>
        <v>0</v>
      </c>
      <c r="CN13" s="315">
        <f>IF(desc12_2=0,0,
IF(AND(desc_por_ob="Yes",ob12_2&gt;desc12_2),"wrong data",CN7-CN11-CN12))</f>
        <v>0</v>
      </c>
      <c r="CO13" s="315">
        <f>IF(desc12_2=0,0,
IF(AND(desc_por_ob="Yes",ob12_2&gt;desc12_2),"wrong data",CO7-CO11-CO12))</f>
        <v>0</v>
      </c>
      <c r="CP13" s="315" t="s">
        <v>7</v>
      </c>
      <c r="CQ13" s="315" t="s">
        <v>7</v>
      </c>
      <c r="CR13" s="513"/>
      <c r="CS13" s="96"/>
      <c r="CT13" s="100" t="s">
        <v>208</v>
      </c>
      <c r="CU13" s="315">
        <f>IF(desc13_2=0,0,
IF(AND(desc_por_ob="Yes",ob13_2&gt;desc13_2),"wrong data",CU7-CU11-CU12))</f>
        <v>0</v>
      </c>
      <c r="CV13" s="315">
        <f>IF(desc13_2=0,0,
IF(AND(desc_por_ob="Yes",ob13_2&gt;desc13_2),"wrong data",CV7-CV11-CV12))</f>
        <v>0</v>
      </c>
      <c r="CW13" s="315">
        <f>IF(desc13_2=0,0,
IF(AND(desc_por_ob="Yes",ob13_2&gt;desc13_2),"wrong data",CW7-CW11-CW12))</f>
        <v>0</v>
      </c>
      <c r="CX13" s="315" t="s">
        <v>7</v>
      </c>
      <c r="CY13" s="315" t="s">
        <v>7</v>
      </c>
      <c r="CZ13" s="513"/>
      <c r="DA13" s="96"/>
      <c r="DB13" s="100" t="s">
        <v>208</v>
      </c>
      <c r="DC13" s="315">
        <f>IF(desc14_2=0,0,
IF(AND(desc_por_ob="Yes",ob14_2&gt;desc14_2),"wrong data",DC7-DC11-DC12))</f>
        <v>0</v>
      </c>
      <c r="DD13" s="315">
        <f>IF(desc14_2=0,0,
IF(AND(desc_por_ob="Yes",ob14_2&gt;desc14_2),"wrong data",DD7-DD11-DD12))</f>
        <v>0</v>
      </c>
      <c r="DE13" s="315">
        <f>IF(desc14_2=0,0,
IF(AND(desc_por_ob="Yes",ob14_2&gt;desc14_2),"wrong data",DE7-DE11-DE12))</f>
        <v>0</v>
      </c>
      <c r="DF13" s="315" t="s">
        <v>7</v>
      </c>
      <c r="DG13" s="315" t="s">
        <v>7</v>
      </c>
      <c r="DH13" s="513"/>
      <c r="DI13" s="96"/>
    </row>
    <row r="14" spans="2:113" s="97" customFormat="1" ht="15" customHeight="1">
      <c r="B14" s="98" t="str">
        <f>IF(OR(uso=3,uso=4),"Progression-free","On treatment")</f>
        <v>On treatment</v>
      </c>
      <c r="C14" s="314">
        <f>IF(AND(desc1_3=0,ob1_3=0),C11,
IF(AND(desc1_3=0,ob1_3&gt;0),C7*(1-ob1_3),C7*(1-desc1_3)))</f>
        <v>582.24360502500008</v>
      </c>
      <c r="D14" s="314">
        <f>IF(AND(desc1_3=0,ob1_3=0),D11,
IF(AND(desc1_3=0,ob1_3&gt;0),D7*(1-ob1_3),D7*(1-desc1_3)))</f>
        <v>586.81606453124994</v>
      </c>
      <c r="E14" s="314" t="s">
        <v>7</v>
      </c>
      <c r="F14" s="314" t="s">
        <v>7</v>
      </c>
      <c r="G14" s="314" t="s">
        <v>7</v>
      </c>
      <c r="H14" s="511" t="s">
        <v>307</v>
      </c>
      <c r="I14" s="96"/>
      <c r="J14" s="98" t="str">
        <f>IF(OR(uso=3,uso=4),"Progression-free","On treatment")</f>
        <v>On treatment</v>
      </c>
      <c r="K14" s="314">
        <f>IF(AND(desc2_3=0,ob2_3=0),K11,
IF(AND(desc2_3=0,ob2_3&gt;0),K7*(1-ob2_3),K7*(1-desc2_3)))</f>
        <v>630.19307838000009</v>
      </c>
      <c r="L14" s="314">
        <f>IF(AND(desc2_3=0,ob2_3=0),L11,
IF(AND(desc2_3=0,ob2_3&gt;0),L7*(1-ob2_3),L7*(1-desc2_3)))</f>
        <v>635.14209337500006</v>
      </c>
      <c r="M14" s="314" t="s">
        <v>7</v>
      </c>
      <c r="N14" s="314" t="s">
        <v>7</v>
      </c>
      <c r="O14" s="314" t="s">
        <v>7</v>
      </c>
      <c r="P14" s="511" t="s">
        <v>307</v>
      </c>
      <c r="Q14" s="96"/>
      <c r="R14" s="98" t="s">
        <v>206</v>
      </c>
      <c r="S14" s="314">
        <f>IF(AND(desc3_3=0,ob3_3=0),S11,
IF(AND(desc3_3=0,ob3_3&gt;0),S7*(1-ob3_3),S7*(1-desc3_3)))</f>
        <v>684.99247650000007</v>
      </c>
      <c r="T14" s="314">
        <f>IF(AND(desc3_3=0,ob3_3=0),T11,
IF(AND(desc3_3=0,ob3_3&gt;0),T7*(1-ob3_3),T7*(1-desc3_3)))</f>
        <v>690.371840625</v>
      </c>
      <c r="U14" s="314" t="s">
        <v>7</v>
      </c>
      <c r="V14" s="314" t="s">
        <v>7</v>
      </c>
      <c r="W14" s="314" t="s">
        <v>7</v>
      </c>
      <c r="X14" s="511" t="s">
        <v>307</v>
      </c>
      <c r="Y14" s="96"/>
      <c r="Z14" s="98" t="s">
        <v>206</v>
      </c>
      <c r="AA14" s="314">
        <f>IF(AND(desc4_3=0,ob4_3=0),AA11,
IF(AND(desc4_3=0,ob4_3&gt;0),AA7*(1-ob4_3),AA7*(1-desc4_3)))</f>
        <v>684.99247650000007</v>
      </c>
      <c r="AB14" s="314">
        <f>IF(AND(desc4_3=0,ob4_3=0),AB11,
IF(AND(desc4_3=0,ob4_3&gt;0),AB7*(1-ob4_3),AB7*(1-desc4_3)))</f>
        <v>690.371840625</v>
      </c>
      <c r="AC14" s="314" t="s">
        <v>7</v>
      </c>
      <c r="AD14" s="314" t="s">
        <v>7</v>
      </c>
      <c r="AE14" s="314" t="s">
        <v>7</v>
      </c>
      <c r="AF14" s="511" t="s">
        <v>307</v>
      </c>
      <c r="AG14" s="96"/>
      <c r="AH14" s="98" t="s">
        <v>206</v>
      </c>
      <c r="AI14" s="314">
        <f>IF(AND(desc5_3=0,ob5_3=0),AI11,
IF(AND(desc5_3=0,ob5_3&gt;0),AI7*(1-ob5_3),AI7*(1-desc5_3)))</f>
        <v>684.99247650000007</v>
      </c>
      <c r="AJ14" s="314">
        <f>IF(AND(desc5_3=0,ob5_3=0),AJ11,
IF(AND(desc5_3=0,ob5_3&gt;0),AJ7*(1-ob5_3),AJ7*(1-desc5_3)))</f>
        <v>690.371840625</v>
      </c>
      <c r="AK14" s="314" t="s">
        <v>7</v>
      </c>
      <c r="AL14" s="314" t="s">
        <v>7</v>
      </c>
      <c r="AM14" s="314" t="s">
        <v>7</v>
      </c>
      <c r="AN14" s="511" t="s">
        <v>307</v>
      </c>
      <c r="AO14" s="96"/>
      <c r="AP14" s="98" t="s">
        <v>206</v>
      </c>
      <c r="AQ14" s="314">
        <f>IF(AND(desc6_3=0,ob6_3=0),AQ11,
IF(AND(desc6_3=0,ob6_3&gt;0),AQ7*(1-ob6_3),AQ7*(1-desc6_3)))</f>
        <v>684.99247650000007</v>
      </c>
      <c r="AR14" s="314">
        <f>IF(AND(desc6_3=0,ob6_3=0),AR11,
IF(AND(desc6_3=0,ob6_3&gt;0),AR7*(1-ob6_3),AR7*(1-desc6_3)))</f>
        <v>690.371840625</v>
      </c>
      <c r="AS14" s="314" t="s">
        <v>7</v>
      </c>
      <c r="AT14" s="314" t="s">
        <v>7</v>
      </c>
      <c r="AU14" s="314" t="s">
        <v>7</v>
      </c>
      <c r="AV14" s="511" t="s">
        <v>307</v>
      </c>
      <c r="AW14" s="96"/>
      <c r="AX14" s="98" t="s">
        <v>206</v>
      </c>
      <c r="AY14" s="314">
        <f>IF(AND(desc7_3=0,ob7_3=0),AY11,
IF(AND(desc7_3=0,ob7_3&gt;0),AY7*(1-ob7_3),AY7*(1-desc7_3)))</f>
        <v>684.99247650000007</v>
      </c>
      <c r="AZ14" s="314">
        <f>IF(AND(desc7_3=0,ob7_3=0),AZ11,
IF(AND(desc7_3=0,ob7_3&gt;0),AZ7*(1-ob7_3),AZ7*(1-desc7_3)))</f>
        <v>690.371840625</v>
      </c>
      <c r="BA14" s="314" t="s">
        <v>7</v>
      </c>
      <c r="BB14" s="314" t="s">
        <v>7</v>
      </c>
      <c r="BC14" s="314" t="s">
        <v>7</v>
      </c>
      <c r="BD14" s="511" t="s">
        <v>307</v>
      </c>
      <c r="BE14" s="96"/>
      <c r="BF14" s="98" t="s">
        <v>206</v>
      </c>
      <c r="BG14" s="314">
        <f>IF(AND(desc8_3=0,ob8_3=0),BG11,
IF(AND(desc8_3=0,ob8_3&gt;0),BG7*(1-ob8_3),BG7*(1-desc8_3)))</f>
        <v>684.99247650000007</v>
      </c>
      <c r="BH14" s="314">
        <f>IF(AND(desc8_3=0,ob8_3=0),BH11,
IF(AND(desc8_3=0,ob8_3&gt;0),BH7*(1-ob8_3),BH7*(1-desc8_3)))</f>
        <v>690.371840625</v>
      </c>
      <c r="BI14" s="314" t="s">
        <v>7</v>
      </c>
      <c r="BJ14" s="314" t="s">
        <v>7</v>
      </c>
      <c r="BK14" s="314" t="s">
        <v>7</v>
      </c>
      <c r="BL14" s="511" t="s">
        <v>307</v>
      </c>
      <c r="BM14" s="96"/>
      <c r="BN14" s="98" t="s">
        <v>206</v>
      </c>
      <c r="BO14" s="314">
        <f>IF(AND(desc9_3=0,ob9_3=0),BO11,
IF(AND(desc9_3=0,ob9_3&gt;0),BO7*(1-ob9_3),BO7*(1-desc9_3)))</f>
        <v>684.99247650000007</v>
      </c>
      <c r="BP14" s="314">
        <f>IF(AND(desc9_3=0,ob9_3=0),BP11,
IF(AND(desc9_3=0,ob9_3&gt;0),BP7*(1-ob9_3),BP7*(1-desc9_3)))</f>
        <v>690.371840625</v>
      </c>
      <c r="BQ14" s="314" t="s">
        <v>7</v>
      </c>
      <c r="BR14" s="314" t="s">
        <v>7</v>
      </c>
      <c r="BS14" s="314" t="s">
        <v>7</v>
      </c>
      <c r="BT14" s="511" t="s">
        <v>307</v>
      </c>
      <c r="BU14" s="96"/>
      <c r="BV14" s="98" t="s">
        <v>206</v>
      </c>
      <c r="BW14" s="314">
        <f>IF(AND(desc10_3=0,ob10_3=0),BW11,
IF(AND(desc10_3=0,ob10_3&gt;0),BW7*(1-ob10_3),BW7*(1-desc10_3)))</f>
        <v>684.99247650000007</v>
      </c>
      <c r="BX14" s="314">
        <f>IF(AND(desc10_3=0,ob10_3=0),BX11,
IF(AND(desc10_3=0,ob10_3&gt;0),BX7*(1-ob10_3),BX7*(1-desc10_3)))</f>
        <v>690.371840625</v>
      </c>
      <c r="BY14" s="314" t="s">
        <v>7</v>
      </c>
      <c r="BZ14" s="314" t="s">
        <v>7</v>
      </c>
      <c r="CA14" s="314" t="s">
        <v>7</v>
      </c>
      <c r="CB14" s="511" t="s">
        <v>307</v>
      </c>
      <c r="CC14" s="96"/>
      <c r="CD14" s="98" t="s">
        <v>206</v>
      </c>
      <c r="CE14" s="314">
        <f>IF(AND(desc11_3=0,ob11_3=0),CE11,
IF(AND(desc11_3=0,ob11_3&gt;0),CE7*(1-ob11_3),CE7*(1-desc11_3)))</f>
        <v>684.99247650000007</v>
      </c>
      <c r="CF14" s="314">
        <f>IF(AND(desc11_3=0,ob11_3=0),CF11,
IF(AND(desc11_3=0,ob11_3&gt;0),CF7*(1-ob11_3),CF7*(1-desc11_3)))</f>
        <v>690.371840625</v>
      </c>
      <c r="CG14" s="314" t="s">
        <v>7</v>
      </c>
      <c r="CH14" s="314" t="s">
        <v>7</v>
      </c>
      <c r="CI14" s="314" t="s">
        <v>7</v>
      </c>
      <c r="CJ14" s="511" t="s">
        <v>307</v>
      </c>
      <c r="CK14" s="96"/>
      <c r="CL14" s="98" t="s">
        <v>206</v>
      </c>
      <c r="CM14" s="314">
        <f>IF(AND(desc12_3=0,ob12_3=0),CM11,
IF(AND(desc12_3=0,ob12_3&gt;0),CM7*(1-ob12_3),CM7*(1-desc12_3)))</f>
        <v>684.99247650000007</v>
      </c>
      <c r="CN14" s="314">
        <f>IF(AND(desc12_3=0,ob12_3=0),CN11,
IF(AND(desc12_3=0,ob12_3&gt;0),CN7*(1-ob12_3),CN7*(1-desc12_3)))</f>
        <v>690.371840625</v>
      </c>
      <c r="CO14" s="314" t="s">
        <v>7</v>
      </c>
      <c r="CP14" s="314" t="s">
        <v>7</v>
      </c>
      <c r="CQ14" s="314" t="s">
        <v>7</v>
      </c>
      <c r="CR14" s="511" t="s">
        <v>307</v>
      </c>
      <c r="CS14" s="96"/>
      <c r="CT14" s="98" t="s">
        <v>206</v>
      </c>
      <c r="CU14" s="314">
        <f>IF(AND(desc13_3=0,ob13_3=0),CU11,
IF(AND(desc13_3=0,ob13_3&gt;0),CU7*(1-ob13_3),CU7*(1-desc13_3)))</f>
        <v>684.99247650000007</v>
      </c>
      <c r="CV14" s="314">
        <f>IF(AND(desc13_3=0,ob13_3=0),CV11,
IF(AND(desc13_3=0,ob13_3&gt;0),CV7*(1-ob13_3),CV7*(1-desc13_3)))</f>
        <v>690.371840625</v>
      </c>
      <c r="CW14" s="314" t="s">
        <v>7</v>
      </c>
      <c r="CX14" s="314" t="s">
        <v>7</v>
      </c>
      <c r="CY14" s="314" t="s">
        <v>7</v>
      </c>
      <c r="CZ14" s="511" t="s">
        <v>307</v>
      </c>
      <c r="DA14" s="96"/>
      <c r="DB14" s="98" t="s">
        <v>206</v>
      </c>
      <c r="DC14" s="314">
        <f>IF(AND(desc14_3=0,ob14_3=0),DC11,
IF(AND(desc14_3=0,ob14_3&gt;0),DC7*(1-ob14_3),DC7*(1-desc14_3)))</f>
        <v>684.99247650000007</v>
      </c>
      <c r="DD14" s="314">
        <f>IF(AND(desc14_3=0,ob14_3=0),DD11,
IF(AND(desc14_3=0,ob14_3&gt;0),DD7*(1-ob14_3),DD7*(1-desc14_3)))</f>
        <v>690.371840625</v>
      </c>
      <c r="DE14" s="314" t="s">
        <v>7</v>
      </c>
      <c r="DF14" s="314" t="s">
        <v>7</v>
      </c>
      <c r="DG14" s="314" t="s">
        <v>7</v>
      </c>
      <c r="DH14" s="511" t="s">
        <v>307</v>
      </c>
      <c r="DI14" s="96"/>
    </row>
    <row r="15" spans="2:113" s="97" customFormat="1">
      <c r="B15" s="99" t="s">
        <v>207</v>
      </c>
      <c r="C15" s="80">
        <f>IF(ob1_3=0,0,
IF(desc1_3=0,C7*ob1_3,
IF(desc_por_ob="No",0,
IF(AND(desc_por_ob="Yes",ob1_3&gt;desc1_3),"wrong data",(C7*ob1_3)))))</f>
        <v>13.699849530000014</v>
      </c>
      <c r="D15" s="80">
        <f>IF(ob1_3=0,0,
IF(desc1_3=0,D7*ob1_3,
IF(desc_por_ob="No",0,
IF(AND(desc_por_ob="Yes",ob1_3&gt;desc1_3),"wrong data",(D7*ob1_3)))))</f>
        <v>13.807436812500013</v>
      </c>
      <c r="E15" s="80" t="s">
        <v>7</v>
      </c>
      <c r="F15" s="80" t="s">
        <v>7</v>
      </c>
      <c r="G15" s="80" t="s">
        <v>7</v>
      </c>
      <c r="H15" s="512"/>
      <c r="I15" s="96"/>
      <c r="J15" s="99" t="s">
        <v>207</v>
      </c>
      <c r="K15" s="80">
        <f>IF(ob2_3=0,0,
IF(desc2_3=0,K7*ob2_3,
IF(desc_por_ob="No",0,
IF(AND(desc_por_ob="Yes",ob2_3&gt;desc2_3),"wrong data",(K7*ob2_3)))))</f>
        <v>13.699849530000014</v>
      </c>
      <c r="L15" s="80">
        <f>IF(ob2_3=0,0,
IF(desc2_3=0,L7*ob2_3,
IF(desc_por_ob="No",0,
IF(AND(desc_por_ob="Yes",ob2_3&gt;desc2_3),"wrong data",(L7*ob2_3)))))</f>
        <v>13.807436812500013</v>
      </c>
      <c r="M15" s="80" t="s">
        <v>7</v>
      </c>
      <c r="N15" s="80" t="s">
        <v>7</v>
      </c>
      <c r="O15" s="80" t="s">
        <v>7</v>
      </c>
      <c r="P15" s="512"/>
      <c r="Q15" s="96"/>
      <c r="R15" s="99" t="s">
        <v>207</v>
      </c>
      <c r="S15" s="80">
        <f>IF(ob3_3=0,0,
IF(desc3_3=0,S7*ob3_3,
IF(desc_por_ob="No",0,
IF(AND(desc_por_ob="Yes",ob3_3&gt;desc3_3),"wrong data",(S7*ob3_3)))))</f>
        <v>0</v>
      </c>
      <c r="T15" s="80">
        <f>IF(ob3_3=0,0,
IF(desc3_3=0,T7*ob3_3,
IF(desc_por_ob="No",0,
IF(AND(desc_por_ob="Yes",ob3_3&gt;desc3_3),"wrong data",(T7*ob3_3)))))</f>
        <v>0</v>
      </c>
      <c r="U15" s="80" t="s">
        <v>7</v>
      </c>
      <c r="V15" s="80" t="s">
        <v>7</v>
      </c>
      <c r="W15" s="80" t="s">
        <v>7</v>
      </c>
      <c r="X15" s="512"/>
      <c r="Y15" s="96"/>
      <c r="Z15" s="99" t="s">
        <v>207</v>
      </c>
      <c r="AA15" s="80">
        <f>IF(ob4_3=0,0,
IF(desc4_3=0,AA7*ob4_3,
IF(desc_por_ob="No",0,
IF(AND(desc_por_ob="Yes",ob4_3&gt;desc4_3),"wrong data",(AA7*ob4_3)))))</f>
        <v>0</v>
      </c>
      <c r="AB15" s="80">
        <f>IF(ob4_3=0,0,
IF(desc4_3=0,AB7*ob4_3,
IF(desc_por_ob="No",0,
IF(AND(desc_por_ob="Yes",ob4_3&gt;desc4_3),"wrong data",(AB7*ob4_3)))))</f>
        <v>0</v>
      </c>
      <c r="AC15" s="80" t="s">
        <v>7</v>
      </c>
      <c r="AD15" s="80" t="s">
        <v>7</v>
      </c>
      <c r="AE15" s="80" t="s">
        <v>7</v>
      </c>
      <c r="AF15" s="512"/>
      <c r="AG15" s="96"/>
      <c r="AH15" s="99" t="s">
        <v>207</v>
      </c>
      <c r="AI15" s="80">
        <f>IF(ob5_3=0,0,
IF(desc5_3=0,AI7*ob5_3,
IF(desc_por_ob="No",0,
IF(AND(desc_por_ob="Yes",ob5_3&gt;desc5_3),"wrong data",(AI7*ob5_3)))))</f>
        <v>0</v>
      </c>
      <c r="AJ15" s="80">
        <f>IF(ob5_3=0,0,
IF(desc5_3=0,AJ7*ob5_3,
IF(desc_por_ob="No",0,
IF(AND(desc_por_ob="Yes",ob5_3&gt;desc5_3),"wrong data",(AJ7*ob5_3)))))</f>
        <v>0</v>
      </c>
      <c r="AK15" s="80" t="s">
        <v>7</v>
      </c>
      <c r="AL15" s="80" t="s">
        <v>7</v>
      </c>
      <c r="AM15" s="80" t="s">
        <v>7</v>
      </c>
      <c r="AN15" s="512"/>
      <c r="AO15" s="96"/>
      <c r="AP15" s="99" t="s">
        <v>207</v>
      </c>
      <c r="AQ15" s="80">
        <f>IF(ob6_3=0,0,
IF(desc6_3=0,AQ7*ob6_3,
IF(desc_por_ob="No",0,
IF(AND(desc_por_ob="Yes",ob6_3&gt;desc6_3),"wrong data",(AQ7*ob6_3)))))</f>
        <v>0</v>
      </c>
      <c r="AR15" s="80">
        <f>IF(ob6_3=0,0,
IF(desc6_3=0,AR7*ob6_3,
IF(desc_por_ob="No",0,
IF(AND(desc_por_ob="Yes",ob6_3&gt;desc6_3),"wrong data",(AR7*ob6_3)))))</f>
        <v>0</v>
      </c>
      <c r="AS15" s="80" t="s">
        <v>7</v>
      </c>
      <c r="AT15" s="80" t="s">
        <v>7</v>
      </c>
      <c r="AU15" s="80" t="s">
        <v>7</v>
      </c>
      <c r="AV15" s="512"/>
      <c r="AW15" s="96"/>
      <c r="AX15" s="99" t="s">
        <v>207</v>
      </c>
      <c r="AY15" s="80">
        <f>IF(ob7_3=0,0,
IF(desc7_3=0,AY7*ob7_3,
IF(desc_por_ob="No",0,
IF(AND(desc_por_ob="Yes",ob7_3&gt;desc7_3),"wrong data",(AY7*ob7_3)))))</f>
        <v>0</v>
      </c>
      <c r="AZ15" s="80">
        <f>IF(ob7_3=0,0,
IF(desc7_3=0,AZ7*ob7_3,
IF(desc_por_ob="No",0,
IF(AND(desc_por_ob="Yes",ob7_3&gt;desc7_3),"wrong data",(AZ7*ob7_3)))))</f>
        <v>0</v>
      </c>
      <c r="BA15" s="80" t="s">
        <v>7</v>
      </c>
      <c r="BB15" s="80" t="s">
        <v>7</v>
      </c>
      <c r="BC15" s="80" t="s">
        <v>7</v>
      </c>
      <c r="BD15" s="512"/>
      <c r="BE15" s="96"/>
      <c r="BF15" s="99" t="s">
        <v>207</v>
      </c>
      <c r="BG15" s="80">
        <f>IF(ob8_3=0,0,
IF(desc8_3=0,BG7*ob8_3,
IF(desc_por_ob="No",0,
IF(AND(desc_por_ob="Yes",ob8_3&gt;desc8_3),"wrong data",(BG7*ob8_3)))))</f>
        <v>0</v>
      </c>
      <c r="BH15" s="80">
        <f>IF(ob8_3=0,0,
IF(desc8_3=0,BH7*ob8_3,
IF(desc_por_ob="No",0,
IF(AND(desc_por_ob="Yes",ob8_3&gt;desc8_3),"wrong data",(BH7*ob8_3)))))</f>
        <v>0</v>
      </c>
      <c r="BI15" s="80" t="s">
        <v>7</v>
      </c>
      <c r="BJ15" s="80" t="s">
        <v>7</v>
      </c>
      <c r="BK15" s="80" t="s">
        <v>7</v>
      </c>
      <c r="BL15" s="512"/>
      <c r="BM15" s="96"/>
      <c r="BN15" s="99" t="s">
        <v>207</v>
      </c>
      <c r="BO15" s="80">
        <f>IF(ob9_3=0,0,
IF(desc9_3=0,BO7*ob9_3,
IF(desc_por_ob="No",0,
IF(AND(desc_por_ob="Yes",ob9_3&gt;desc9_3),"wrong data",(BO7*ob9_3)))))</f>
        <v>0</v>
      </c>
      <c r="BP15" s="80">
        <f>IF(ob9_3=0,0,
IF(desc9_3=0,BP7*ob9_3,
IF(desc_por_ob="No",0,
IF(AND(desc_por_ob="Yes",ob9_3&gt;desc9_3),"wrong data",(BP7*ob9_3)))))</f>
        <v>0</v>
      </c>
      <c r="BQ15" s="80" t="s">
        <v>7</v>
      </c>
      <c r="BR15" s="80" t="s">
        <v>7</v>
      </c>
      <c r="BS15" s="80" t="s">
        <v>7</v>
      </c>
      <c r="BT15" s="512"/>
      <c r="BU15" s="96"/>
      <c r="BV15" s="99" t="s">
        <v>207</v>
      </c>
      <c r="BW15" s="80">
        <f>IF(ob10_3=0,0,
IF(desc10_3=0,BW7*ob10_3,
IF(desc_por_ob="No",0,
IF(AND(desc_por_ob="Yes",ob10_3&gt;desc10_3),"wrong data",(BW7*ob10_3)))))</f>
        <v>0</v>
      </c>
      <c r="BX15" s="80">
        <f>IF(ob10_3=0,0,
IF(desc10_3=0,BX7*ob10_3,
IF(desc_por_ob="No",0,
IF(AND(desc_por_ob="Yes",ob10_3&gt;desc10_3),"wrong data",(BX7*ob10_3)))))</f>
        <v>0</v>
      </c>
      <c r="BY15" s="80" t="s">
        <v>7</v>
      </c>
      <c r="BZ15" s="80" t="s">
        <v>7</v>
      </c>
      <c r="CA15" s="80" t="s">
        <v>7</v>
      </c>
      <c r="CB15" s="512"/>
      <c r="CC15" s="96"/>
      <c r="CD15" s="99" t="s">
        <v>207</v>
      </c>
      <c r="CE15" s="80">
        <f>IF(ob11_3=0,0,
IF(desc11_3=0,CE7*ob11_3,
IF(desc_por_ob="No",0,
IF(AND(desc_por_ob="Yes",ob11_3&gt;desc11_3),"wrong data",(CE7*ob11_3)))))</f>
        <v>0</v>
      </c>
      <c r="CF15" s="80">
        <f>IF(ob11_3=0,0,
IF(desc11_3=0,CF7*ob11_3,
IF(desc_por_ob="No",0,
IF(AND(desc_por_ob="Yes",ob11_3&gt;desc11_3),"wrong data",(CF7*ob11_3)))))</f>
        <v>0</v>
      </c>
      <c r="CG15" s="80" t="s">
        <v>7</v>
      </c>
      <c r="CH15" s="80" t="s">
        <v>7</v>
      </c>
      <c r="CI15" s="80" t="s">
        <v>7</v>
      </c>
      <c r="CJ15" s="512"/>
      <c r="CK15" s="96"/>
      <c r="CL15" s="99" t="s">
        <v>207</v>
      </c>
      <c r="CM15" s="80">
        <f>IF(ob12_3=0,0,
IF(desc12_3=0,CM7*ob12_3,
IF(desc_por_ob="No",0,
IF(AND(desc_por_ob="Yes",ob12_3&gt;desc12_3),"wrong data",(CM7*ob12_3)))))</f>
        <v>0</v>
      </c>
      <c r="CN15" s="80">
        <f>IF(ob12_3=0,0,
IF(desc12_3=0,CN7*ob12_3,
IF(desc_por_ob="No",0,
IF(AND(desc_por_ob="Yes",ob12_3&gt;desc12_3),"wrong data",(CN7*ob12_3)))))</f>
        <v>0</v>
      </c>
      <c r="CO15" s="80" t="s">
        <v>7</v>
      </c>
      <c r="CP15" s="80" t="s">
        <v>7</v>
      </c>
      <c r="CQ15" s="80" t="s">
        <v>7</v>
      </c>
      <c r="CR15" s="512"/>
      <c r="CS15" s="96"/>
      <c r="CT15" s="99" t="s">
        <v>207</v>
      </c>
      <c r="CU15" s="80">
        <f>IF(ob13_3=0,0,
IF(desc13_3=0,CU7*ob13_3,
IF(desc_por_ob="No",0,
IF(AND(desc_por_ob="Yes",ob13_3&gt;desc13_3),"wrong data",(CU7*ob13_3)))))</f>
        <v>0</v>
      </c>
      <c r="CV15" s="80">
        <f>IF(ob13_3=0,0,
IF(desc13_3=0,CV7*ob13_3,
IF(desc_por_ob="No",0,
IF(AND(desc_por_ob="Yes",ob13_3&gt;desc13_3),"wrong data",(CV7*ob13_3)))))</f>
        <v>0</v>
      </c>
      <c r="CW15" s="80" t="s">
        <v>7</v>
      </c>
      <c r="CX15" s="80" t="s">
        <v>7</v>
      </c>
      <c r="CY15" s="80" t="s">
        <v>7</v>
      </c>
      <c r="CZ15" s="512"/>
      <c r="DA15" s="96"/>
      <c r="DB15" s="99" t="s">
        <v>207</v>
      </c>
      <c r="DC15" s="80">
        <f>IF(ob14_3=0,0,
IF(desc14_3=0,DC7*ob14_3,
IF(desc_por_ob="No",0,
IF(AND(desc_por_ob="Yes",ob14_3&gt;desc14_3),"wrong data",(DC7*ob14_3)))))</f>
        <v>0</v>
      </c>
      <c r="DD15" s="80">
        <f>IF(ob14_3=0,0,
IF(desc14_3=0,DD7*ob14_3,
IF(desc_por_ob="No",0,
IF(AND(desc_por_ob="Yes",ob14_3&gt;desc14_3),"wrong data",(DD7*ob14_3)))))</f>
        <v>0</v>
      </c>
      <c r="DE15" s="80" t="s">
        <v>7</v>
      </c>
      <c r="DF15" s="80" t="s">
        <v>7</v>
      </c>
      <c r="DG15" s="80" t="s">
        <v>7</v>
      </c>
      <c r="DH15" s="512"/>
      <c r="DI15" s="96"/>
    </row>
    <row r="16" spans="2:113" s="97" customFormat="1" ht="15" thickBot="1">
      <c r="B16" s="100" t="str">
        <f>IF(OR(uso=3,uso=4),"Progressed","Discontinued")</f>
        <v>Discontinued</v>
      </c>
      <c r="C16" s="315">
        <f>IF(desc1_3=0,0,
IF(AND(desc_por_ob="Yes",ob1_3&gt;desc1_3),"wrong data",C7-C14-C15))</f>
        <v>89.049021944999978</v>
      </c>
      <c r="D16" s="315">
        <f>IF(desc1_3=0,0,
IF(AND(desc_por_ob="Yes",ob1_3&gt;desc1_3),"wrong data",D7-D14-D15))</f>
        <v>89.748339281250054</v>
      </c>
      <c r="E16" s="315" t="s">
        <v>7</v>
      </c>
      <c r="F16" s="315" t="s">
        <v>7</v>
      </c>
      <c r="G16" s="315" t="s">
        <v>7</v>
      </c>
      <c r="H16" s="513"/>
      <c r="I16" s="96"/>
      <c r="J16" s="100" t="str">
        <f>IF(OR(uso=3,uso=4),"Progressed","Discontinued")</f>
        <v>Discontinued</v>
      </c>
      <c r="K16" s="315">
        <f>IF(desc2_3=0,0,
IF(AND(desc_por_ob="Yes",ob2_3&gt;desc2_3),"wrong data",K7-K14-K15))</f>
        <v>41.099548589999962</v>
      </c>
      <c r="L16" s="315">
        <f>IF(desc2_3=0,0,
IF(AND(desc_por_ob="Yes",ob2_3&gt;desc2_3),"wrong data",L7-L14-L15))</f>
        <v>41.422310437499931</v>
      </c>
      <c r="M16" s="315" t="s">
        <v>7</v>
      </c>
      <c r="N16" s="315" t="s">
        <v>7</v>
      </c>
      <c r="O16" s="315" t="s">
        <v>7</v>
      </c>
      <c r="P16" s="513"/>
      <c r="Q16" s="96"/>
      <c r="R16" s="100" t="s">
        <v>208</v>
      </c>
      <c r="S16" s="315">
        <f>IF(desc3_3=0,0,
IF(AND(desc_por_ob="Yes",ob3_3&gt;desc3_3),"wrong data",S7-S14-S15))</f>
        <v>0</v>
      </c>
      <c r="T16" s="315">
        <f>IF(desc3_3=0,0,
IF(AND(desc_por_ob="Yes",ob3_3&gt;desc3_3),"wrong data",T7-T14-T15))</f>
        <v>0</v>
      </c>
      <c r="U16" s="315" t="s">
        <v>7</v>
      </c>
      <c r="V16" s="315" t="s">
        <v>7</v>
      </c>
      <c r="W16" s="315" t="s">
        <v>7</v>
      </c>
      <c r="X16" s="513"/>
      <c r="Y16" s="96"/>
      <c r="Z16" s="100" t="s">
        <v>208</v>
      </c>
      <c r="AA16" s="315">
        <f>IF(desc4_3=0,0,
IF(AND(desc_por_ob="Yes",ob4_3&gt;desc4_3),"wrong data",AA7-AA14-AA15))</f>
        <v>0</v>
      </c>
      <c r="AB16" s="315">
        <f>IF(desc4_3=0,0,
IF(AND(desc_por_ob="Yes",ob4_3&gt;desc4_3),"wrong data",AB7-AB14-AB15))</f>
        <v>0</v>
      </c>
      <c r="AC16" s="315" t="s">
        <v>7</v>
      </c>
      <c r="AD16" s="315" t="s">
        <v>7</v>
      </c>
      <c r="AE16" s="315" t="s">
        <v>7</v>
      </c>
      <c r="AF16" s="513"/>
      <c r="AG16" s="96"/>
      <c r="AH16" s="100" t="s">
        <v>208</v>
      </c>
      <c r="AI16" s="315">
        <f>IF(desc5_3=0,0,
IF(AND(desc_por_ob="Yes",ob5_3&gt;desc5_3),"wrong data",AI7-AI14-AI15))</f>
        <v>0</v>
      </c>
      <c r="AJ16" s="315">
        <f>IF(desc5_3=0,0,
IF(AND(desc_por_ob="Yes",ob5_3&gt;desc5_3),"wrong data",AJ7-AJ14-AJ15))</f>
        <v>0</v>
      </c>
      <c r="AK16" s="315" t="s">
        <v>7</v>
      </c>
      <c r="AL16" s="315" t="s">
        <v>7</v>
      </c>
      <c r="AM16" s="315" t="s">
        <v>7</v>
      </c>
      <c r="AN16" s="513"/>
      <c r="AO16" s="96"/>
      <c r="AP16" s="100" t="s">
        <v>208</v>
      </c>
      <c r="AQ16" s="315">
        <f>IF(desc6_3=0,0,
IF(AND(desc_por_ob="Yes",ob6_3&gt;desc6_3),"wrong data",AQ7-AQ14-AQ15))</f>
        <v>0</v>
      </c>
      <c r="AR16" s="315">
        <f>IF(desc6_3=0,0,
IF(AND(desc_por_ob="Yes",ob6_3&gt;desc6_3),"wrong data",AR7-AR14-AR15))</f>
        <v>0</v>
      </c>
      <c r="AS16" s="315" t="s">
        <v>7</v>
      </c>
      <c r="AT16" s="315" t="s">
        <v>7</v>
      </c>
      <c r="AU16" s="315" t="s">
        <v>7</v>
      </c>
      <c r="AV16" s="513"/>
      <c r="AW16" s="96"/>
      <c r="AX16" s="100" t="s">
        <v>208</v>
      </c>
      <c r="AY16" s="315">
        <f>IF(desc7_3=0,0,
IF(AND(desc_por_ob="Yes",ob7_3&gt;desc7_3),"wrong data",AY7-AY14-AY15))</f>
        <v>0</v>
      </c>
      <c r="AZ16" s="315">
        <f>IF(desc7_3=0,0,
IF(AND(desc_por_ob="Yes",ob7_3&gt;desc7_3),"wrong data",AZ7-AZ14-AZ15))</f>
        <v>0</v>
      </c>
      <c r="BA16" s="315" t="s">
        <v>7</v>
      </c>
      <c r="BB16" s="315" t="s">
        <v>7</v>
      </c>
      <c r="BC16" s="315" t="s">
        <v>7</v>
      </c>
      <c r="BD16" s="513"/>
      <c r="BE16" s="96"/>
      <c r="BF16" s="100" t="s">
        <v>208</v>
      </c>
      <c r="BG16" s="315">
        <f>IF(desc8_3=0,0,
IF(AND(desc_por_ob="Yes",ob8_3&gt;desc8_3),"wrong data",BG7-BG14-BG15))</f>
        <v>0</v>
      </c>
      <c r="BH16" s="315">
        <f>IF(desc8_3=0,0,
IF(AND(desc_por_ob="Yes",ob8_3&gt;desc8_3),"wrong data",BH7-BH14-BH15))</f>
        <v>0</v>
      </c>
      <c r="BI16" s="315" t="s">
        <v>7</v>
      </c>
      <c r="BJ16" s="315" t="s">
        <v>7</v>
      </c>
      <c r="BK16" s="315" t="s">
        <v>7</v>
      </c>
      <c r="BL16" s="513"/>
      <c r="BM16" s="96"/>
      <c r="BN16" s="100" t="s">
        <v>208</v>
      </c>
      <c r="BO16" s="315">
        <f>IF(desc9_3=0,0,
IF(AND(desc_por_ob="Yes",ob9_3&gt;desc9_3),"wrong data",BO7-BO14-BO15))</f>
        <v>0</v>
      </c>
      <c r="BP16" s="315">
        <f>IF(desc9_3=0,0,
IF(AND(desc_por_ob="Yes",ob9_3&gt;desc9_3),"wrong data",BP7-BP14-BP15))</f>
        <v>0</v>
      </c>
      <c r="BQ16" s="315" t="s">
        <v>7</v>
      </c>
      <c r="BR16" s="315" t="s">
        <v>7</v>
      </c>
      <c r="BS16" s="315" t="s">
        <v>7</v>
      </c>
      <c r="BT16" s="513"/>
      <c r="BU16" s="96"/>
      <c r="BV16" s="100" t="s">
        <v>208</v>
      </c>
      <c r="BW16" s="315">
        <f>IF(desc10_3=0,0,
IF(AND(desc_por_ob="Yes",ob10_3&gt;desc10_3),"wrong data",BW7-BW14-BW15))</f>
        <v>0</v>
      </c>
      <c r="BX16" s="315">
        <f>IF(desc10_3=0,0,
IF(AND(desc_por_ob="Yes",ob10_3&gt;desc10_3),"wrong data",BX7-BX14-BX15))</f>
        <v>0</v>
      </c>
      <c r="BY16" s="315" t="s">
        <v>7</v>
      </c>
      <c r="BZ16" s="315" t="s">
        <v>7</v>
      </c>
      <c r="CA16" s="315" t="s">
        <v>7</v>
      </c>
      <c r="CB16" s="513"/>
      <c r="CC16" s="96"/>
      <c r="CD16" s="100" t="s">
        <v>208</v>
      </c>
      <c r="CE16" s="315">
        <f>IF(desc11_3=0,0,
IF(AND(desc_por_ob="Yes",ob11_3&gt;desc11_3),"wrong data",CE7-CE14-CE15))</f>
        <v>0</v>
      </c>
      <c r="CF16" s="315">
        <f>IF(desc11_3=0,0,
IF(AND(desc_por_ob="Yes",ob11_3&gt;desc11_3),"wrong data",CF7-CF14-CF15))</f>
        <v>0</v>
      </c>
      <c r="CG16" s="315" t="s">
        <v>7</v>
      </c>
      <c r="CH16" s="315" t="s">
        <v>7</v>
      </c>
      <c r="CI16" s="315" t="s">
        <v>7</v>
      </c>
      <c r="CJ16" s="513"/>
      <c r="CK16" s="96"/>
      <c r="CL16" s="100" t="s">
        <v>208</v>
      </c>
      <c r="CM16" s="315">
        <f>IF(desc12_3=0,0,
IF(AND(desc_por_ob="Yes",ob12_3&gt;desc12_3),"wrong data",CM7-CM14-CM15))</f>
        <v>0</v>
      </c>
      <c r="CN16" s="315">
        <f>IF(desc12_3=0,0,
IF(AND(desc_por_ob="Yes",ob12_3&gt;desc12_3),"wrong data",CN7-CN14-CN15))</f>
        <v>0</v>
      </c>
      <c r="CO16" s="315" t="s">
        <v>7</v>
      </c>
      <c r="CP16" s="315" t="s">
        <v>7</v>
      </c>
      <c r="CQ16" s="315" t="s">
        <v>7</v>
      </c>
      <c r="CR16" s="513"/>
      <c r="CS16" s="96"/>
      <c r="CT16" s="100" t="s">
        <v>208</v>
      </c>
      <c r="CU16" s="315">
        <f>IF(desc13_3=0,0,
IF(AND(desc_por_ob="Yes",ob13_3&gt;desc13_3),"wrong data",CU7-CU14-CU15))</f>
        <v>0</v>
      </c>
      <c r="CV16" s="315">
        <f>IF(desc13_3=0,0,
IF(AND(desc_por_ob="Yes",ob13_3&gt;desc13_3),"wrong data",CV7-CV14-CV15))</f>
        <v>0</v>
      </c>
      <c r="CW16" s="315" t="s">
        <v>7</v>
      </c>
      <c r="CX16" s="315" t="s">
        <v>7</v>
      </c>
      <c r="CY16" s="315" t="s">
        <v>7</v>
      </c>
      <c r="CZ16" s="513"/>
      <c r="DA16" s="96"/>
      <c r="DB16" s="100" t="s">
        <v>208</v>
      </c>
      <c r="DC16" s="315">
        <f>IF(desc14_3=0,0,
IF(AND(desc_por_ob="Yes",ob14_3&gt;desc14_3),"wrong data",DC7-DC14-DC15))</f>
        <v>0</v>
      </c>
      <c r="DD16" s="315">
        <f>IF(desc14_3=0,0,
IF(AND(desc_por_ob="Yes",ob14_3&gt;desc14_3),"wrong data",DD7-DD14-DD15))</f>
        <v>0</v>
      </c>
      <c r="DE16" s="315" t="s">
        <v>7</v>
      </c>
      <c r="DF16" s="315" t="s">
        <v>7</v>
      </c>
      <c r="DG16" s="315" t="s">
        <v>7</v>
      </c>
      <c r="DH16" s="513"/>
      <c r="DI16" s="96"/>
    </row>
    <row r="17" spans="2:113" s="97" customFormat="1" ht="15" customHeight="1">
      <c r="B17" s="98" t="str">
        <f>IF(OR(uso=3,uso=4),"Progression-free","On treatment")</f>
        <v>On treatment</v>
      </c>
      <c r="C17" s="314">
        <f>IF(AND(desc1_4=0,ob1_4=0),C14,
IF(AND(desc1_4=0,ob1_4&gt;0),C7*(1-ob1_4),C7*(1-desc1_4)))</f>
        <v>547.99398120000012</v>
      </c>
      <c r="D17" s="314" t="s">
        <v>7</v>
      </c>
      <c r="E17" s="314" t="s">
        <v>7</v>
      </c>
      <c r="F17" s="314" t="s">
        <v>7</v>
      </c>
      <c r="G17" s="314" t="s">
        <v>7</v>
      </c>
      <c r="H17" s="511" t="s">
        <v>308</v>
      </c>
      <c r="I17" s="96"/>
      <c r="J17" s="98" t="str">
        <f>IF(OR(uso=3,uso=4),"Progression-free","On treatment")</f>
        <v>On treatment</v>
      </c>
      <c r="K17" s="314">
        <f>IF(AND(desc2_4=0,ob2_4=0),K14,
IF(AND(desc2_4=0,ob2_4&gt;0),K7*(1-ob2_4),K7*(1-desc2_4)))</f>
        <v>616.49322885000004</v>
      </c>
      <c r="L17" s="314" t="s">
        <v>7</v>
      </c>
      <c r="M17" s="314" t="s">
        <v>7</v>
      </c>
      <c r="N17" s="314" t="s">
        <v>7</v>
      </c>
      <c r="O17" s="314" t="s">
        <v>7</v>
      </c>
      <c r="P17" s="511" t="s">
        <v>308</v>
      </c>
      <c r="Q17" s="96"/>
      <c r="R17" s="98" t="s">
        <v>206</v>
      </c>
      <c r="S17" s="314">
        <f>IF(AND(desc3_4=0,ob3_4=0),S14,
IF(AND(desc3_4=0,ob3_4&gt;0),S7*(1-ob3_4),S7*(1-desc3_4)))</f>
        <v>684.99247650000007</v>
      </c>
      <c r="T17" s="314" t="s">
        <v>7</v>
      </c>
      <c r="U17" s="314" t="s">
        <v>7</v>
      </c>
      <c r="V17" s="314" t="s">
        <v>7</v>
      </c>
      <c r="W17" s="314" t="s">
        <v>7</v>
      </c>
      <c r="X17" s="511" t="s">
        <v>308</v>
      </c>
      <c r="Y17" s="96"/>
      <c r="Z17" s="98" t="s">
        <v>206</v>
      </c>
      <c r="AA17" s="314">
        <f>IF(AND(desc4_4=0,ob4_4=0),AA14,
IF(AND(desc4_4=0,ob4_4&gt;0),AA7*(1-ob4_4),AA7*(1-desc4_4)))</f>
        <v>684.99247650000007</v>
      </c>
      <c r="AB17" s="314" t="s">
        <v>7</v>
      </c>
      <c r="AC17" s="314" t="s">
        <v>7</v>
      </c>
      <c r="AD17" s="314" t="s">
        <v>7</v>
      </c>
      <c r="AE17" s="314" t="s">
        <v>7</v>
      </c>
      <c r="AF17" s="511" t="s">
        <v>308</v>
      </c>
      <c r="AG17" s="96"/>
      <c r="AH17" s="98" t="s">
        <v>206</v>
      </c>
      <c r="AI17" s="314">
        <f>IF(AND(desc5_4=0,ob5_4=0),AI14,
IF(AND(desc5_4=0,ob5_4&gt;0),AI7*(1-ob5_4),AI7*(1-desc5_4)))</f>
        <v>684.99247650000007</v>
      </c>
      <c r="AJ17" s="314" t="s">
        <v>7</v>
      </c>
      <c r="AK17" s="314" t="s">
        <v>7</v>
      </c>
      <c r="AL17" s="314" t="s">
        <v>7</v>
      </c>
      <c r="AM17" s="314" t="s">
        <v>7</v>
      </c>
      <c r="AN17" s="511" t="s">
        <v>308</v>
      </c>
      <c r="AO17" s="96"/>
      <c r="AP17" s="98" t="s">
        <v>206</v>
      </c>
      <c r="AQ17" s="314">
        <f>IF(AND(desc6_4=0,ob6_4=0),AQ14,
IF(AND(desc6_4=0,ob6_4&gt;0),AQ7*(1-ob6_4),AQ7*(1-desc6_4)))</f>
        <v>684.99247650000007</v>
      </c>
      <c r="AR17" s="314" t="s">
        <v>7</v>
      </c>
      <c r="AS17" s="314" t="s">
        <v>7</v>
      </c>
      <c r="AT17" s="314" t="s">
        <v>7</v>
      </c>
      <c r="AU17" s="314" t="s">
        <v>7</v>
      </c>
      <c r="AV17" s="511" t="s">
        <v>308</v>
      </c>
      <c r="AW17" s="96"/>
      <c r="AX17" s="98" t="s">
        <v>206</v>
      </c>
      <c r="AY17" s="314">
        <f>IF(AND(desc7_4=0,ob7_4=0),AY14,
IF(AND(desc7_4=0,ob7_4&gt;0),AY7*(1-ob7_4),AY7*(1-desc7_4)))</f>
        <v>684.99247650000007</v>
      </c>
      <c r="AZ17" s="314" t="s">
        <v>7</v>
      </c>
      <c r="BA17" s="314" t="s">
        <v>7</v>
      </c>
      <c r="BB17" s="314" t="s">
        <v>7</v>
      </c>
      <c r="BC17" s="314" t="s">
        <v>7</v>
      </c>
      <c r="BD17" s="511" t="s">
        <v>308</v>
      </c>
      <c r="BE17" s="96"/>
      <c r="BF17" s="98" t="s">
        <v>206</v>
      </c>
      <c r="BG17" s="314">
        <f>IF(AND(desc8_4=0,ob8_4=0),BG14,
IF(AND(desc8_4=0,ob8_4&gt;0),BG7*(1-ob8_4),BG7*(1-desc8_4)))</f>
        <v>684.99247650000007</v>
      </c>
      <c r="BH17" s="314" t="s">
        <v>7</v>
      </c>
      <c r="BI17" s="314" t="s">
        <v>7</v>
      </c>
      <c r="BJ17" s="314" t="s">
        <v>7</v>
      </c>
      <c r="BK17" s="314" t="s">
        <v>7</v>
      </c>
      <c r="BL17" s="511" t="s">
        <v>308</v>
      </c>
      <c r="BM17" s="96"/>
      <c r="BN17" s="98" t="s">
        <v>206</v>
      </c>
      <c r="BO17" s="314">
        <f>IF(AND(desc9_4=0,ob9_4=0),BO14,
IF(AND(desc9_4=0,ob9_4&gt;0),BO7*(1-ob9_4),BO7*(1-desc9_4)))</f>
        <v>684.99247650000007</v>
      </c>
      <c r="BP17" s="314" t="s">
        <v>7</v>
      </c>
      <c r="BQ17" s="314" t="s">
        <v>7</v>
      </c>
      <c r="BR17" s="314" t="s">
        <v>7</v>
      </c>
      <c r="BS17" s="314" t="s">
        <v>7</v>
      </c>
      <c r="BT17" s="511" t="s">
        <v>308</v>
      </c>
      <c r="BU17" s="96"/>
      <c r="BV17" s="98" t="s">
        <v>206</v>
      </c>
      <c r="BW17" s="314">
        <f>IF(AND(desc10_4=0,ob10_4=0),BW14,
IF(AND(desc10_4=0,ob10_4&gt;0),BW7*(1-ob10_4),BW7*(1-desc10_4)))</f>
        <v>684.99247650000007</v>
      </c>
      <c r="BX17" s="314" t="s">
        <v>7</v>
      </c>
      <c r="BY17" s="314" t="s">
        <v>7</v>
      </c>
      <c r="BZ17" s="314" t="s">
        <v>7</v>
      </c>
      <c r="CA17" s="314" t="s">
        <v>7</v>
      </c>
      <c r="CB17" s="511" t="s">
        <v>308</v>
      </c>
      <c r="CC17" s="96"/>
      <c r="CD17" s="98" t="s">
        <v>206</v>
      </c>
      <c r="CE17" s="314">
        <f>IF(AND(desc11_4=0,ob11_4=0),CE14,
IF(AND(desc11_4=0,ob11_4&gt;0),CE7*(1-ob11_4),CE7*(1-desc11_4)))</f>
        <v>684.99247650000007</v>
      </c>
      <c r="CF17" s="314" t="s">
        <v>7</v>
      </c>
      <c r="CG17" s="314" t="s">
        <v>7</v>
      </c>
      <c r="CH17" s="314" t="s">
        <v>7</v>
      </c>
      <c r="CI17" s="314" t="s">
        <v>7</v>
      </c>
      <c r="CJ17" s="511" t="s">
        <v>308</v>
      </c>
      <c r="CK17" s="96"/>
      <c r="CL17" s="98" t="s">
        <v>206</v>
      </c>
      <c r="CM17" s="314">
        <f>IF(AND(desc12_4=0,ob12_4=0),CM14,
IF(AND(desc12_4=0,ob12_4&gt;0),CM7*(1-ob12_4),CM7*(1-desc12_4)))</f>
        <v>684.99247650000007</v>
      </c>
      <c r="CN17" s="314" t="s">
        <v>7</v>
      </c>
      <c r="CO17" s="314" t="s">
        <v>7</v>
      </c>
      <c r="CP17" s="314" t="s">
        <v>7</v>
      </c>
      <c r="CQ17" s="314" t="s">
        <v>7</v>
      </c>
      <c r="CR17" s="511" t="s">
        <v>308</v>
      </c>
      <c r="CS17" s="96"/>
      <c r="CT17" s="98" t="s">
        <v>206</v>
      </c>
      <c r="CU17" s="314">
        <f>IF(AND(desc13_4=0,ob13_4=0),CU14,
IF(AND(desc13_4=0,ob13_4&gt;0),CU7*(1-ob13_4),CU7*(1-desc13_4)))</f>
        <v>684.99247650000007</v>
      </c>
      <c r="CV17" s="314" t="s">
        <v>7</v>
      </c>
      <c r="CW17" s="314" t="s">
        <v>7</v>
      </c>
      <c r="CX17" s="314" t="s">
        <v>7</v>
      </c>
      <c r="CY17" s="314" t="s">
        <v>7</v>
      </c>
      <c r="CZ17" s="511" t="s">
        <v>308</v>
      </c>
      <c r="DA17" s="96"/>
      <c r="DB17" s="98" t="s">
        <v>206</v>
      </c>
      <c r="DC17" s="314">
        <f>IF(AND(desc14_4=0,ob14_4=0),DC14,
IF(AND(desc14_4=0,ob14_4&gt;0),DC7*(1-ob14_4),DC7*(1-desc14_4)))</f>
        <v>684.99247650000007</v>
      </c>
      <c r="DD17" s="314" t="s">
        <v>7</v>
      </c>
      <c r="DE17" s="314" t="s">
        <v>7</v>
      </c>
      <c r="DF17" s="314" t="s">
        <v>7</v>
      </c>
      <c r="DG17" s="314" t="s">
        <v>7</v>
      </c>
      <c r="DH17" s="511" t="s">
        <v>308</v>
      </c>
      <c r="DI17" s="96"/>
    </row>
    <row r="18" spans="2:113" s="97" customFormat="1">
      <c r="B18" s="99" t="s">
        <v>207</v>
      </c>
      <c r="C18" s="80">
        <f>IF(ob1_4=0,0,
IF(desc1_4=0,C7*ob1_4,
IF(desc_por_ob="No",0,
IF(AND(desc_por_ob="Yes",ob1_4&gt;desc1_4),"wrong data",(C7*ob1_4)))))</f>
        <v>20.54977429500002</v>
      </c>
      <c r="D18" s="80" t="s">
        <v>7</v>
      </c>
      <c r="E18" s="80" t="s">
        <v>7</v>
      </c>
      <c r="F18" s="80" t="s">
        <v>7</v>
      </c>
      <c r="G18" s="80" t="s">
        <v>7</v>
      </c>
      <c r="H18" s="512"/>
      <c r="I18" s="96"/>
      <c r="J18" s="99" t="s">
        <v>207</v>
      </c>
      <c r="K18" s="80">
        <f>IF(ob2_4=0,0,
IF(desc2_4=0,K7*ob2_4,
IF(desc_por_ob="No",0,
IF(AND(desc_por_ob="Yes",ob2_4&gt;desc2_4),"wrong data",(K7*ob2_4)))))</f>
        <v>20.54977429500002</v>
      </c>
      <c r="L18" s="80" t="s">
        <v>7</v>
      </c>
      <c r="M18" s="80" t="s">
        <v>7</v>
      </c>
      <c r="N18" s="80" t="s">
        <v>7</v>
      </c>
      <c r="O18" s="80" t="s">
        <v>7</v>
      </c>
      <c r="P18" s="512"/>
      <c r="Q18" s="96"/>
      <c r="R18" s="99" t="s">
        <v>207</v>
      </c>
      <c r="S18" s="80">
        <f>IF(ob3_4=0,0,
IF(desc3_4=0,S7*ob3_4,
IF(desc_por_ob="No",0,
IF(AND(desc_por_ob="Yes",ob3_4&gt;desc3_4),"wrong data",(S7*ob3_4)))))</f>
        <v>0</v>
      </c>
      <c r="T18" s="80" t="s">
        <v>7</v>
      </c>
      <c r="U18" s="80" t="s">
        <v>7</v>
      </c>
      <c r="V18" s="80" t="s">
        <v>7</v>
      </c>
      <c r="W18" s="80" t="s">
        <v>7</v>
      </c>
      <c r="X18" s="512"/>
      <c r="Y18" s="96"/>
      <c r="Z18" s="99" t="s">
        <v>207</v>
      </c>
      <c r="AA18" s="80">
        <f>IF(ob4_4=0,0,
IF(desc4_4=0,AA7*ob4_4,
IF(desc_por_ob="No",0,
IF(AND(desc_por_ob="Yes",ob4_4&gt;desc4_4),"wrong data",(AA7*ob4_4)))))</f>
        <v>0</v>
      </c>
      <c r="AB18" s="80" t="s">
        <v>7</v>
      </c>
      <c r="AC18" s="80" t="s">
        <v>7</v>
      </c>
      <c r="AD18" s="80" t="s">
        <v>7</v>
      </c>
      <c r="AE18" s="80" t="s">
        <v>7</v>
      </c>
      <c r="AF18" s="512"/>
      <c r="AG18" s="96"/>
      <c r="AH18" s="99" t="s">
        <v>207</v>
      </c>
      <c r="AI18" s="80">
        <f>IF(ob5_4=0,0,
IF(desc5_4=0,AI7*ob5_4,
IF(desc_por_ob="No",0,
IF(AND(desc_por_ob="Yes",ob5_4&gt;desc5_4),"wrong data",(AI7*ob5_4)))))</f>
        <v>0</v>
      </c>
      <c r="AJ18" s="80" t="s">
        <v>7</v>
      </c>
      <c r="AK18" s="80" t="s">
        <v>7</v>
      </c>
      <c r="AL18" s="80" t="s">
        <v>7</v>
      </c>
      <c r="AM18" s="80" t="s">
        <v>7</v>
      </c>
      <c r="AN18" s="512"/>
      <c r="AO18" s="96"/>
      <c r="AP18" s="99" t="s">
        <v>207</v>
      </c>
      <c r="AQ18" s="80">
        <f>IF(ob6_4=0,0,
IF(desc6_4=0,AQ7*ob6_4,
IF(desc_por_ob="No",0,
IF(AND(desc_por_ob="Yes",ob6_4&gt;desc6_4),"wrong data",(AQ7*ob6_4)))))</f>
        <v>0</v>
      </c>
      <c r="AR18" s="80" t="s">
        <v>7</v>
      </c>
      <c r="AS18" s="80" t="s">
        <v>7</v>
      </c>
      <c r="AT18" s="80" t="s">
        <v>7</v>
      </c>
      <c r="AU18" s="80" t="s">
        <v>7</v>
      </c>
      <c r="AV18" s="512"/>
      <c r="AW18" s="96"/>
      <c r="AX18" s="99" t="s">
        <v>207</v>
      </c>
      <c r="AY18" s="80">
        <f>IF(ob7_4=0,0,
IF(desc7_4=0,AY7*ob7_4,
IF(desc_por_ob="No",0,
IF(AND(desc_por_ob="Yes",ob7_4&gt;desc7_4),"wrong data",(AY7*ob7_4)))))</f>
        <v>0</v>
      </c>
      <c r="AZ18" s="80" t="s">
        <v>7</v>
      </c>
      <c r="BA18" s="80" t="s">
        <v>7</v>
      </c>
      <c r="BB18" s="80" t="s">
        <v>7</v>
      </c>
      <c r="BC18" s="80" t="s">
        <v>7</v>
      </c>
      <c r="BD18" s="512"/>
      <c r="BE18" s="96"/>
      <c r="BF18" s="99" t="s">
        <v>207</v>
      </c>
      <c r="BG18" s="80">
        <f>IF(ob8_4=0,0,
IF(desc8_4=0,BG7*ob8_4,
IF(desc_por_ob="No",0,
IF(AND(desc_por_ob="Yes",ob8_4&gt;desc8_4),"wrong data",(BG7*ob8_4)))))</f>
        <v>0</v>
      </c>
      <c r="BH18" s="80" t="s">
        <v>7</v>
      </c>
      <c r="BI18" s="80" t="s">
        <v>7</v>
      </c>
      <c r="BJ18" s="80" t="s">
        <v>7</v>
      </c>
      <c r="BK18" s="80" t="s">
        <v>7</v>
      </c>
      <c r="BL18" s="512"/>
      <c r="BM18" s="96"/>
      <c r="BN18" s="99" t="s">
        <v>207</v>
      </c>
      <c r="BO18" s="80">
        <f>IF(ob9_4=0,0,
IF(desc9_4=0,BO7*ob9_4,
IF(desc_por_ob="No",0,
IF(AND(desc_por_ob="Yes",ob9_4&gt;desc9_4),"wrong data",(BO7*ob9_4)))))</f>
        <v>0</v>
      </c>
      <c r="BP18" s="80" t="s">
        <v>7</v>
      </c>
      <c r="BQ18" s="80" t="s">
        <v>7</v>
      </c>
      <c r="BR18" s="80" t="s">
        <v>7</v>
      </c>
      <c r="BS18" s="80" t="s">
        <v>7</v>
      </c>
      <c r="BT18" s="512"/>
      <c r="BU18" s="96"/>
      <c r="BV18" s="99" t="s">
        <v>207</v>
      </c>
      <c r="BW18" s="80">
        <f>IF(ob10_4=0,0,
IF(desc10_4=0,BW7*ob10_4,
IF(desc_por_ob="No",0,
IF(AND(desc_por_ob="Yes",ob10_4&gt;desc10_4),"wrong data",(BW7*ob10_4)))))</f>
        <v>0</v>
      </c>
      <c r="BX18" s="80" t="s">
        <v>7</v>
      </c>
      <c r="BY18" s="80" t="s">
        <v>7</v>
      </c>
      <c r="BZ18" s="80" t="s">
        <v>7</v>
      </c>
      <c r="CA18" s="80" t="s">
        <v>7</v>
      </c>
      <c r="CB18" s="512"/>
      <c r="CC18" s="96"/>
      <c r="CD18" s="99" t="s">
        <v>207</v>
      </c>
      <c r="CE18" s="80">
        <f>IF(ob11_4=0,0,
IF(desc11_4=0,CE7*ob11_4,
IF(desc_por_ob="No",0,
IF(AND(desc_por_ob="Yes",ob11_4&gt;desc11_4),"wrong data",(CE7*ob11_4)))))</f>
        <v>0</v>
      </c>
      <c r="CF18" s="80" t="s">
        <v>7</v>
      </c>
      <c r="CG18" s="80" t="s">
        <v>7</v>
      </c>
      <c r="CH18" s="80" t="s">
        <v>7</v>
      </c>
      <c r="CI18" s="80" t="s">
        <v>7</v>
      </c>
      <c r="CJ18" s="512"/>
      <c r="CK18" s="96"/>
      <c r="CL18" s="99" t="s">
        <v>207</v>
      </c>
      <c r="CM18" s="80">
        <f>IF(ob12_4=0,0,
IF(desc12_4=0,CM7*ob12_4,
IF(desc_por_ob="No",0,
IF(AND(desc_por_ob="Yes",ob12_4&gt;desc12_4),"wrong data",(CM7*ob12_4)))))</f>
        <v>0</v>
      </c>
      <c r="CN18" s="80" t="s">
        <v>7</v>
      </c>
      <c r="CO18" s="80" t="s">
        <v>7</v>
      </c>
      <c r="CP18" s="80" t="s">
        <v>7</v>
      </c>
      <c r="CQ18" s="80" t="s">
        <v>7</v>
      </c>
      <c r="CR18" s="512"/>
      <c r="CS18" s="96"/>
      <c r="CT18" s="99" t="s">
        <v>207</v>
      </c>
      <c r="CU18" s="80">
        <f>IF(ob13_4=0,0,
IF(desc13_4=0,CU7*ob13_4,
IF(desc_por_ob="No",0,
IF(AND(desc_por_ob="Yes",ob13_4&gt;desc13_4),"wrong data",(CU7*ob13_4)))))</f>
        <v>0</v>
      </c>
      <c r="CV18" s="80" t="s">
        <v>7</v>
      </c>
      <c r="CW18" s="80" t="s">
        <v>7</v>
      </c>
      <c r="CX18" s="80" t="s">
        <v>7</v>
      </c>
      <c r="CY18" s="80" t="s">
        <v>7</v>
      </c>
      <c r="CZ18" s="512"/>
      <c r="DA18" s="96"/>
      <c r="DB18" s="99" t="s">
        <v>207</v>
      </c>
      <c r="DC18" s="80">
        <f>IF(ob14_4=0,0,
IF(desc14_4=0,DC7*ob14_4,
IF(desc_por_ob="No",0,
IF(AND(desc_por_ob="Yes",ob14_4&gt;desc14_4),"wrong data",(DC7*ob14_4)))))</f>
        <v>0</v>
      </c>
      <c r="DD18" s="80" t="s">
        <v>7</v>
      </c>
      <c r="DE18" s="80" t="s">
        <v>7</v>
      </c>
      <c r="DF18" s="80" t="s">
        <v>7</v>
      </c>
      <c r="DG18" s="80" t="s">
        <v>7</v>
      </c>
      <c r="DH18" s="512"/>
      <c r="DI18" s="96"/>
    </row>
    <row r="19" spans="2:113" s="97" customFormat="1" ht="15" thickBot="1">
      <c r="B19" s="100" t="str">
        <f>IF(OR(uso=3,uso=4),"Progressed","Discontinued")</f>
        <v>Discontinued</v>
      </c>
      <c r="C19" s="315">
        <f>IF(desc1_4=0,0,
IF(AND(desc_por_ob="Yes",ob1_4&gt;desc1_4),"wrong data",C7-C17-C18))</f>
        <v>116.44872100499992</v>
      </c>
      <c r="D19" s="315" t="s">
        <v>7</v>
      </c>
      <c r="E19" s="315" t="s">
        <v>7</v>
      </c>
      <c r="F19" s="315" t="s">
        <v>7</v>
      </c>
      <c r="G19" s="315" t="s">
        <v>7</v>
      </c>
      <c r="H19" s="513"/>
      <c r="I19" s="96"/>
      <c r="J19" s="100" t="str">
        <f>IF(OR(uso=3,uso=4),"Progressed","Discontinued")</f>
        <v>Discontinued</v>
      </c>
      <c r="K19" s="315">
        <f>IF(desc2_4=0,0,
IF(AND(desc_por_ob="Yes",ob2_4&gt;desc2_4),"wrong data",K7-K17-K18))</f>
        <v>47.949473355000009</v>
      </c>
      <c r="L19" s="315" t="s">
        <v>7</v>
      </c>
      <c r="M19" s="315" t="s">
        <v>7</v>
      </c>
      <c r="N19" s="315" t="s">
        <v>7</v>
      </c>
      <c r="O19" s="315" t="s">
        <v>7</v>
      </c>
      <c r="P19" s="513"/>
      <c r="Q19" s="96"/>
      <c r="R19" s="100" t="s">
        <v>208</v>
      </c>
      <c r="S19" s="315">
        <f>IF(desc3_4=0,0,
IF(AND(desc_por_ob="Yes",ob3_4&gt;desc3_4),"wrong data",S7-S17-S18))</f>
        <v>0</v>
      </c>
      <c r="T19" s="315" t="s">
        <v>7</v>
      </c>
      <c r="U19" s="315" t="s">
        <v>7</v>
      </c>
      <c r="V19" s="315" t="s">
        <v>7</v>
      </c>
      <c r="W19" s="315" t="s">
        <v>7</v>
      </c>
      <c r="X19" s="513"/>
      <c r="Y19" s="96"/>
      <c r="Z19" s="100" t="s">
        <v>208</v>
      </c>
      <c r="AA19" s="315">
        <f>IF(desc4_4=0,0,
IF(AND(desc_por_ob="Yes",ob4_4&gt;desc4_4),"wrong data",AA7-AA17-AA18))</f>
        <v>0</v>
      </c>
      <c r="AB19" s="315" t="s">
        <v>7</v>
      </c>
      <c r="AC19" s="315" t="s">
        <v>7</v>
      </c>
      <c r="AD19" s="315" t="s">
        <v>7</v>
      </c>
      <c r="AE19" s="315" t="s">
        <v>7</v>
      </c>
      <c r="AF19" s="513"/>
      <c r="AG19" s="96"/>
      <c r="AH19" s="100" t="s">
        <v>208</v>
      </c>
      <c r="AI19" s="315">
        <f>IF(desc5_4=0,0,
IF(AND(desc_por_ob="Yes",ob5_4&gt;desc5_4),"wrong data",AI7-AI17-AI18))</f>
        <v>0</v>
      </c>
      <c r="AJ19" s="315" t="s">
        <v>7</v>
      </c>
      <c r="AK19" s="315" t="s">
        <v>7</v>
      </c>
      <c r="AL19" s="315" t="s">
        <v>7</v>
      </c>
      <c r="AM19" s="315" t="s">
        <v>7</v>
      </c>
      <c r="AN19" s="513"/>
      <c r="AO19" s="96"/>
      <c r="AP19" s="100" t="s">
        <v>208</v>
      </c>
      <c r="AQ19" s="315">
        <f>IF(desc6_4=0,0,
IF(AND(desc_por_ob="Yes",ob6_4&gt;desc6_4),"wrong data",AQ7-AQ17-AQ18))</f>
        <v>0</v>
      </c>
      <c r="AR19" s="315" t="s">
        <v>7</v>
      </c>
      <c r="AS19" s="315" t="s">
        <v>7</v>
      </c>
      <c r="AT19" s="315" t="s">
        <v>7</v>
      </c>
      <c r="AU19" s="315" t="s">
        <v>7</v>
      </c>
      <c r="AV19" s="513"/>
      <c r="AW19" s="96"/>
      <c r="AX19" s="100" t="s">
        <v>208</v>
      </c>
      <c r="AY19" s="315">
        <f>IF(desc7_4=0,0,
IF(AND(desc_por_ob="Yes",ob7_4&gt;desc7_4),"wrong data",AY7-AY17-AY18))</f>
        <v>0</v>
      </c>
      <c r="AZ19" s="315" t="s">
        <v>7</v>
      </c>
      <c r="BA19" s="315" t="s">
        <v>7</v>
      </c>
      <c r="BB19" s="315" t="s">
        <v>7</v>
      </c>
      <c r="BC19" s="315" t="s">
        <v>7</v>
      </c>
      <c r="BD19" s="513"/>
      <c r="BE19" s="96"/>
      <c r="BF19" s="100" t="s">
        <v>208</v>
      </c>
      <c r="BG19" s="315">
        <f>IF(desc8_4=0,0,
IF(AND(desc_por_ob="Yes",ob8_4&gt;desc8_4),"wrong data",BG7-BG17-BG18))</f>
        <v>0</v>
      </c>
      <c r="BH19" s="315" t="s">
        <v>7</v>
      </c>
      <c r="BI19" s="315" t="s">
        <v>7</v>
      </c>
      <c r="BJ19" s="315" t="s">
        <v>7</v>
      </c>
      <c r="BK19" s="315" t="s">
        <v>7</v>
      </c>
      <c r="BL19" s="513"/>
      <c r="BM19" s="96"/>
      <c r="BN19" s="100" t="s">
        <v>208</v>
      </c>
      <c r="BO19" s="315">
        <f>IF(desc9_4=0,0,
IF(AND(desc_por_ob="Yes",ob9_4&gt;desc9_4),"wrong data",BO7-BO17-BO18))</f>
        <v>0</v>
      </c>
      <c r="BP19" s="315" t="s">
        <v>7</v>
      </c>
      <c r="BQ19" s="315" t="s">
        <v>7</v>
      </c>
      <c r="BR19" s="315" t="s">
        <v>7</v>
      </c>
      <c r="BS19" s="315" t="s">
        <v>7</v>
      </c>
      <c r="BT19" s="513"/>
      <c r="BU19" s="96"/>
      <c r="BV19" s="100" t="s">
        <v>208</v>
      </c>
      <c r="BW19" s="315">
        <f>IF(desc10_4=0,0,
IF(AND(desc_por_ob="Yes",ob10_4&gt;desc10_4),"wrong data",BW7-BW17-BW18))</f>
        <v>0</v>
      </c>
      <c r="BX19" s="315" t="s">
        <v>7</v>
      </c>
      <c r="BY19" s="315" t="s">
        <v>7</v>
      </c>
      <c r="BZ19" s="315" t="s">
        <v>7</v>
      </c>
      <c r="CA19" s="315" t="s">
        <v>7</v>
      </c>
      <c r="CB19" s="513"/>
      <c r="CC19" s="96"/>
      <c r="CD19" s="100" t="s">
        <v>208</v>
      </c>
      <c r="CE19" s="315">
        <f>IF(desc11_4=0,0,
IF(AND(desc_por_ob="Yes",ob11_4&gt;desc11_4),"wrong data",CE7-CE17-CE18))</f>
        <v>0</v>
      </c>
      <c r="CF19" s="315" t="s">
        <v>7</v>
      </c>
      <c r="CG19" s="315" t="s">
        <v>7</v>
      </c>
      <c r="CH19" s="315" t="s">
        <v>7</v>
      </c>
      <c r="CI19" s="315" t="s">
        <v>7</v>
      </c>
      <c r="CJ19" s="513"/>
      <c r="CK19" s="96"/>
      <c r="CL19" s="100" t="s">
        <v>208</v>
      </c>
      <c r="CM19" s="315">
        <f>IF(desc12_4=0,0,
IF(AND(desc_por_ob="Yes",ob12_4&gt;desc12_4),"wrong data",CM7-CM17-CM18))</f>
        <v>0</v>
      </c>
      <c r="CN19" s="315" t="s">
        <v>7</v>
      </c>
      <c r="CO19" s="315" t="s">
        <v>7</v>
      </c>
      <c r="CP19" s="315" t="s">
        <v>7</v>
      </c>
      <c r="CQ19" s="315" t="s">
        <v>7</v>
      </c>
      <c r="CR19" s="513"/>
      <c r="CS19" s="96"/>
      <c r="CT19" s="100" t="s">
        <v>208</v>
      </c>
      <c r="CU19" s="315">
        <f>IF(desc13_4=0,0,
IF(AND(desc_por_ob="Yes",ob13_4&gt;desc13_4),"wrong data",CU7-CU17-CU18))</f>
        <v>0</v>
      </c>
      <c r="CV19" s="315" t="s">
        <v>7</v>
      </c>
      <c r="CW19" s="315" t="s">
        <v>7</v>
      </c>
      <c r="CX19" s="315" t="s">
        <v>7</v>
      </c>
      <c r="CY19" s="315" t="s">
        <v>7</v>
      </c>
      <c r="CZ19" s="513"/>
      <c r="DA19" s="96"/>
      <c r="DB19" s="100" t="s">
        <v>208</v>
      </c>
      <c r="DC19" s="315">
        <f>IF(desc14_4=0,0,
IF(AND(desc_por_ob="Yes",ob14_4&gt;desc14_4),"wrong data",DC7-DC17-DC18))</f>
        <v>0</v>
      </c>
      <c r="DD19" s="315" t="s">
        <v>7</v>
      </c>
      <c r="DE19" s="315" t="s">
        <v>7</v>
      </c>
      <c r="DF19" s="315" t="s">
        <v>7</v>
      </c>
      <c r="DG19" s="315" t="s">
        <v>7</v>
      </c>
      <c r="DH19" s="513"/>
      <c r="DI19" s="96"/>
    </row>
    <row r="20" spans="2:113">
      <c r="C20" s="308" t="str">
        <f>IF(AND(SUM(C8:C10)=C7,SUM(C11:C13)=C7,SUM(C14:C16)=C7,SUM(C17:C19)=C7),"ok","conferir")</f>
        <v>ok</v>
      </c>
      <c r="D20" s="308" t="str">
        <f>IF(AND(SUM(D8:D10)=D7,SUM(D11:D13)=D7,SUM(D14:D16)=D7),"ok","conferir")</f>
        <v>ok</v>
      </c>
      <c r="E20" s="308" t="str">
        <f>IF(AND(SUM(E8:E10)=E7,SUM(E11:E13)=E7),"ok","conferir")</f>
        <v>ok</v>
      </c>
      <c r="F20" s="308" t="str">
        <f>IF(AND(SUM(F8:F10)=F7),"ok","conferir")</f>
        <v>ok</v>
      </c>
      <c r="K20" s="308" t="str">
        <f>IF(AND(SUM(K8:K10)=K7,SUM(K11:K13)=K7,SUM(K14:K16)=K7,SUM(K17:K19)=K7),"ok","conferir")</f>
        <v>ok</v>
      </c>
      <c r="L20" s="308" t="str">
        <f>IF(AND(SUM(L8:L10)=L7,SUM(L11:L13)=L7,SUM(L14:L16)=L7),"ok","conferir")</f>
        <v>ok</v>
      </c>
      <c r="M20" s="308" t="str">
        <f>IF(AND(SUM(M8:M10)=M7,SUM(M11:M13)=M7),"ok","conferir")</f>
        <v>ok</v>
      </c>
      <c r="N20" s="308" t="str">
        <f>IF(AND(SUM(N8:N10)=N7),"ok","conferir")</f>
        <v>ok</v>
      </c>
      <c r="S20" s="308" t="str">
        <f>IF(AND(SUM(S8:S10)=S7,SUM(S11:S13)=S7,SUM(S14:S16)=S7,SUM(S17:S19)=S7),"ok","conferir")</f>
        <v>ok</v>
      </c>
      <c r="T20" s="308" t="str">
        <f>IF(AND(SUM(T8:T10)=T7,SUM(T11:T13)=T7,SUM(T14:T16)=T7),"ok","conferir")</f>
        <v>ok</v>
      </c>
      <c r="U20" s="308" t="str">
        <f>IF(AND(SUM(U8:U10)=U7,SUM(U11:U13)=U7),"ok","conferir")</f>
        <v>ok</v>
      </c>
      <c r="V20" s="308" t="str">
        <f>IF(AND(SUM(V8:V10)=V7),"ok","conferir")</f>
        <v>ok</v>
      </c>
      <c r="AA20" s="308" t="str">
        <f>IF(AND(SUM(AA8:AA10)=AA7,SUM(AA11:AA13)=AA7,SUM(AA14:AA16)=AA7,SUM(AA17:AA19)=AA7),"ok","conferir")</f>
        <v>ok</v>
      </c>
      <c r="AB20" s="308" t="str">
        <f>IF(AND(SUM(AB8:AB10)=AB7,SUM(AB11:AB13)=AB7,SUM(AB14:AB16)=AB7),"ok","conferir")</f>
        <v>ok</v>
      </c>
      <c r="AC20" s="308" t="str">
        <f>IF(AND(SUM(AC8:AC10)=AC7,SUM(AC11:AC13)=AC7),"ok","conferir")</f>
        <v>ok</v>
      </c>
      <c r="AD20" s="308" t="str">
        <f>IF(AND(SUM(AD8:AD10)=AD7),"ok","conferir")</f>
        <v>ok</v>
      </c>
      <c r="AI20" s="308" t="str">
        <f>IF(AND(SUM(AI8:AI10)=AI7,SUM(AI11:AI13)=AI7,SUM(AI14:AI16)=AI7,SUM(AI17:AI19)=AI7),"ok","conferir")</f>
        <v>ok</v>
      </c>
      <c r="AJ20" s="308" t="str">
        <f>IF(AND(SUM(AJ8:AJ10)=AJ7,SUM(AJ11:AJ13)=AJ7,SUM(AJ14:AJ16)=AJ7),"ok","conferir")</f>
        <v>ok</v>
      </c>
      <c r="AK20" s="308" t="str">
        <f>IF(AND(SUM(AK8:AK10)=AK7,SUM(AK11:AK13)=AK7),"ok","conferir")</f>
        <v>ok</v>
      </c>
      <c r="AL20" s="308" t="str">
        <f>IF(AND(SUM(AL8:AL10)=AL7),"ok","conferir")</f>
        <v>ok</v>
      </c>
      <c r="AQ20" s="308" t="str">
        <f>IF(AND(SUM(AQ8:AQ10)=AQ7,SUM(AQ11:AQ13)=AQ7,SUM(AQ14:AQ16)=AQ7,SUM(AQ17:AQ19)=AQ7),"ok","conferir")</f>
        <v>ok</v>
      </c>
      <c r="AR20" s="308" t="str">
        <f>IF(AND(SUM(AR8:AR10)=AR7,SUM(AR11:AR13)=AR7,SUM(AR14:AR16)=AR7),"ok","conferir")</f>
        <v>ok</v>
      </c>
      <c r="AS20" s="308" t="str">
        <f>IF(AND(SUM(AS8:AS10)=AS7,SUM(AS11:AS13)=AS7),"ok","conferir")</f>
        <v>ok</v>
      </c>
      <c r="AT20" s="308" t="str">
        <f>IF(AND(SUM(AT8:AT10)=AT7),"ok","conferir")</f>
        <v>ok</v>
      </c>
      <c r="AY20" s="308" t="str">
        <f>IF(AND(SUM(AY8:AY10)=AY7,SUM(AY11:AY13)=AY7,SUM(AY14:AY16)=AY7,SUM(AY17:AY19)=AY7),"ok","conferir")</f>
        <v>ok</v>
      </c>
      <c r="AZ20" s="308" t="str">
        <f>IF(AND(SUM(AZ8:AZ10)=AZ7,SUM(AZ11:AZ13)=AZ7,SUM(AZ14:AZ16)=AZ7),"ok","conferir")</f>
        <v>ok</v>
      </c>
      <c r="BA20" s="308" t="str">
        <f>IF(AND(SUM(BA8:BA10)=BA7,SUM(BA11:BA13)=BA7),"ok","conferir")</f>
        <v>ok</v>
      </c>
      <c r="BB20" s="308" t="str">
        <f>IF(AND(SUM(BB8:BB10)=BB7),"ok","conferir")</f>
        <v>ok</v>
      </c>
      <c r="BG20" s="308" t="str">
        <f>IF(AND(SUM(BG8:BG10)=BG7,SUM(BG11:BG13)=BG7,SUM(BG14:BG16)=BG7,SUM(BG17:BG19)=BG7),"ok","conferir")</f>
        <v>ok</v>
      </c>
      <c r="BH20" s="308" t="str">
        <f>IF(AND(SUM(BH8:BH10)=BH7,SUM(BH11:BH13)=BH7,SUM(BH14:BH16)=BH7),"ok","conferir")</f>
        <v>ok</v>
      </c>
      <c r="BI20" s="308" t="str">
        <f>IF(AND(SUM(BI8:BI10)=BI7,SUM(BI11:BI13)=BI7),"ok","conferir")</f>
        <v>ok</v>
      </c>
      <c r="BJ20" s="308" t="str">
        <f>IF(AND(SUM(BJ8:BJ10)=BJ7),"ok","conferir")</f>
        <v>ok</v>
      </c>
      <c r="BO20" s="308" t="str">
        <f>IF(AND(SUM(BO8:BO10)=BO7,SUM(BO11:BO13)=BO7,SUM(BO14:BO16)=BO7,SUM(BO17:BO19)=BO7),"ok","conferir")</f>
        <v>ok</v>
      </c>
      <c r="BP20" s="308" t="str">
        <f>IF(AND(SUM(BP8:BP10)=BP7,SUM(BP11:BP13)=BP7,SUM(BP14:BP16)=BP7),"ok","conferir")</f>
        <v>ok</v>
      </c>
      <c r="BQ20" s="308" t="str">
        <f>IF(AND(SUM(BQ8:BQ10)=BQ7,SUM(BQ11:BQ13)=BQ7),"ok","conferir")</f>
        <v>ok</v>
      </c>
      <c r="BR20" s="308" t="str">
        <f>IF(AND(SUM(BR8:BR10)=BR7),"ok","conferir")</f>
        <v>ok</v>
      </c>
      <c r="BW20" s="308" t="str">
        <f>IF(AND(SUM(BW8:BW10)=BW7,SUM(BW11:BW13)=BW7,SUM(BW14:BW16)=BW7,SUM(BW17:BW19)=BW7),"ok","conferir")</f>
        <v>ok</v>
      </c>
      <c r="BX20" s="308" t="str">
        <f>IF(AND(SUM(BX8:BX10)=BX7,SUM(BX11:BX13)=BX7,SUM(BX14:BX16)=BX7),"ok","conferir")</f>
        <v>ok</v>
      </c>
      <c r="BY20" s="308" t="str">
        <f>IF(AND(SUM(BY8:BY10)=BY7,SUM(BY11:BY13)=BY7),"ok","conferir")</f>
        <v>ok</v>
      </c>
      <c r="BZ20" s="308" t="str">
        <f>IF(AND(SUM(BZ8:BZ10)=BZ7),"ok","conferir")</f>
        <v>ok</v>
      </c>
      <c r="CE20" s="308" t="str">
        <f>IF(AND(SUM(CE8:CE10)=CE7,SUM(CE11:CE13)=CE7,SUM(CE14:CE16)=CE7,SUM(CE17:CE19)=CE7),"ok","conferir")</f>
        <v>ok</v>
      </c>
      <c r="CF20" s="308" t="str">
        <f>IF(AND(SUM(CF8:CF10)=CF7,SUM(CF11:CF13)=CF7,SUM(CF14:CF16)=CF7),"ok","conferir")</f>
        <v>ok</v>
      </c>
      <c r="CG20" s="308" t="str">
        <f>IF(AND(SUM(CG8:CG10)=CG7,SUM(CG11:CG13)=CG7),"ok","conferir")</f>
        <v>ok</v>
      </c>
      <c r="CH20" s="308" t="str">
        <f>IF(AND(SUM(CH8:CH10)=CH7),"ok","conferir")</f>
        <v>ok</v>
      </c>
      <c r="CM20" s="308" t="str">
        <f>IF(AND(SUM(CM8:CM10)=CM7,SUM(CM11:CM13)=CM7,SUM(CM14:CM16)=CM7,SUM(CM17:CM19)=CM7),"ok","conferir")</f>
        <v>ok</v>
      </c>
      <c r="CN20" s="308" t="str">
        <f>IF(AND(SUM(CN8:CN10)=CN7,SUM(CN11:CN13)=CN7,SUM(CN14:CN16)=CN7),"ok","conferir")</f>
        <v>ok</v>
      </c>
      <c r="CO20" s="308" t="str">
        <f>IF(AND(SUM(CO8:CO10)=CO7,SUM(CO11:CO13)=CO7),"ok","conferir")</f>
        <v>ok</v>
      </c>
      <c r="CP20" s="308" t="str">
        <f>IF(AND(SUM(CP8:CP10)=CP7),"ok","conferir")</f>
        <v>ok</v>
      </c>
      <c r="CU20" s="308" t="str">
        <f>IF(AND(SUM(CU8:CU10)=CU7,SUM(CU11:CU13)=CU7,SUM(CU14:CU16)=CU7,SUM(CU17:CU19)=CU7),"ok","conferir")</f>
        <v>ok</v>
      </c>
      <c r="CV20" s="308" t="str">
        <f>IF(AND(SUM(CV8:CV10)=CV7,SUM(CV11:CV13)=CV7,SUM(CV14:CV16)=CV7),"ok","conferir")</f>
        <v>ok</v>
      </c>
      <c r="CW20" s="308" t="str">
        <f>IF(AND(SUM(CW8:CW10)=CW7,SUM(CW11:CW13)=CW7),"ok","conferir")</f>
        <v>ok</v>
      </c>
      <c r="CX20" s="308" t="str">
        <f>IF(AND(SUM(CX8:CX10)=CX7),"ok","conferir")</f>
        <v>ok</v>
      </c>
      <c r="DC20" s="308" t="str">
        <f>IF(AND(SUM(DC8:DC10)=DC7,SUM(DC11:DC13)=DC7,SUM(DC14:DC16)=DC7,SUM(DC17:DC19)=DC7),"ok","conferir")</f>
        <v>ok</v>
      </c>
      <c r="DD20" s="308" t="str">
        <f>IF(AND(SUM(DD8:DD10)=DD7,SUM(DD11:DD13)=DD7,SUM(DD14:DD16)=DD7),"ok","conferir")</f>
        <v>ok</v>
      </c>
      <c r="DE20" s="308" t="str">
        <f>IF(AND(SUM(DE8:DE10)=DE7,SUM(DE11:DE13)=DE7),"ok","conferir")</f>
        <v>ok</v>
      </c>
      <c r="DF20" s="308" t="str">
        <f>IF(AND(SUM(DF8:DF10)=DF7),"ok","conferir")</f>
        <v>ok</v>
      </c>
    </row>
    <row r="22" spans="2:113" s="81" customFormat="1">
      <c r="B22" s="120"/>
      <c r="C22" s="120"/>
      <c r="D22" s="120"/>
      <c r="E22" s="120"/>
      <c r="F22" s="120"/>
      <c r="G22" s="120"/>
      <c r="H22" s="82"/>
      <c r="I22" s="82"/>
      <c r="J22" s="120"/>
      <c r="K22" s="120"/>
      <c r="L22" s="120"/>
      <c r="M22" s="120"/>
      <c r="N22" s="120"/>
      <c r="O22" s="120"/>
      <c r="P22" s="82"/>
      <c r="Q22" s="82"/>
      <c r="R22" s="120"/>
      <c r="S22" s="120"/>
      <c r="T22" s="120"/>
      <c r="U22" s="120"/>
      <c r="V22" s="120"/>
      <c r="W22" s="120"/>
      <c r="X22" s="82"/>
      <c r="Y22" s="82"/>
      <c r="Z22" s="120"/>
      <c r="AA22" s="120"/>
      <c r="AB22" s="120"/>
      <c r="AC22" s="120"/>
      <c r="AD22" s="120"/>
      <c r="AE22" s="120"/>
      <c r="AF22" s="82"/>
      <c r="AG22" s="82"/>
      <c r="AH22" s="120"/>
      <c r="AI22" s="120"/>
      <c r="AJ22" s="120"/>
      <c r="AK22" s="120"/>
      <c r="AL22" s="120"/>
      <c r="AM22" s="120"/>
      <c r="AN22" s="82"/>
      <c r="AO22" s="82"/>
      <c r="AP22" s="120"/>
      <c r="AQ22" s="120"/>
      <c r="AR22" s="120"/>
      <c r="AS22" s="120"/>
      <c r="AT22" s="120"/>
      <c r="AU22" s="120"/>
      <c r="AV22" s="82"/>
      <c r="AW22" s="82"/>
      <c r="AX22" s="120"/>
      <c r="AY22" s="120"/>
      <c r="AZ22" s="120"/>
      <c r="BA22" s="120"/>
      <c r="BB22" s="120"/>
      <c r="BC22" s="120"/>
      <c r="BD22" s="82"/>
      <c r="BE22" s="82"/>
      <c r="BF22" s="120"/>
      <c r="BG22" s="120"/>
      <c r="BH22" s="120"/>
      <c r="BI22" s="120"/>
      <c r="BJ22" s="120"/>
      <c r="BK22" s="120"/>
      <c r="BL22" s="82"/>
      <c r="BM22" s="82"/>
      <c r="BN22" s="120"/>
      <c r="BO22" s="120"/>
      <c r="BP22" s="120"/>
      <c r="BQ22" s="120"/>
      <c r="BR22" s="120"/>
      <c r="BS22" s="120"/>
      <c r="BT22" s="82"/>
      <c r="BU22" s="82"/>
      <c r="BV22" s="120"/>
      <c r="BW22" s="120"/>
      <c r="BX22" s="120"/>
      <c r="BY22" s="120"/>
      <c r="BZ22" s="120"/>
      <c r="CA22" s="120"/>
      <c r="CB22" s="82"/>
      <c r="CC22" s="82"/>
      <c r="CD22" s="120"/>
      <c r="CE22" s="120"/>
      <c r="CF22" s="120"/>
      <c r="CG22" s="120"/>
      <c r="CH22" s="120"/>
      <c r="CI22" s="120"/>
      <c r="CJ22" s="82"/>
      <c r="CK22" s="82"/>
      <c r="CL22" s="120"/>
      <c r="CM22" s="120"/>
      <c r="CN22" s="120"/>
      <c r="CO22" s="120"/>
      <c r="CP22" s="120"/>
      <c r="CQ22" s="120"/>
      <c r="CR22" s="82"/>
      <c r="CS22" s="82"/>
      <c r="CT22" s="120"/>
      <c r="CU22" s="120"/>
      <c r="CV22" s="120"/>
      <c r="CW22" s="120"/>
      <c r="CX22" s="120"/>
      <c r="CY22" s="120"/>
      <c r="CZ22" s="82"/>
      <c r="DA22" s="82"/>
      <c r="DB22" s="120"/>
      <c r="DC22" s="120"/>
      <c r="DD22" s="120"/>
      <c r="DE22" s="120"/>
      <c r="DF22" s="120"/>
      <c r="DG22" s="120"/>
      <c r="DH22" s="82"/>
      <c r="DI22" s="82"/>
    </row>
    <row r="23" spans="2:113" s="76" customFormat="1" ht="21">
      <c r="B23" s="503" t="str">
        <f>intervencao1</f>
        <v>Drug 1</v>
      </c>
      <c r="C23" s="503"/>
      <c r="D23" s="503"/>
      <c r="E23" s="503"/>
      <c r="F23" s="503"/>
      <c r="G23" s="503"/>
      <c r="H23" s="503"/>
      <c r="I23" s="77"/>
      <c r="J23" s="503" t="str">
        <f>intervencao2</f>
        <v>Drug 2</v>
      </c>
      <c r="K23" s="503"/>
      <c r="L23" s="503"/>
      <c r="M23" s="503"/>
      <c r="N23" s="503"/>
      <c r="O23" s="503"/>
      <c r="P23" s="503"/>
      <c r="Q23" s="77"/>
      <c r="R23" s="503">
        <f>intervencao3</f>
        <v>0</v>
      </c>
      <c r="S23" s="503"/>
      <c r="T23" s="503"/>
      <c r="U23" s="503"/>
      <c r="V23" s="503"/>
      <c r="W23" s="503"/>
      <c r="X23" s="503"/>
      <c r="Y23" s="77"/>
      <c r="Z23" s="503">
        <f>intervencao4</f>
        <v>0</v>
      </c>
      <c r="AA23" s="503"/>
      <c r="AB23" s="503"/>
      <c r="AC23" s="503"/>
      <c r="AD23" s="503"/>
      <c r="AE23" s="503"/>
      <c r="AF23" s="503"/>
      <c r="AG23" s="77"/>
      <c r="AH23" s="503" t="str">
        <f>comparador1</f>
        <v>BSC</v>
      </c>
      <c r="AI23" s="503"/>
      <c r="AJ23" s="503"/>
      <c r="AK23" s="503"/>
      <c r="AL23" s="503"/>
      <c r="AM23" s="503"/>
      <c r="AN23" s="503"/>
      <c r="AO23" s="77"/>
      <c r="AP23" s="503">
        <f>comparador2</f>
        <v>0</v>
      </c>
      <c r="AQ23" s="503"/>
      <c r="AR23" s="503"/>
      <c r="AS23" s="503"/>
      <c r="AT23" s="503"/>
      <c r="AU23" s="503"/>
      <c r="AV23" s="503"/>
      <c r="AW23" s="77"/>
      <c r="AX23" s="503">
        <f>comparador3</f>
        <v>0</v>
      </c>
      <c r="AY23" s="503"/>
      <c r="AZ23" s="503"/>
      <c r="BA23" s="503"/>
      <c r="BB23" s="503"/>
      <c r="BC23" s="503"/>
      <c r="BD23" s="503"/>
      <c r="BE23" s="77"/>
      <c r="BF23" s="503">
        <f>comparador4</f>
        <v>0</v>
      </c>
      <c r="BG23" s="503"/>
      <c r="BH23" s="503"/>
      <c r="BI23" s="503"/>
      <c r="BJ23" s="503"/>
      <c r="BK23" s="503"/>
      <c r="BL23" s="503"/>
      <c r="BM23" s="77"/>
      <c r="BN23" s="503">
        <f>comparador5</f>
        <v>0</v>
      </c>
      <c r="BO23" s="503"/>
      <c r="BP23" s="503"/>
      <c r="BQ23" s="503"/>
      <c r="BR23" s="503"/>
      <c r="BS23" s="503"/>
      <c r="BT23" s="503"/>
      <c r="BU23" s="77"/>
      <c r="BV23" s="503">
        <f>comparador6</f>
        <v>0</v>
      </c>
      <c r="BW23" s="503"/>
      <c r="BX23" s="503"/>
      <c r="BY23" s="503"/>
      <c r="BZ23" s="503"/>
      <c r="CA23" s="503"/>
      <c r="CB23" s="503"/>
      <c r="CC23" s="77"/>
      <c r="CD23" s="503">
        <f>comparador7</f>
        <v>0</v>
      </c>
      <c r="CE23" s="503"/>
      <c r="CF23" s="503"/>
      <c r="CG23" s="503"/>
      <c r="CH23" s="503"/>
      <c r="CI23" s="503"/>
      <c r="CJ23" s="503"/>
      <c r="CK23" s="77"/>
      <c r="CL23" s="503">
        <f>comparador8</f>
        <v>0</v>
      </c>
      <c r="CM23" s="503"/>
      <c r="CN23" s="503"/>
      <c r="CO23" s="503"/>
      <c r="CP23" s="503"/>
      <c r="CQ23" s="503"/>
      <c r="CR23" s="503"/>
      <c r="CS23" s="77"/>
      <c r="CT23" s="503">
        <f>comparador9</f>
        <v>0</v>
      </c>
      <c r="CU23" s="503"/>
      <c r="CV23" s="503"/>
      <c r="CW23" s="503"/>
      <c r="CX23" s="503"/>
      <c r="CY23" s="503"/>
      <c r="CZ23" s="503"/>
      <c r="DA23" s="77"/>
      <c r="DB23" s="503">
        <f>comparador10</f>
        <v>0</v>
      </c>
      <c r="DC23" s="503"/>
      <c r="DD23" s="503"/>
      <c r="DE23" s="503"/>
      <c r="DF23" s="503"/>
      <c r="DG23" s="503"/>
      <c r="DH23" s="503"/>
      <c r="DI23" s="77"/>
    </row>
    <row r="24" spans="2:113" ht="18">
      <c r="B24" s="504" t="s">
        <v>180</v>
      </c>
      <c r="C24" s="504"/>
      <c r="D24" s="504"/>
      <c r="E24" s="504"/>
      <c r="F24" s="504"/>
      <c r="G24" s="504"/>
      <c r="H24" s="71"/>
      <c r="I24" s="71"/>
      <c r="J24" s="504" t="s">
        <v>180</v>
      </c>
      <c r="K24" s="504"/>
      <c r="L24" s="504"/>
      <c r="M24" s="504"/>
      <c r="N24" s="504"/>
      <c r="O24" s="504"/>
      <c r="P24" s="71"/>
      <c r="Q24" s="71"/>
      <c r="R24" s="504" t="s">
        <v>180</v>
      </c>
      <c r="S24" s="504"/>
      <c r="T24" s="504"/>
      <c r="U24" s="504"/>
      <c r="V24" s="504"/>
      <c r="W24" s="504"/>
      <c r="X24" s="71"/>
      <c r="Y24" s="71"/>
      <c r="Z24" s="504" t="s">
        <v>180</v>
      </c>
      <c r="AA24" s="504"/>
      <c r="AB24" s="504"/>
      <c r="AC24" s="504"/>
      <c r="AD24" s="504"/>
      <c r="AE24" s="504"/>
      <c r="AF24" s="71"/>
      <c r="AG24" s="71"/>
      <c r="AH24" s="504" t="s">
        <v>180</v>
      </c>
      <c r="AI24" s="504"/>
      <c r="AJ24" s="504"/>
      <c r="AK24" s="504"/>
      <c r="AL24" s="504"/>
      <c r="AM24" s="504"/>
      <c r="AN24" s="71"/>
      <c r="AO24" s="71"/>
      <c r="AP24" s="504" t="s">
        <v>180</v>
      </c>
      <c r="AQ24" s="504"/>
      <c r="AR24" s="504"/>
      <c r="AS24" s="504"/>
      <c r="AT24" s="504"/>
      <c r="AU24" s="504"/>
      <c r="AV24" s="71"/>
      <c r="AW24" s="71"/>
      <c r="AX24" s="504" t="s">
        <v>180</v>
      </c>
      <c r="AY24" s="504"/>
      <c r="AZ24" s="504"/>
      <c r="BA24" s="504"/>
      <c r="BB24" s="504"/>
      <c r="BC24" s="504"/>
      <c r="BD24" s="71"/>
      <c r="BE24" s="71"/>
      <c r="BF24" s="504" t="s">
        <v>180</v>
      </c>
      <c r="BG24" s="504"/>
      <c r="BH24" s="504"/>
      <c r="BI24" s="504"/>
      <c r="BJ24" s="504"/>
      <c r="BK24" s="504"/>
      <c r="BL24" s="71"/>
      <c r="BM24" s="71"/>
      <c r="BN24" s="504" t="s">
        <v>180</v>
      </c>
      <c r="BO24" s="504"/>
      <c r="BP24" s="504"/>
      <c r="BQ24" s="504"/>
      <c r="BR24" s="504"/>
      <c r="BS24" s="504"/>
      <c r="BT24" s="71"/>
      <c r="BU24" s="71"/>
      <c r="BV24" s="504" t="s">
        <v>180</v>
      </c>
      <c r="BW24" s="504"/>
      <c r="BX24" s="504"/>
      <c r="BY24" s="504"/>
      <c r="BZ24" s="504"/>
      <c r="CA24" s="504"/>
      <c r="CB24" s="71"/>
      <c r="CC24" s="71"/>
      <c r="CD24" s="504" t="s">
        <v>180</v>
      </c>
      <c r="CE24" s="504"/>
      <c r="CF24" s="504"/>
      <c r="CG24" s="504"/>
      <c r="CH24" s="504"/>
      <c r="CI24" s="504"/>
      <c r="CJ24" s="71"/>
      <c r="CK24" s="71"/>
      <c r="CL24" s="504" t="s">
        <v>180</v>
      </c>
      <c r="CM24" s="504"/>
      <c r="CN24" s="504"/>
      <c r="CO24" s="504"/>
      <c r="CP24" s="504"/>
      <c r="CQ24" s="504"/>
      <c r="CR24" s="71"/>
      <c r="CS24" s="71"/>
      <c r="CT24" s="504" t="s">
        <v>180</v>
      </c>
      <c r="CU24" s="504"/>
      <c r="CV24" s="504"/>
      <c r="CW24" s="504"/>
      <c r="CX24" s="504"/>
      <c r="CY24" s="504"/>
      <c r="CZ24" s="71"/>
      <c r="DA24" s="71"/>
      <c r="DB24" s="504" t="s">
        <v>180</v>
      </c>
      <c r="DC24" s="504"/>
      <c r="DD24" s="504"/>
      <c r="DE24" s="504"/>
      <c r="DF24" s="504"/>
      <c r="DG24" s="504"/>
      <c r="DH24" s="71"/>
      <c r="DI24" s="71"/>
    </row>
    <row r="25" spans="2:113" ht="15" thickBot="1">
      <c r="B25" s="83"/>
      <c r="C25" s="83"/>
      <c r="D25" s="83"/>
      <c r="E25" s="83"/>
      <c r="F25" s="83"/>
      <c r="G25" s="83"/>
      <c r="J25" s="83"/>
      <c r="K25" s="83"/>
      <c r="L25" s="83"/>
      <c r="M25" s="83"/>
      <c r="N25" s="83"/>
      <c r="O25" s="83"/>
      <c r="R25" s="83"/>
      <c r="S25" s="83"/>
      <c r="T25" s="83"/>
      <c r="U25" s="83"/>
      <c r="V25" s="83"/>
      <c r="W25" s="83"/>
      <c r="Z25" s="83"/>
      <c r="AA25" s="83"/>
      <c r="AB25" s="83"/>
      <c r="AC25" s="83"/>
      <c r="AD25" s="83"/>
      <c r="AE25" s="83"/>
      <c r="AH25" s="83"/>
      <c r="AI25" s="83"/>
      <c r="AJ25" s="83"/>
      <c r="AK25" s="83"/>
      <c r="AL25" s="83"/>
      <c r="AM25" s="83"/>
      <c r="AP25" s="83"/>
      <c r="AQ25" s="83"/>
      <c r="AR25" s="83"/>
      <c r="AS25" s="83"/>
      <c r="AT25" s="83"/>
      <c r="AU25" s="83"/>
      <c r="AX25" s="83"/>
      <c r="AY25" s="83"/>
      <c r="AZ25" s="83"/>
      <c r="BA25" s="83"/>
      <c r="BB25" s="83"/>
      <c r="BC25" s="83"/>
      <c r="BF25" s="83"/>
      <c r="BG25" s="83"/>
      <c r="BH25" s="83"/>
      <c r="BI25" s="83"/>
      <c r="BJ25" s="83"/>
      <c r="BK25" s="83"/>
      <c r="BN25" s="83"/>
      <c r="BO25" s="83"/>
      <c r="BP25" s="83"/>
      <c r="BQ25" s="83"/>
      <c r="BR25" s="83"/>
      <c r="BS25" s="83"/>
      <c r="BV25" s="83"/>
      <c r="BW25" s="83"/>
      <c r="BX25" s="83"/>
      <c r="BY25" s="83"/>
      <c r="BZ25" s="83"/>
      <c r="CA25" s="83"/>
      <c r="CD25" s="83"/>
      <c r="CE25" s="83"/>
      <c r="CF25" s="83"/>
      <c r="CG25" s="83"/>
      <c r="CH25" s="83"/>
      <c r="CI25" s="83"/>
      <c r="CL25" s="83"/>
      <c r="CM25" s="83"/>
      <c r="CN25" s="83"/>
      <c r="CO25" s="83"/>
      <c r="CP25" s="83"/>
      <c r="CQ25" s="83"/>
      <c r="CT25" s="83"/>
      <c r="CU25" s="83"/>
      <c r="CV25" s="83"/>
      <c r="CW25" s="83"/>
      <c r="CX25" s="83"/>
      <c r="CY25" s="83"/>
      <c r="DB25" s="83"/>
      <c r="DC25" s="83"/>
      <c r="DD25" s="83"/>
      <c r="DE25" s="83"/>
      <c r="DF25" s="83"/>
      <c r="DG25" s="83"/>
    </row>
    <row r="26" spans="2:113" ht="15" thickBot="1">
      <c r="B26" s="505" t="str">
        <f>cen_atual</f>
        <v>BSC only</v>
      </c>
      <c r="C26" s="506"/>
      <c r="D26" s="506"/>
      <c r="E26" s="506"/>
      <c r="F26" s="506"/>
      <c r="G26" s="507"/>
      <c r="J26" s="505" t="str">
        <f>cen_atual</f>
        <v>BSC only</v>
      </c>
      <c r="K26" s="506"/>
      <c r="L26" s="506"/>
      <c r="M26" s="506"/>
      <c r="N26" s="506"/>
      <c r="O26" s="507"/>
      <c r="R26" s="505" t="str">
        <f>cen_atual</f>
        <v>BSC only</v>
      </c>
      <c r="S26" s="506"/>
      <c r="T26" s="506"/>
      <c r="U26" s="506"/>
      <c r="V26" s="506"/>
      <c r="W26" s="507"/>
      <c r="Z26" s="505" t="str">
        <f>cen_atual</f>
        <v>BSC only</v>
      </c>
      <c r="AA26" s="506"/>
      <c r="AB26" s="506"/>
      <c r="AC26" s="506"/>
      <c r="AD26" s="506"/>
      <c r="AE26" s="507"/>
      <c r="AH26" s="505" t="str">
        <f>cen_atual</f>
        <v>BSC only</v>
      </c>
      <c r="AI26" s="506"/>
      <c r="AJ26" s="506"/>
      <c r="AK26" s="506"/>
      <c r="AL26" s="506"/>
      <c r="AM26" s="507"/>
      <c r="AP26" s="505" t="str">
        <f>cen_atual</f>
        <v>BSC only</v>
      </c>
      <c r="AQ26" s="506"/>
      <c r="AR26" s="506"/>
      <c r="AS26" s="506"/>
      <c r="AT26" s="506"/>
      <c r="AU26" s="507"/>
      <c r="AX26" s="505" t="str">
        <f>cen_atual</f>
        <v>BSC only</v>
      </c>
      <c r="AY26" s="506"/>
      <c r="AZ26" s="506"/>
      <c r="BA26" s="506"/>
      <c r="BB26" s="506"/>
      <c r="BC26" s="507"/>
      <c r="BF26" s="505" t="str">
        <f>cen_atual</f>
        <v>BSC only</v>
      </c>
      <c r="BG26" s="506"/>
      <c r="BH26" s="506"/>
      <c r="BI26" s="506"/>
      <c r="BJ26" s="506"/>
      <c r="BK26" s="507"/>
      <c r="BN26" s="505" t="str">
        <f>cen_atual</f>
        <v>BSC only</v>
      </c>
      <c r="BO26" s="506"/>
      <c r="BP26" s="506"/>
      <c r="BQ26" s="506"/>
      <c r="BR26" s="506"/>
      <c r="BS26" s="507"/>
      <c r="BV26" s="505" t="str">
        <f>cen_atual</f>
        <v>BSC only</v>
      </c>
      <c r="BW26" s="506"/>
      <c r="BX26" s="506"/>
      <c r="BY26" s="506"/>
      <c r="BZ26" s="506"/>
      <c r="CA26" s="507"/>
      <c r="CD26" s="505" t="str">
        <f>cen_atual</f>
        <v>BSC only</v>
      </c>
      <c r="CE26" s="506"/>
      <c r="CF26" s="506"/>
      <c r="CG26" s="506"/>
      <c r="CH26" s="506"/>
      <c r="CI26" s="507"/>
      <c r="CL26" s="505" t="str">
        <f>cen_atual</f>
        <v>BSC only</v>
      </c>
      <c r="CM26" s="506"/>
      <c r="CN26" s="506"/>
      <c r="CO26" s="506"/>
      <c r="CP26" s="506"/>
      <c r="CQ26" s="507"/>
      <c r="CT26" s="505" t="str">
        <f>cen_atual</f>
        <v>BSC only</v>
      </c>
      <c r="CU26" s="506"/>
      <c r="CV26" s="506"/>
      <c r="CW26" s="506"/>
      <c r="CX26" s="506"/>
      <c r="CY26" s="507"/>
      <c r="DB26" s="505" t="str">
        <f>cen_atual</f>
        <v>BSC only</v>
      </c>
      <c r="DC26" s="506"/>
      <c r="DD26" s="506"/>
      <c r="DE26" s="506"/>
      <c r="DF26" s="506"/>
      <c r="DG26" s="507"/>
    </row>
    <row r="27" spans="2:113">
      <c r="B27" s="84"/>
      <c r="C27" s="101">
        <f>ano_1</f>
        <v>2026</v>
      </c>
      <c r="D27" s="101">
        <f>C27+1</f>
        <v>2027</v>
      </c>
      <c r="E27" s="101">
        <f t="shared" ref="E27:G27" si="0">D27+1</f>
        <v>2028</v>
      </c>
      <c r="F27" s="101">
        <f t="shared" si="0"/>
        <v>2029</v>
      </c>
      <c r="G27" s="102">
        <f t="shared" si="0"/>
        <v>2030</v>
      </c>
      <c r="J27" s="84"/>
      <c r="K27" s="101">
        <f>ano_1</f>
        <v>2026</v>
      </c>
      <c r="L27" s="101">
        <f>K27+1</f>
        <v>2027</v>
      </c>
      <c r="M27" s="101">
        <f t="shared" ref="M27" si="1">L27+1</f>
        <v>2028</v>
      </c>
      <c r="N27" s="101">
        <f t="shared" ref="N27" si="2">M27+1</f>
        <v>2029</v>
      </c>
      <c r="O27" s="102">
        <f t="shared" ref="O27" si="3">N27+1</f>
        <v>2030</v>
      </c>
      <c r="R27" s="84"/>
      <c r="S27" s="101">
        <f>ano_1</f>
        <v>2026</v>
      </c>
      <c r="T27" s="101">
        <f>S27+1</f>
        <v>2027</v>
      </c>
      <c r="U27" s="101">
        <f t="shared" ref="U27" si="4">T27+1</f>
        <v>2028</v>
      </c>
      <c r="V27" s="101">
        <f t="shared" ref="V27" si="5">U27+1</f>
        <v>2029</v>
      </c>
      <c r="W27" s="102">
        <f t="shared" ref="W27" si="6">V27+1</f>
        <v>2030</v>
      </c>
      <c r="Z27" s="84"/>
      <c r="AA27" s="101">
        <f>ano_1</f>
        <v>2026</v>
      </c>
      <c r="AB27" s="101">
        <f>AA27+1</f>
        <v>2027</v>
      </c>
      <c r="AC27" s="101">
        <f t="shared" ref="AC27" si="7">AB27+1</f>
        <v>2028</v>
      </c>
      <c r="AD27" s="101">
        <f t="shared" ref="AD27" si="8">AC27+1</f>
        <v>2029</v>
      </c>
      <c r="AE27" s="102">
        <f t="shared" ref="AE27" si="9">AD27+1</f>
        <v>2030</v>
      </c>
      <c r="AH27" s="84"/>
      <c r="AI27" s="101">
        <f>ano_1</f>
        <v>2026</v>
      </c>
      <c r="AJ27" s="101">
        <f>AI27+1</f>
        <v>2027</v>
      </c>
      <c r="AK27" s="101">
        <f t="shared" ref="AK27" si="10">AJ27+1</f>
        <v>2028</v>
      </c>
      <c r="AL27" s="101">
        <f t="shared" ref="AL27" si="11">AK27+1</f>
        <v>2029</v>
      </c>
      <c r="AM27" s="102">
        <f t="shared" ref="AM27" si="12">AL27+1</f>
        <v>2030</v>
      </c>
      <c r="AP27" s="84"/>
      <c r="AQ27" s="101">
        <f>ano_1</f>
        <v>2026</v>
      </c>
      <c r="AR27" s="101">
        <f>AQ27+1</f>
        <v>2027</v>
      </c>
      <c r="AS27" s="101">
        <f t="shared" ref="AS27" si="13">AR27+1</f>
        <v>2028</v>
      </c>
      <c r="AT27" s="101">
        <f t="shared" ref="AT27" si="14">AS27+1</f>
        <v>2029</v>
      </c>
      <c r="AU27" s="102">
        <f t="shared" ref="AU27" si="15">AT27+1</f>
        <v>2030</v>
      </c>
      <c r="AX27" s="84"/>
      <c r="AY27" s="101">
        <f>ano_1</f>
        <v>2026</v>
      </c>
      <c r="AZ27" s="101">
        <f>AY27+1</f>
        <v>2027</v>
      </c>
      <c r="BA27" s="101">
        <f t="shared" ref="BA27" si="16">AZ27+1</f>
        <v>2028</v>
      </c>
      <c r="BB27" s="101">
        <f t="shared" ref="BB27" si="17">BA27+1</f>
        <v>2029</v>
      </c>
      <c r="BC27" s="102">
        <f t="shared" ref="BC27" si="18">BB27+1</f>
        <v>2030</v>
      </c>
      <c r="BF27" s="84"/>
      <c r="BG27" s="101">
        <f>ano_1</f>
        <v>2026</v>
      </c>
      <c r="BH27" s="101">
        <f>BG27+1</f>
        <v>2027</v>
      </c>
      <c r="BI27" s="101">
        <f t="shared" ref="BI27" si="19">BH27+1</f>
        <v>2028</v>
      </c>
      <c r="BJ27" s="101">
        <f t="shared" ref="BJ27" si="20">BI27+1</f>
        <v>2029</v>
      </c>
      <c r="BK27" s="102">
        <f t="shared" ref="BK27" si="21">BJ27+1</f>
        <v>2030</v>
      </c>
      <c r="BN27" s="84"/>
      <c r="BO27" s="101">
        <f>ano_1</f>
        <v>2026</v>
      </c>
      <c r="BP27" s="101">
        <f>BO27+1</f>
        <v>2027</v>
      </c>
      <c r="BQ27" s="101">
        <f t="shared" ref="BQ27" si="22">BP27+1</f>
        <v>2028</v>
      </c>
      <c r="BR27" s="101">
        <f t="shared" ref="BR27" si="23">BQ27+1</f>
        <v>2029</v>
      </c>
      <c r="BS27" s="102">
        <f t="shared" ref="BS27" si="24">BR27+1</f>
        <v>2030</v>
      </c>
      <c r="BV27" s="84"/>
      <c r="BW27" s="101">
        <f>ano_1</f>
        <v>2026</v>
      </c>
      <c r="BX27" s="101">
        <f>BW27+1</f>
        <v>2027</v>
      </c>
      <c r="BY27" s="101">
        <f t="shared" ref="BY27" si="25">BX27+1</f>
        <v>2028</v>
      </c>
      <c r="BZ27" s="101">
        <f t="shared" ref="BZ27" si="26">BY27+1</f>
        <v>2029</v>
      </c>
      <c r="CA27" s="102">
        <f t="shared" ref="CA27" si="27">BZ27+1</f>
        <v>2030</v>
      </c>
      <c r="CD27" s="84"/>
      <c r="CE27" s="101">
        <f>ano_1</f>
        <v>2026</v>
      </c>
      <c r="CF27" s="101">
        <f>CE27+1</f>
        <v>2027</v>
      </c>
      <c r="CG27" s="101">
        <f t="shared" ref="CG27" si="28">CF27+1</f>
        <v>2028</v>
      </c>
      <c r="CH27" s="101">
        <f t="shared" ref="CH27" si="29">CG27+1</f>
        <v>2029</v>
      </c>
      <c r="CI27" s="102">
        <f t="shared" ref="CI27" si="30">CH27+1</f>
        <v>2030</v>
      </c>
      <c r="CL27" s="84"/>
      <c r="CM27" s="101">
        <f>ano_1</f>
        <v>2026</v>
      </c>
      <c r="CN27" s="101">
        <f>CM27+1</f>
        <v>2027</v>
      </c>
      <c r="CO27" s="101">
        <f t="shared" ref="CO27" si="31">CN27+1</f>
        <v>2028</v>
      </c>
      <c r="CP27" s="101">
        <f t="shared" ref="CP27" si="32">CO27+1</f>
        <v>2029</v>
      </c>
      <c r="CQ27" s="102">
        <f t="shared" ref="CQ27" si="33">CP27+1</f>
        <v>2030</v>
      </c>
      <c r="CT27" s="84"/>
      <c r="CU27" s="101">
        <f>ano_1</f>
        <v>2026</v>
      </c>
      <c r="CV27" s="101">
        <f>CU27+1</f>
        <v>2027</v>
      </c>
      <c r="CW27" s="101">
        <f t="shared" ref="CW27" si="34">CV27+1</f>
        <v>2028</v>
      </c>
      <c r="CX27" s="101">
        <f t="shared" ref="CX27" si="35">CW27+1</f>
        <v>2029</v>
      </c>
      <c r="CY27" s="102">
        <f t="shared" ref="CY27" si="36">CX27+1</f>
        <v>2030</v>
      </c>
      <c r="DB27" s="84"/>
      <c r="DC27" s="101">
        <f>ano_1</f>
        <v>2026</v>
      </c>
      <c r="DD27" s="101">
        <f>DC27+1</f>
        <v>2027</v>
      </c>
      <c r="DE27" s="101">
        <f t="shared" ref="DE27" si="37">DD27+1</f>
        <v>2028</v>
      </c>
      <c r="DF27" s="101">
        <f t="shared" ref="DF27" si="38">DE27+1</f>
        <v>2029</v>
      </c>
      <c r="DG27" s="102">
        <f t="shared" ref="DG27" si="39">DF27+1</f>
        <v>2030</v>
      </c>
    </row>
    <row r="28" spans="2:113">
      <c r="B28" s="87" t="s">
        <v>170</v>
      </c>
      <c r="C28" s="80">
        <f>C$7*'Mkt share'!$C$22</f>
        <v>0</v>
      </c>
      <c r="D28" s="80">
        <f>C$8*'Mkt share'!$C$22</f>
        <v>0</v>
      </c>
      <c r="E28" s="80">
        <f>C$11*'Mkt share'!$C$22</f>
        <v>0</v>
      </c>
      <c r="F28" s="80">
        <f>C$14*'Mkt share'!$C$22</f>
        <v>0</v>
      </c>
      <c r="G28" s="88">
        <f>C$17*'Mkt share'!$C$22</f>
        <v>0</v>
      </c>
      <c r="J28" s="87" t="s">
        <v>170</v>
      </c>
      <c r="K28" s="80">
        <f>K$7*'Mkt share'!$C$23</f>
        <v>0</v>
      </c>
      <c r="L28" s="80">
        <f>K$8*'Mkt share'!$C$23</f>
        <v>0</v>
      </c>
      <c r="M28" s="80">
        <f>K$11*'Mkt share'!$C$23</f>
        <v>0</v>
      </c>
      <c r="N28" s="80">
        <f>K$14*'Mkt share'!$C$23</f>
        <v>0</v>
      </c>
      <c r="O28" s="88">
        <f>K$17*'Mkt share'!$C$23</f>
        <v>0</v>
      </c>
      <c r="R28" s="87" t="s">
        <v>170</v>
      </c>
      <c r="S28" s="80">
        <f>S$7*'Mkt share'!$C$24</f>
        <v>0</v>
      </c>
      <c r="T28" s="80">
        <f>S$8*'Mkt share'!$C$24</f>
        <v>0</v>
      </c>
      <c r="U28" s="80">
        <f>S$11*'Mkt share'!$C$24</f>
        <v>0</v>
      </c>
      <c r="V28" s="80">
        <f>S$14*'Mkt share'!$C$24</f>
        <v>0</v>
      </c>
      <c r="W28" s="88">
        <f>S$17*'Mkt share'!$C$24</f>
        <v>0</v>
      </c>
      <c r="Z28" s="87" t="s">
        <v>170</v>
      </c>
      <c r="AA28" s="80">
        <f>AA$7*'Mkt share'!$C$25</f>
        <v>0</v>
      </c>
      <c r="AB28" s="80">
        <f>AA$8*'Mkt share'!$C$25</f>
        <v>0</v>
      </c>
      <c r="AC28" s="80">
        <f>AA$11*'Mkt share'!$C$25</f>
        <v>0</v>
      </c>
      <c r="AD28" s="80">
        <f>AA$14*'Mkt share'!$C$25</f>
        <v>0</v>
      </c>
      <c r="AE28" s="88">
        <f>AA$17*'Mkt share'!$C$25</f>
        <v>0</v>
      </c>
      <c r="AH28" s="87" t="s">
        <v>170</v>
      </c>
      <c r="AI28" s="80">
        <f>AI$7*'Mkt share'!$C$26</f>
        <v>684.99247650000007</v>
      </c>
      <c r="AJ28" s="80">
        <f>AI$8*'Mkt share'!$C$26</f>
        <v>684.99247650000007</v>
      </c>
      <c r="AK28" s="80">
        <f>AI$11*'Mkt share'!$C$26</f>
        <v>684.99247650000007</v>
      </c>
      <c r="AL28" s="80">
        <f>AI$14*'Mkt share'!$C$26</f>
        <v>684.99247650000007</v>
      </c>
      <c r="AM28" s="88">
        <f>AI$17*'Mkt share'!$C$26</f>
        <v>684.99247650000007</v>
      </c>
      <c r="AP28" s="87" t="s">
        <v>170</v>
      </c>
      <c r="AQ28" s="80">
        <f>AQ$7*'Mkt share'!$C$27</f>
        <v>0</v>
      </c>
      <c r="AR28" s="80">
        <f>AQ$8*'Mkt share'!$C$27</f>
        <v>0</v>
      </c>
      <c r="AS28" s="80">
        <f>AQ$11*'Mkt share'!$C$27</f>
        <v>0</v>
      </c>
      <c r="AT28" s="80">
        <f>AQ$14*'Mkt share'!$C$27</f>
        <v>0</v>
      </c>
      <c r="AU28" s="88">
        <f>AQ$17*'Mkt share'!$C$27</f>
        <v>0</v>
      </c>
      <c r="AX28" s="87" t="s">
        <v>170</v>
      </c>
      <c r="AY28" s="80">
        <f>AY$7*'Mkt share'!$C$28</f>
        <v>0</v>
      </c>
      <c r="AZ28" s="80">
        <f>AY$8*'Mkt share'!$C$28</f>
        <v>0</v>
      </c>
      <c r="BA28" s="80">
        <f>AY$11*'Mkt share'!$C$28</f>
        <v>0</v>
      </c>
      <c r="BB28" s="80">
        <f>AY$14*'Mkt share'!$C$28</f>
        <v>0</v>
      </c>
      <c r="BC28" s="88">
        <f>AY$17*'Mkt share'!$C$28</f>
        <v>0</v>
      </c>
      <c r="BF28" s="87" t="s">
        <v>170</v>
      </c>
      <c r="BG28" s="80">
        <f>BG$7*'Mkt share'!$C$29</f>
        <v>0</v>
      </c>
      <c r="BH28" s="80">
        <f>BG$8*'Mkt share'!$C$29</f>
        <v>0</v>
      </c>
      <c r="BI28" s="80">
        <f>BG$11*'Mkt share'!$C$29</f>
        <v>0</v>
      </c>
      <c r="BJ28" s="80">
        <f>BG$14*'Mkt share'!$C$29</f>
        <v>0</v>
      </c>
      <c r="BK28" s="88">
        <f>BG$17*'Mkt share'!$C$29</f>
        <v>0</v>
      </c>
      <c r="BN28" s="87" t="s">
        <v>170</v>
      </c>
      <c r="BO28" s="80">
        <f>BO$7*'Mkt share'!$C$30</f>
        <v>0</v>
      </c>
      <c r="BP28" s="80">
        <f>BO$8*'Mkt share'!$C$30</f>
        <v>0</v>
      </c>
      <c r="BQ28" s="80">
        <f>BO$11*'Mkt share'!$C$30</f>
        <v>0</v>
      </c>
      <c r="BR28" s="80">
        <f>BO$14*'Mkt share'!$C$30</f>
        <v>0</v>
      </c>
      <c r="BS28" s="88">
        <f>BO$17*'Mkt share'!$C$30</f>
        <v>0</v>
      </c>
      <c r="BV28" s="87" t="s">
        <v>170</v>
      </c>
      <c r="BW28" s="80">
        <f>BW$7*'Mkt share'!$C$31</f>
        <v>0</v>
      </c>
      <c r="BX28" s="80">
        <f>BW$8*'Mkt share'!$C$31</f>
        <v>0</v>
      </c>
      <c r="BY28" s="80">
        <f>BW$11*'Mkt share'!$C$31</f>
        <v>0</v>
      </c>
      <c r="BZ28" s="80">
        <f>BW$14*'Mkt share'!$C$31</f>
        <v>0</v>
      </c>
      <c r="CA28" s="88">
        <f>BW$17*'Mkt share'!$C$31</f>
        <v>0</v>
      </c>
      <c r="CD28" s="87" t="s">
        <v>170</v>
      </c>
      <c r="CE28" s="80">
        <f>CE$7*'Mkt share'!$C$32</f>
        <v>0</v>
      </c>
      <c r="CF28" s="80">
        <f>CE$8*'Mkt share'!$C$32</f>
        <v>0</v>
      </c>
      <c r="CG28" s="80">
        <f>CE$11*'Mkt share'!$C$32</f>
        <v>0</v>
      </c>
      <c r="CH28" s="80">
        <f>CE$14*'Mkt share'!$C$32</f>
        <v>0</v>
      </c>
      <c r="CI28" s="88">
        <f>CE$17*'Mkt share'!$C$32</f>
        <v>0</v>
      </c>
      <c r="CL28" s="87" t="s">
        <v>170</v>
      </c>
      <c r="CM28" s="80">
        <f>CM$7*'Mkt share'!$C$33</f>
        <v>0</v>
      </c>
      <c r="CN28" s="80">
        <f>CM$8*'Mkt share'!$C$33</f>
        <v>0</v>
      </c>
      <c r="CO28" s="80">
        <f>CM$11*'Mkt share'!$C$33</f>
        <v>0</v>
      </c>
      <c r="CP28" s="80">
        <f>CM$14*'Mkt share'!$C$33</f>
        <v>0</v>
      </c>
      <c r="CQ28" s="88">
        <f>CM$17*'Mkt share'!$C$33</f>
        <v>0</v>
      </c>
      <c r="CT28" s="87" t="s">
        <v>170</v>
      </c>
      <c r="CU28" s="80">
        <f>CU$7*'Mkt share'!$C$34</f>
        <v>0</v>
      </c>
      <c r="CV28" s="80">
        <f>CU$8*'Mkt share'!$C$34</f>
        <v>0</v>
      </c>
      <c r="CW28" s="80">
        <f>CU$11*'Mkt share'!$C$34</f>
        <v>0</v>
      </c>
      <c r="CX28" s="80">
        <f>CU$14*'Mkt share'!$C$34</f>
        <v>0</v>
      </c>
      <c r="CY28" s="88">
        <f>CU$17*'Mkt share'!$C$34</f>
        <v>0</v>
      </c>
      <c r="DB28" s="87" t="s">
        <v>170</v>
      </c>
      <c r="DC28" s="80">
        <f>DC$7*'Mkt share'!$C$35</f>
        <v>0</v>
      </c>
      <c r="DD28" s="80">
        <f>DC$8*'Mkt share'!$C$35</f>
        <v>0</v>
      </c>
      <c r="DE28" s="80">
        <f>DC$11*'Mkt share'!$C$35</f>
        <v>0</v>
      </c>
      <c r="DF28" s="80">
        <f>DC$14*'Mkt share'!$C$35</f>
        <v>0</v>
      </c>
      <c r="DG28" s="88">
        <f>DC$17*'Mkt share'!$C$35</f>
        <v>0</v>
      </c>
    </row>
    <row r="29" spans="2:113">
      <c r="B29" s="87" t="s">
        <v>175</v>
      </c>
      <c r="C29" s="105">
        <v>0</v>
      </c>
      <c r="D29" s="80">
        <f>C$10*'Mkt share'!$C$22</f>
        <v>0</v>
      </c>
      <c r="E29" s="80">
        <f>C$13*'Mkt share'!$C$22</f>
        <v>0</v>
      </c>
      <c r="F29" s="80">
        <f>C$16*'Mkt share'!$C$22</f>
        <v>0</v>
      </c>
      <c r="G29" s="88">
        <f>C$19*'Mkt share'!$C$22</f>
        <v>0</v>
      </c>
      <c r="J29" s="87" t="s">
        <v>175</v>
      </c>
      <c r="K29" s="105">
        <v>0</v>
      </c>
      <c r="L29" s="80">
        <f>K$10*'Mkt share'!$C$23</f>
        <v>0</v>
      </c>
      <c r="M29" s="80">
        <f>K$13*'Mkt share'!$C$23</f>
        <v>0</v>
      </c>
      <c r="N29" s="80">
        <f>K$16*'Mkt share'!$C$23</f>
        <v>0</v>
      </c>
      <c r="O29" s="88">
        <f>K$19*'Mkt share'!$C$23</f>
        <v>0</v>
      </c>
      <c r="R29" s="87" t="s">
        <v>175</v>
      </c>
      <c r="S29" s="105">
        <v>0</v>
      </c>
      <c r="T29" s="80">
        <f>S$10*'Mkt share'!$C$24</f>
        <v>0</v>
      </c>
      <c r="U29" s="80">
        <f>S$13*'Mkt share'!$C$24</f>
        <v>0</v>
      </c>
      <c r="V29" s="80">
        <f>S$16*'Mkt share'!$C$24</f>
        <v>0</v>
      </c>
      <c r="W29" s="88">
        <f>S$19*'Mkt share'!$C$24</f>
        <v>0</v>
      </c>
      <c r="Z29" s="87" t="s">
        <v>175</v>
      </c>
      <c r="AA29" s="105">
        <v>0</v>
      </c>
      <c r="AB29" s="80">
        <f>AA$10*'Mkt share'!$C$25</f>
        <v>0</v>
      </c>
      <c r="AC29" s="80">
        <f>AA$13*'Mkt share'!$C$25</f>
        <v>0</v>
      </c>
      <c r="AD29" s="80">
        <f>AA$16*'Mkt share'!$C$25</f>
        <v>0</v>
      </c>
      <c r="AE29" s="88">
        <f>AA$19*'Mkt share'!$C$25</f>
        <v>0</v>
      </c>
      <c r="AH29" s="87" t="s">
        <v>175</v>
      </c>
      <c r="AI29" s="105">
        <v>0</v>
      </c>
      <c r="AJ29" s="80">
        <f>AI$10*'Mkt share'!$C$26</f>
        <v>0</v>
      </c>
      <c r="AK29" s="80">
        <f>AI$13*'Mkt share'!$C$26</f>
        <v>0</v>
      </c>
      <c r="AL29" s="80">
        <f>AI$16*'Mkt share'!$C$26</f>
        <v>0</v>
      </c>
      <c r="AM29" s="88">
        <f>AI$19*'Mkt share'!$C$26</f>
        <v>0</v>
      </c>
      <c r="AP29" s="87" t="s">
        <v>175</v>
      </c>
      <c r="AQ29" s="105">
        <v>0</v>
      </c>
      <c r="AR29" s="80">
        <f>AQ$10*'Mkt share'!$C$27</f>
        <v>0</v>
      </c>
      <c r="AS29" s="80">
        <f>AQ$13*'Mkt share'!$C$27</f>
        <v>0</v>
      </c>
      <c r="AT29" s="80">
        <f>AQ$16*'Mkt share'!$C$27</f>
        <v>0</v>
      </c>
      <c r="AU29" s="88">
        <f>AQ$19*'Mkt share'!$C$27</f>
        <v>0</v>
      </c>
      <c r="AX29" s="87" t="s">
        <v>175</v>
      </c>
      <c r="AY29" s="105">
        <v>0</v>
      </c>
      <c r="AZ29" s="80">
        <f>AY$10*'Mkt share'!$C$28</f>
        <v>0</v>
      </c>
      <c r="BA29" s="80">
        <f>AY$13*'Mkt share'!$C$28</f>
        <v>0</v>
      </c>
      <c r="BB29" s="80">
        <f>AY$16*'Mkt share'!$C$28</f>
        <v>0</v>
      </c>
      <c r="BC29" s="88">
        <f>AY$19*'Mkt share'!$C$28</f>
        <v>0</v>
      </c>
      <c r="BF29" s="87" t="s">
        <v>175</v>
      </c>
      <c r="BG29" s="105">
        <v>0</v>
      </c>
      <c r="BH29" s="80">
        <f>BG$10*'Mkt share'!$C$29</f>
        <v>0</v>
      </c>
      <c r="BI29" s="80">
        <f>BG$13*'Mkt share'!$C$29</f>
        <v>0</v>
      </c>
      <c r="BJ29" s="80">
        <f>BG$16*'Mkt share'!$C$29</f>
        <v>0</v>
      </c>
      <c r="BK29" s="88">
        <f>BG$19*'Mkt share'!$C$29</f>
        <v>0</v>
      </c>
      <c r="BN29" s="87" t="s">
        <v>175</v>
      </c>
      <c r="BO29" s="105">
        <v>0</v>
      </c>
      <c r="BP29" s="80">
        <f>BO$10*'Mkt share'!$C$30</f>
        <v>0</v>
      </c>
      <c r="BQ29" s="80">
        <f>BO$13*'Mkt share'!$C$30</f>
        <v>0</v>
      </c>
      <c r="BR29" s="80">
        <f>BO$16*'Mkt share'!$C$30</f>
        <v>0</v>
      </c>
      <c r="BS29" s="88">
        <f>BO$19*'Mkt share'!$C$30</f>
        <v>0</v>
      </c>
      <c r="BV29" s="87" t="s">
        <v>175</v>
      </c>
      <c r="BW29" s="105">
        <v>0</v>
      </c>
      <c r="BX29" s="80">
        <f>BW$10*'Mkt share'!$C$31</f>
        <v>0</v>
      </c>
      <c r="BY29" s="80">
        <f>BW$13*'Mkt share'!$C$31</f>
        <v>0</v>
      </c>
      <c r="BZ29" s="80">
        <f>BW$16*'Mkt share'!$C$31</f>
        <v>0</v>
      </c>
      <c r="CA29" s="88">
        <f>BW$19*'Mkt share'!$C$31</f>
        <v>0</v>
      </c>
      <c r="CD29" s="87" t="s">
        <v>175</v>
      </c>
      <c r="CE29" s="105">
        <v>0</v>
      </c>
      <c r="CF29" s="80">
        <f>CE$10*'Mkt share'!$C$32</f>
        <v>0</v>
      </c>
      <c r="CG29" s="80">
        <f>CE$13*'Mkt share'!$C$32</f>
        <v>0</v>
      </c>
      <c r="CH29" s="80">
        <f>CE$16*'Mkt share'!$C$32</f>
        <v>0</v>
      </c>
      <c r="CI29" s="88">
        <f>CE$19*'Mkt share'!$C$32</f>
        <v>0</v>
      </c>
      <c r="CL29" s="87" t="s">
        <v>175</v>
      </c>
      <c r="CM29" s="105">
        <v>0</v>
      </c>
      <c r="CN29" s="80">
        <f>CM$10*'Mkt share'!$C$33</f>
        <v>0</v>
      </c>
      <c r="CO29" s="80">
        <f>CM$13*'Mkt share'!$C$33</f>
        <v>0</v>
      </c>
      <c r="CP29" s="80">
        <f>CM$16*'Mkt share'!$C$33</f>
        <v>0</v>
      </c>
      <c r="CQ29" s="88">
        <f>CM$19*'Mkt share'!$C$33</f>
        <v>0</v>
      </c>
      <c r="CT29" s="87" t="s">
        <v>175</v>
      </c>
      <c r="CU29" s="105">
        <v>0</v>
      </c>
      <c r="CV29" s="80">
        <f>CU$10*'Mkt share'!$C$34</f>
        <v>0</v>
      </c>
      <c r="CW29" s="80">
        <f>CU$13*'Mkt share'!$C$34</f>
        <v>0</v>
      </c>
      <c r="CX29" s="80">
        <f>CU$16*'Mkt share'!$C$34</f>
        <v>0</v>
      </c>
      <c r="CY29" s="88">
        <f>CU$19*'Mkt share'!$C$34</f>
        <v>0</v>
      </c>
      <c r="DB29" s="87" t="s">
        <v>175</v>
      </c>
      <c r="DC29" s="105">
        <v>0</v>
      </c>
      <c r="DD29" s="80">
        <f>DC$10*'Mkt share'!$C$35</f>
        <v>0</v>
      </c>
      <c r="DE29" s="80">
        <f>DC$13*'Mkt share'!$C$35</f>
        <v>0</v>
      </c>
      <c r="DF29" s="80">
        <f>DC$16*'Mkt share'!$C$35</f>
        <v>0</v>
      </c>
      <c r="DG29" s="88">
        <f>DC$19*'Mkt share'!$C$35</f>
        <v>0</v>
      </c>
    </row>
    <row r="30" spans="2:113">
      <c r="B30" s="87" t="s">
        <v>171</v>
      </c>
      <c r="C30" s="103"/>
      <c r="D30" s="80">
        <f>D$7*'Mkt share'!$D$22</f>
        <v>0</v>
      </c>
      <c r="E30" s="80">
        <f>D$8*'Mkt share'!$D$22</f>
        <v>0</v>
      </c>
      <c r="F30" s="80">
        <f>D$11*'Mkt share'!$D$22</f>
        <v>0</v>
      </c>
      <c r="G30" s="88">
        <f>D$14*'Mkt share'!$D$22</f>
        <v>0</v>
      </c>
      <c r="J30" s="87" t="s">
        <v>171</v>
      </c>
      <c r="K30" s="103"/>
      <c r="L30" s="80">
        <f>L$7*'Mkt share'!$D$23</f>
        <v>0</v>
      </c>
      <c r="M30" s="80">
        <f>L$8*'Mkt share'!$D$23</f>
        <v>0</v>
      </c>
      <c r="N30" s="80">
        <f>L$11*'Mkt share'!$D$23</f>
        <v>0</v>
      </c>
      <c r="O30" s="88">
        <f>L$14*'Mkt share'!$D$23</f>
        <v>0</v>
      </c>
      <c r="R30" s="87" t="s">
        <v>171</v>
      </c>
      <c r="S30" s="103"/>
      <c r="T30" s="80">
        <f>T$7*'Mkt share'!$D$24</f>
        <v>0</v>
      </c>
      <c r="U30" s="80">
        <f>T$8*'Mkt share'!$D$24</f>
        <v>0</v>
      </c>
      <c r="V30" s="80">
        <f>T$11*'Mkt share'!$D$24</f>
        <v>0</v>
      </c>
      <c r="W30" s="88">
        <f>T$14*'Mkt share'!$D$24</f>
        <v>0</v>
      </c>
      <c r="Z30" s="87" t="s">
        <v>171</v>
      </c>
      <c r="AA30" s="103"/>
      <c r="AB30" s="80">
        <f>AB$7*'Mkt share'!$D$25</f>
        <v>0</v>
      </c>
      <c r="AC30" s="80">
        <f>AB$8*'Mkt share'!$D$25</f>
        <v>0</v>
      </c>
      <c r="AD30" s="80">
        <f>AB$11*'Mkt share'!$D$25</f>
        <v>0</v>
      </c>
      <c r="AE30" s="88">
        <f>AB$14*'Mkt share'!$D$25</f>
        <v>0</v>
      </c>
      <c r="AH30" s="87" t="s">
        <v>171</v>
      </c>
      <c r="AI30" s="103"/>
      <c r="AJ30" s="80">
        <f>AJ$7*'Mkt share'!$D$26</f>
        <v>690.371840625</v>
      </c>
      <c r="AK30" s="80">
        <f>AJ$8*'Mkt share'!$D$26</f>
        <v>690.371840625</v>
      </c>
      <c r="AL30" s="80">
        <f>AJ$11*'Mkt share'!$D$26</f>
        <v>690.371840625</v>
      </c>
      <c r="AM30" s="88">
        <f>AJ$14*'Mkt share'!$D$26</f>
        <v>690.371840625</v>
      </c>
      <c r="AP30" s="87" t="s">
        <v>171</v>
      </c>
      <c r="AQ30" s="103"/>
      <c r="AR30" s="80">
        <f>AR$7*'Mkt share'!$D$27</f>
        <v>0</v>
      </c>
      <c r="AS30" s="80">
        <f>AR$8*'Mkt share'!$D$27</f>
        <v>0</v>
      </c>
      <c r="AT30" s="80">
        <f>AR$11*'Mkt share'!$D$27</f>
        <v>0</v>
      </c>
      <c r="AU30" s="88">
        <f>AR$14*'Mkt share'!$D$27</f>
        <v>0</v>
      </c>
      <c r="AX30" s="87" t="s">
        <v>171</v>
      </c>
      <c r="AY30" s="103"/>
      <c r="AZ30" s="80">
        <f>AZ$7*'Mkt share'!$D$28</f>
        <v>0</v>
      </c>
      <c r="BA30" s="80">
        <f>AZ$8*'Mkt share'!$D$28</f>
        <v>0</v>
      </c>
      <c r="BB30" s="80">
        <f>AZ$11*'Mkt share'!$D$28</f>
        <v>0</v>
      </c>
      <c r="BC30" s="88">
        <f>AZ$14*'Mkt share'!$D$28</f>
        <v>0</v>
      </c>
      <c r="BF30" s="87" t="s">
        <v>171</v>
      </c>
      <c r="BG30" s="103"/>
      <c r="BH30" s="80">
        <f>BH$7*'Mkt share'!$D$29</f>
        <v>0</v>
      </c>
      <c r="BI30" s="80">
        <f>BH$8*'Mkt share'!$D$29</f>
        <v>0</v>
      </c>
      <c r="BJ30" s="80">
        <f>BH$11*'Mkt share'!$D$29</f>
        <v>0</v>
      </c>
      <c r="BK30" s="88">
        <f>BH$14*'Mkt share'!$D$29</f>
        <v>0</v>
      </c>
      <c r="BN30" s="87" t="s">
        <v>171</v>
      </c>
      <c r="BO30" s="103"/>
      <c r="BP30" s="80">
        <f>BP$7*'Mkt share'!$D$30</f>
        <v>0</v>
      </c>
      <c r="BQ30" s="80">
        <f>BP$8*'Mkt share'!$D$30</f>
        <v>0</v>
      </c>
      <c r="BR30" s="80">
        <f>BP$11*'Mkt share'!$D$30</f>
        <v>0</v>
      </c>
      <c r="BS30" s="88">
        <f>BP$14*'Mkt share'!$D$30</f>
        <v>0</v>
      </c>
      <c r="BV30" s="87" t="s">
        <v>171</v>
      </c>
      <c r="BW30" s="103"/>
      <c r="BX30" s="80">
        <f>BX$7*'Mkt share'!$D$31</f>
        <v>0</v>
      </c>
      <c r="BY30" s="80">
        <f>BX$8*'Mkt share'!$D$31</f>
        <v>0</v>
      </c>
      <c r="BZ30" s="80">
        <f>BX$11*'Mkt share'!$D$31</f>
        <v>0</v>
      </c>
      <c r="CA30" s="88">
        <f>BX$14*'Mkt share'!$D$31</f>
        <v>0</v>
      </c>
      <c r="CD30" s="87" t="s">
        <v>171</v>
      </c>
      <c r="CE30" s="103"/>
      <c r="CF30" s="80">
        <f>CF$7*'Mkt share'!$D$32</f>
        <v>0</v>
      </c>
      <c r="CG30" s="80">
        <f>CF$8*'Mkt share'!$D$32</f>
        <v>0</v>
      </c>
      <c r="CH30" s="80">
        <f>CF$11*'Mkt share'!$D$32</f>
        <v>0</v>
      </c>
      <c r="CI30" s="88">
        <f>CF$14*'Mkt share'!$D$32</f>
        <v>0</v>
      </c>
      <c r="CL30" s="87" t="s">
        <v>171</v>
      </c>
      <c r="CM30" s="103"/>
      <c r="CN30" s="80">
        <f>CN$7*'Mkt share'!$D$33</f>
        <v>0</v>
      </c>
      <c r="CO30" s="80">
        <f>CN$8*'Mkt share'!$D$33</f>
        <v>0</v>
      </c>
      <c r="CP30" s="80">
        <f>CN$11*'Mkt share'!$D$33</f>
        <v>0</v>
      </c>
      <c r="CQ30" s="88">
        <f>CN$14*'Mkt share'!$D$33</f>
        <v>0</v>
      </c>
      <c r="CT30" s="87" t="s">
        <v>171</v>
      </c>
      <c r="CU30" s="103"/>
      <c r="CV30" s="80">
        <f>CV$7*'Mkt share'!$D$34</f>
        <v>0</v>
      </c>
      <c r="CW30" s="80">
        <f>CV$8*'Mkt share'!$D$34</f>
        <v>0</v>
      </c>
      <c r="CX30" s="80">
        <f>CV$11*'Mkt share'!$D$34</f>
        <v>0</v>
      </c>
      <c r="CY30" s="88">
        <f>CV$14*'Mkt share'!$D$34</f>
        <v>0</v>
      </c>
      <c r="DB30" s="87" t="s">
        <v>171</v>
      </c>
      <c r="DC30" s="103"/>
      <c r="DD30" s="80">
        <f>DD$7*'Mkt share'!$D$35</f>
        <v>0</v>
      </c>
      <c r="DE30" s="80">
        <f>DD$8*'Mkt share'!$D$35</f>
        <v>0</v>
      </c>
      <c r="DF30" s="80">
        <f>DD$11*'Mkt share'!$D$35</f>
        <v>0</v>
      </c>
      <c r="DG30" s="88">
        <f>DD$14*'Mkt share'!$D$35</f>
        <v>0</v>
      </c>
    </row>
    <row r="31" spans="2:113">
      <c r="B31" s="87" t="s">
        <v>176</v>
      </c>
      <c r="C31" s="103"/>
      <c r="D31" s="105">
        <v>0</v>
      </c>
      <c r="E31" s="80">
        <f>D$10*'Mkt share'!$D$22</f>
        <v>0</v>
      </c>
      <c r="F31" s="80">
        <f>D$13*'Mkt share'!$D$22</f>
        <v>0</v>
      </c>
      <c r="G31" s="88">
        <f>D$16*'Mkt share'!$D$22</f>
        <v>0</v>
      </c>
      <c r="J31" s="87" t="s">
        <v>176</v>
      </c>
      <c r="K31" s="103"/>
      <c r="L31" s="105">
        <v>0</v>
      </c>
      <c r="M31" s="80">
        <f>L$10*'Mkt share'!$D$23</f>
        <v>0</v>
      </c>
      <c r="N31" s="80">
        <f>L$13*'Mkt share'!$D$23</f>
        <v>0</v>
      </c>
      <c r="O31" s="88">
        <f>L$16*'Mkt share'!$D$23</f>
        <v>0</v>
      </c>
      <c r="R31" s="87" t="s">
        <v>176</v>
      </c>
      <c r="S31" s="103"/>
      <c r="T31" s="105">
        <v>0</v>
      </c>
      <c r="U31" s="80">
        <f>T$10*'Mkt share'!$D$24</f>
        <v>0</v>
      </c>
      <c r="V31" s="80">
        <f>T$13*'Mkt share'!$D$24</f>
        <v>0</v>
      </c>
      <c r="W31" s="88">
        <f>T$16*'Mkt share'!$D$24</f>
        <v>0</v>
      </c>
      <c r="Z31" s="87" t="s">
        <v>176</v>
      </c>
      <c r="AA31" s="103"/>
      <c r="AB31" s="105">
        <v>0</v>
      </c>
      <c r="AC31" s="80">
        <f>AB$10*'Mkt share'!$D$25</f>
        <v>0</v>
      </c>
      <c r="AD31" s="80">
        <f>AB$13*'Mkt share'!$D$25</f>
        <v>0</v>
      </c>
      <c r="AE31" s="88">
        <f>AB$16*'Mkt share'!$D$25</f>
        <v>0</v>
      </c>
      <c r="AH31" s="87" t="s">
        <v>176</v>
      </c>
      <c r="AI31" s="103"/>
      <c r="AJ31" s="105">
        <v>0</v>
      </c>
      <c r="AK31" s="80">
        <f>AJ$10*'Mkt share'!$D$26</f>
        <v>0</v>
      </c>
      <c r="AL31" s="80">
        <f>AJ$13*'Mkt share'!$D$26</f>
        <v>0</v>
      </c>
      <c r="AM31" s="88">
        <f>AJ$16*'Mkt share'!$D$26</f>
        <v>0</v>
      </c>
      <c r="AP31" s="87" t="s">
        <v>176</v>
      </c>
      <c r="AQ31" s="103"/>
      <c r="AR31" s="105">
        <v>0</v>
      </c>
      <c r="AS31" s="80">
        <f>AR$10*'Mkt share'!$D$27</f>
        <v>0</v>
      </c>
      <c r="AT31" s="80">
        <f>AR$13*'Mkt share'!$D$27</f>
        <v>0</v>
      </c>
      <c r="AU31" s="88">
        <f>AR$16*'Mkt share'!$D$27</f>
        <v>0</v>
      </c>
      <c r="AX31" s="87" t="s">
        <v>176</v>
      </c>
      <c r="AY31" s="103"/>
      <c r="AZ31" s="105">
        <v>0</v>
      </c>
      <c r="BA31" s="80">
        <f>AZ$10*'Mkt share'!$D$28</f>
        <v>0</v>
      </c>
      <c r="BB31" s="80">
        <f>AZ$13*'Mkt share'!$D$28</f>
        <v>0</v>
      </c>
      <c r="BC31" s="88">
        <f>AZ$16*'Mkt share'!$D$28</f>
        <v>0</v>
      </c>
      <c r="BF31" s="87" t="s">
        <v>176</v>
      </c>
      <c r="BG31" s="103"/>
      <c r="BH31" s="105">
        <v>0</v>
      </c>
      <c r="BI31" s="80">
        <f>BH$10*'Mkt share'!$D$29</f>
        <v>0</v>
      </c>
      <c r="BJ31" s="80">
        <f>BH$13*'Mkt share'!$D$29</f>
        <v>0</v>
      </c>
      <c r="BK31" s="88">
        <f>BH$16*'Mkt share'!$D$29</f>
        <v>0</v>
      </c>
      <c r="BN31" s="87" t="s">
        <v>176</v>
      </c>
      <c r="BO31" s="103"/>
      <c r="BP31" s="105">
        <v>0</v>
      </c>
      <c r="BQ31" s="80">
        <f>BP$10*'Mkt share'!$D$30</f>
        <v>0</v>
      </c>
      <c r="BR31" s="80">
        <f>BP$13*'Mkt share'!$D$30</f>
        <v>0</v>
      </c>
      <c r="BS31" s="88">
        <f>BP$16*'Mkt share'!$D$30</f>
        <v>0</v>
      </c>
      <c r="BV31" s="87" t="s">
        <v>176</v>
      </c>
      <c r="BW31" s="103"/>
      <c r="BX31" s="105">
        <v>0</v>
      </c>
      <c r="BY31" s="80">
        <f>BX$10*'Mkt share'!$D$31</f>
        <v>0</v>
      </c>
      <c r="BZ31" s="80">
        <f>BX$13*'Mkt share'!$D$31</f>
        <v>0</v>
      </c>
      <c r="CA31" s="88">
        <f>BX$16*'Mkt share'!$D$31</f>
        <v>0</v>
      </c>
      <c r="CD31" s="87" t="s">
        <v>176</v>
      </c>
      <c r="CE31" s="103"/>
      <c r="CF31" s="105">
        <v>0</v>
      </c>
      <c r="CG31" s="80">
        <f>CF$10*'Mkt share'!$D$32</f>
        <v>0</v>
      </c>
      <c r="CH31" s="80">
        <f>CF$13*'Mkt share'!$D$32</f>
        <v>0</v>
      </c>
      <c r="CI31" s="88">
        <f>CF$16*'Mkt share'!$D$32</f>
        <v>0</v>
      </c>
      <c r="CL31" s="87" t="s">
        <v>176</v>
      </c>
      <c r="CM31" s="103"/>
      <c r="CN31" s="105">
        <v>0</v>
      </c>
      <c r="CO31" s="80">
        <f>CN$10*'Mkt share'!$D$33</f>
        <v>0</v>
      </c>
      <c r="CP31" s="80">
        <f>CN$13*'Mkt share'!$D$33</f>
        <v>0</v>
      </c>
      <c r="CQ31" s="88">
        <f>CN$16*'Mkt share'!$D$33</f>
        <v>0</v>
      </c>
      <c r="CT31" s="87" t="s">
        <v>176</v>
      </c>
      <c r="CU31" s="103"/>
      <c r="CV31" s="105">
        <v>0</v>
      </c>
      <c r="CW31" s="80">
        <f>CV$10*'Mkt share'!$D$34</f>
        <v>0</v>
      </c>
      <c r="CX31" s="80">
        <f>CV$13*'Mkt share'!$D$34</f>
        <v>0</v>
      </c>
      <c r="CY31" s="88">
        <f>CV$16*'Mkt share'!$D$34</f>
        <v>0</v>
      </c>
      <c r="DB31" s="87" t="s">
        <v>176</v>
      </c>
      <c r="DC31" s="103"/>
      <c r="DD31" s="105">
        <v>0</v>
      </c>
      <c r="DE31" s="80">
        <f>DD$10*'Mkt share'!$D$35</f>
        <v>0</v>
      </c>
      <c r="DF31" s="80">
        <f>DD$13*'Mkt share'!$D$35</f>
        <v>0</v>
      </c>
      <c r="DG31" s="88">
        <f>DD$16*'Mkt share'!$D$35</f>
        <v>0</v>
      </c>
    </row>
    <row r="32" spans="2:113">
      <c r="B32" s="87" t="s">
        <v>172</v>
      </c>
      <c r="C32" s="103"/>
      <c r="D32" s="103"/>
      <c r="E32" s="80">
        <f>E$7*'Mkt share'!$E$22</f>
        <v>0</v>
      </c>
      <c r="F32" s="80">
        <f>E$8*'Mkt share'!$E$22</f>
        <v>0</v>
      </c>
      <c r="G32" s="88">
        <f>E$11*'Mkt share'!$E$22</f>
        <v>0</v>
      </c>
      <c r="J32" s="87" t="s">
        <v>172</v>
      </c>
      <c r="K32" s="103"/>
      <c r="L32" s="103"/>
      <c r="M32" s="80">
        <f>M$7*'Mkt share'!$E$23</f>
        <v>0</v>
      </c>
      <c r="N32" s="80">
        <f>M$8*'Mkt share'!$E$23</f>
        <v>0</v>
      </c>
      <c r="O32" s="88">
        <f>M$11*'Mkt share'!$E$23</f>
        <v>0</v>
      </c>
      <c r="R32" s="87" t="s">
        <v>172</v>
      </c>
      <c r="S32" s="103"/>
      <c r="T32" s="103"/>
      <c r="U32" s="80">
        <f>U$7*'Mkt share'!$E$24</f>
        <v>0</v>
      </c>
      <c r="V32" s="80">
        <f>U$8*'Mkt share'!$E$24</f>
        <v>0</v>
      </c>
      <c r="W32" s="88">
        <f>U$11*'Mkt share'!$E$24</f>
        <v>0</v>
      </c>
      <c r="Z32" s="87" t="s">
        <v>172</v>
      </c>
      <c r="AA32" s="103"/>
      <c r="AB32" s="103"/>
      <c r="AC32" s="80">
        <f>AC$7*'Mkt share'!$E$25</f>
        <v>0</v>
      </c>
      <c r="AD32" s="80">
        <f>AC$8*'Mkt share'!$E$25</f>
        <v>0</v>
      </c>
      <c r="AE32" s="88">
        <f>AC$11*'Mkt share'!$E$25</f>
        <v>0</v>
      </c>
      <c r="AH32" s="87" t="s">
        <v>172</v>
      </c>
      <c r="AI32" s="103"/>
      <c r="AJ32" s="103"/>
      <c r="AK32" s="80">
        <f>AK$7*'Mkt share'!$E$26</f>
        <v>695.59661162500004</v>
      </c>
      <c r="AL32" s="80">
        <f>AK$8*'Mkt share'!$E$26</f>
        <v>695.59661162500004</v>
      </c>
      <c r="AM32" s="88">
        <f>AK$11*'Mkt share'!$E$26</f>
        <v>695.59661162500004</v>
      </c>
      <c r="AP32" s="87" t="s">
        <v>172</v>
      </c>
      <c r="AQ32" s="103"/>
      <c r="AR32" s="103"/>
      <c r="AS32" s="80">
        <f>AS$7*'Mkt share'!$E$27</f>
        <v>0</v>
      </c>
      <c r="AT32" s="80">
        <f>AS$8*'Mkt share'!$E$27</f>
        <v>0</v>
      </c>
      <c r="AU32" s="88">
        <f>AS$11*'Mkt share'!$E$27</f>
        <v>0</v>
      </c>
      <c r="AX32" s="87" t="s">
        <v>172</v>
      </c>
      <c r="AY32" s="103"/>
      <c r="AZ32" s="103"/>
      <c r="BA32" s="80">
        <f>BA$7*'Mkt share'!$E$28</f>
        <v>0</v>
      </c>
      <c r="BB32" s="80">
        <f>BA$8*'Mkt share'!$E$28</f>
        <v>0</v>
      </c>
      <c r="BC32" s="88">
        <f>BA$11*'Mkt share'!$E$28</f>
        <v>0</v>
      </c>
      <c r="BF32" s="87" t="s">
        <v>172</v>
      </c>
      <c r="BG32" s="103"/>
      <c r="BH32" s="103"/>
      <c r="BI32" s="80">
        <f>BI$7*'Mkt share'!$E$29</f>
        <v>0</v>
      </c>
      <c r="BJ32" s="80">
        <f>BI$8*'Mkt share'!$E$29</f>
        <v>0</v>
      </c>
      <c r="BK32" s="88">
        <f>BI$11*'Mkt share'!$E$29</f>
        <v>0</v>
      </c>
      <c r="BN32" s="87" t="s">
        <v>172</v>
      </c>
      <c r="BO32" s="103"/>
      <c r="BP32" s="103"/>
      <c r="BQ32" s="80">
        <f>BQ$7*'Mkt share'!$E$30</f>
        <v>0</v>
      </c>
      <c r="BR32" s="80">
        <f>BQ$8*'Mkt share'!$E$30</f>
        <v>0</v>
      </c>
      <c r="BS32" s="88">
        <f>BQ$11*'Mkt share'!$E$30</f>
        <v>0</v>
      </c>
      <c r="BV32" s="87" t="s">
        <v>172</v>
      </c>
      <c r="BW32" s="103"/>
      <c r="BX32" s="103"/>
      <c r="BY32" s="80">
        <f>BY$7*'Mkt share'!$E$31</f>
        <v>0</v>
      </c>
      <c r="BZ32" s="80">
        <f>BY$8*'Mkt share'!$E$31</f>
        <v>0</v>
      </c>
      <c r="CA32" s="88">
        <f>BY$11*'Mkt share'!$E$31</f>
        <v>0</v>
      </c>
      <c r="CD32" s="87" t="s">
        <v>172</v>
      </c>
      <c r="CE32" s="103"/>
      <c r="CF32" s="103"/>
      <c r="CG32" s="80">
        <f>CG$7*'Mkt share'!$E$32</f>
        <v>0</v>
      </c>
      <c r="CH32" s="80">
        <f>CG$8*'Mkt share'!$E$32</f>
        <v>0</v>
      </c>
      <c r="CI32" s="88">
        <f>CG$11*'Mkt share'!$E$32</f>
        <v>0</v>
      </c>
      <c r="CL32" s="87" t="s">
        <v>172</v>
      </c>
      <c r="CM32" s="103"/>
      <c r="CN32" s="103"/>
      <c r="CO32" s="80">
        <f>CO$7*'Mkt share'!$E$33</f>
        <v>0</v>
      </c>
      <c r="CP32" s="80">
        <f>CO$8*'Mkt share'!$E$33</f>
        <v>0</v>
      </c>
      <c r="CQ32" s="88">
        <f>CO$11*'Mkt share'!$E$33</f>
        <v>0</v>
      </c>
      <c r="CT32" s="87" t="s">
        <v>172</v>
      </c>
      <c r="CU32" s="103"/>
      <c r="CV32" s="103"/>
      <c r="CW32" s="80">
        <f>CW$7*'Mkt share'!$E$34</f>
        <v>0</v>
      </c>
      <c r="CX32" s="80">
        <f>CW$8*'Mkt share'!$E$34</f>
        <v>0</v>
      </c>
      <c r="CY32" s="88">
        <f>CW$11*'Mkt share'!$E$34</f>
        <v>0</v>
      </c>
      <c r="DB32" s="87" t="s">
        <v>172</v>
      </c>
      <c r="DC32" s="103"/>
      <c r="DD32" s="103"/>
      <c r="DE32" s="80">
        <f>DE$7*'Mkt share'!$E$35</f>
        <v>0</v>
      </c>
      <c r="DF32" s="80">
        <f>DE$8*'Mkt share'!$E$35</f>
        <v>0</v>
      </c>
      <c r="DG32" s="88">
        <f>DE$11*'Mkt share'!$E$35</f>
        <v>0</v>
      </c>
    </row>
    <row r="33" spans="2:111">
      <c r="B33" s="87" t="s">
        <v>177</v>
      </c>
      <c r="C33" s="103"/>
      <c r="D33" s="103"/>
      <c r="E33" s="105">
        <v>0</v>
      </c>
      <c r="F33" s="80">
        <f>E$10*'Mkt share'!$E$22</f>
        <v>0</v>
      </c>
      <c r="G33" s="88">
        <f>E$13*'Mkt share'!$E$22</f>
        <v>0</v>
      </c>
      <c r="J33" s="87" t="s">
        <v>177</v>
      </c>
      <c r="K33" s="103"/>
      <c r="L33" s="103"/>
      <c r="M33" s="105">
        <v>0</v>
      </c>
      <c r="N33" s="80">
        <f>M$10*'Mkt share'!$E$23</f>
        <v>0</v>
      </c>
      <c r="O33" s="88">
        <f>M$13*'Mkt share'!$E$23</f>
        <v>0</v>
      </c>
      <c r="R33" s="87" t="s">
        <v>177</v>
      </c>
      <c r="S33" s="103"/>
      <c r="T33" s="103"/>
      <c r="U33" s="105">
        <v>0</v>
      </c>
      <c r="V33" s="80">
        <f>U$10*'Mkt share'!$E$24</f>
        <v>0</v>
      </c>
      <c r="W33" s="88">
        <f>U$13*'Mkt share'!$E$24</f>
        <v>0</v>
      </c>
      <c r="Z33" s="87" t="s">
        <v>177</v>
      </c>
      <c r="AA33" s="103"/>
      <c r="AB33" s="103"/>
      <c r="AC33" s="105">
        <v>0</v>
      </c>
      <c r="AD33" s="80">
        <f>AC$10*'Mkt share'!$E$25</f>
        <v>0</v>
      </c>
      <c r="AE33" s="88">
        <f>AC$13*'Mkt share'!$E$25</f>
        <v>0</v>
      </c>
      <c r="AH33" s="87" t="s">
        <v>177</v>
      </c>
      <c r="AI33" s="103"/>
      <c r="AJ33" s="103"/>
      <c r="AK33" s="105">
        <v>0</v>
      </c>
      <c r="AL33" s="80">
        <f>AK$10*'Mkt share'!$E$26</f>
        <v>0</v>
      </c>
      <c r="AM33" s="88">
        <f>AK$13*'Mkt share'!$E$26</f>
        <v>0</v>
      </c>
      <c r="AP33" s="87" t="s">
        <v>177</v>
      </c>
      <c r="AQ33" s="103"/>
      <c r="AR33" s="103"/>
      <c r="AS33" s="105">
        <v>0</v>
      </c>
      <c r="AT33" s="80">
        <f>AS$10*'Mkt share'!$E$27</f>
        <v>0</v>
      </c>
      <c r="AU33" s="88">
        <f>AS$13*'Mkt share'!$E$27</f>
        <v>0</v>
      </c>
      <c r="AX33" s="87" t="s">
        <v>177</v>
      </c>
      <c r="AY33" s="103"/>
      <c r="AZ33" s="103"/>
      <c r="BA33" s="105">
        <v>0</v>
      </c>
      <c r="BB33" s="80">
        <f>BA$10*'Mkt share'!$E$28</f>
        <v>0</v>
      </c>
      <c r="BC33" s="88">
        <f>BA$13*'Mkt share'!$E$28</f>
        <v>0</v>
      </c>
      <c r="BF33" s="87" t="s">
        <v>177</v>
      </c>
      <c r="BG33" s="103"/>
      <c r="BH33" s="103"/>
      <c r="BI33" s="105">
        <v>0</v>
      </c>
      <c r="BJ33" s="80">
        <f>BI$10*'Mkt share'!$E$29</f>
        <v>0</v>
      </c>
      <c r="BK33" s="88">
        <f>BI$13*'Mkt share'!$E$29</f>
        <v>0</v>
      </c>
      <c r="BN33" s="87" t="s">
        <v>177</v>
      </c>
      <c r="BO33" s="103"/>
      <c r="BP33" s="103"/>
      <c r="BQ33" s="105">
        <v>0</v>
      </c>
      <c r="BR33" s="80">
        <f>BQ$10*'Mkt share'!$E$30</f>
        <v>0</v>
      </c>
      <c r="BS33" s="88">
        <f>BQ$13*'Mkt share'!$E$30</f>
        <v>0</v>
      </c>
      <c r="BV33" s="87" t="s">
        <v>177</v>
      </c>
      <c r="BW33" s="103"/>
      <c r="BX33" s="103"/>
      <c r="BY33" s="105">
        <v>0</v>
      </c>
      <c r="BZ33" s="80">
        <f>BY$10*'Mkt share'!$E$31</f>
        <v>0</v>
      </c>
      <c r="CA33" s="88">
        <f>BY$13*'Mkt share'!$E$31</f>
        <v>0</v>
      </c>
      <c r="CD33" s="87" t="s">
        <v>177</v>
      </c>
      <c r="CE33" s="103"/>
      <c r="CF33" s="103"/>
      <c r="CG33" s="105">
        <v>0</v>
      </c>
      <c r="CH33" s="80">
        <f>CG$10*'Mkt share'!$E$32</f>
        <v>0</v>
      </c>
      <c r="CI33" s="88">
        <f>CG$13*'Mkt share'!$E$32</f>
        <v>0</v>
      </c>
      <c r="CL33" s="87" t="s">
        <v>177</v>
      </c>
      <c r="CM33" s="103"/>
      <c r="CN33" s="103"/>
      <c r="CO33" s="105">
        <v>0</v>
      </c>
      <c r="CP33" s="80">
        <f>CO$10*'Mkt share'!$E$33</f>
        <v>0</v>
      </c>
      <c r="CQ33" s="88">
        <f>CO$13*'Mkt share'!$E$33</f>
        <v>0</v>
      </c>
      <c r="CT33" s="87" t="s">
        <v>177</v>
      </c>
      <c r="CU33" s="103"/>
      <c r="CV33" s="103"/>
      <c r="CW33" s="105">
        <v>0</v>
      </c>
      <c r="CX33" s="80">
        <f>CW$10*'Mkt share'!$E$34</f>
        <v>0</v>
      </c>
      <c r="CY33" s="88">
        <f>CW$13*'Mkt share'!$E$34</f>
        <v>0</v>
      </c>
      <c r="DB33" s="87" t="s">
        <v>177</v>
      </c>
      <c r="DC33" s="103"/>
      <c r="DD33" s="103"/>
      <c r="DE33" s="105">
        <v>0</v>
      </c>
      <c r="DF33" s="80">
        <f>DE$10*'Mkt share'!$E$35</f>
        <v>0</v>
      </c>
      <c r="DG33" s="88">
        <f>DE$13*'Mkt share'!$E$35</f>
        <v>0</v>
      </c>
    </row>
    <row r="34" spans="2:111">
      <c r="B34" s="87" t="s">
        <v>173</v>
      </c>
      <c r="C34" s="103"/>
      <c r="D34" s="103"/>
      <c r="E34" s="103"/>
      <c r="F34" s="80">
        <f>F$7*'Mkt share'!$F$22</f>
        <v>0</v>
      </c>
      <c r="G34" s="88">
        <f>F$8*'Mkt share'!$F$22</f>
        <v>0</v>
      </c>
      <c r="J34" s="87" t="s">
        <v>173</v>
      </c>
      <c r="K34" s="103"/>
      <c r="L34" s="103"/>
      <c r="M34" s="103"/>
      <c r="N34" s="80">
        <f>N$7*'Mkt share'!$F$23</f>
        <v>0</v>
      </c>
      <c r="O34" s="88">
        <f>N$8*'Mkt share'!$F$23</f>
        <v>0</v>
      </c>
      <c r="R34" s="87" t="s">
        <v>173</v>
      </c>
      <c r="S34" s="103"/>
      <c r="T34" s="103"/>
      <c r="U34" s="103"/>
      <c r="V34" s="80">
        <f>V$7*'Mkt share'!$F$24</f>
        <v>0</v>
      </c>
      <c r="W34" s="88">
        <f>V$8*'Mkt share'!$F$24</f>
        <v>0</v>
      </c>
      <c r="Z34" s="87" t="s">
        <v>173</v>
      </c>
      <c r="AA34" s="103"/>
      <c r="AB34" s="103"/>
      <c r="AC34" s="103"/>
      <c r="AD34" s="80">
        <f>AD$7*'Mkt share'!$F$25</f>
        <v>0</v>
      </c>
      <c r="AE34" s="88">
        <f>AD$8*'Mkt share'!$F$25</f>
        <v>0</v>
      </c>
      <c r="AH34" s="87" t="s">
        <v>173</v>
      </c>
      <c r="AI34" s="103"/>
      <c r="AJ34" s="103"/>
      <c r="AK34" s="103"/>
      <c r="AL34" s="80">
        <f>AL$7*'Mkt share'!$F$26</f>
        <v>700.84444662500005</v>
      </c>
      <c r="AM34" s="88">
        <f>AL$8*'Mkt share'!$F$26</f>
        <v>700.84444662500005</v>
      </c>
      <c r="AP34" s="87" t="s">
        <v>173</v>
      </c>
      <c r="AQ34" s="103"/>
      <c r="AR34" s="103"/>
      <c r="AS34" s="103"/>
      <c r="AT34" s="80">
        <f>AT$7*'Mkt share'!$F$27</f>
        <v>0</v>
      </c>
      <c r="AU34" s="88">
        <f>AT$8*'Mkt share'!$F$27</f>
        <v>0</v>
      </c>
      <c r="AX34" s="87" t="s">
        <v>173</v>
      </c>
      <c r="AY34" s="103"/>
      <c r="AZ34" s="103"/>
      <c r="BA34" s="103"/>
      <c r="BB34" s="80">
        <f>BB$7*'Mkt share'!$F$28</f>
        <v>0</v>
      </c>
      <c r="BC34" s="88">
        <f>BB$8*'Mkt share'!$F$28</f>
        <v>0</v>
      </c>
      <c r="BF34" s="87" t="s">
        <v>173</v>
      </c>
      <c r="BG34" s="103"/>
      <c r="BH34" s="103"/>
      <c r="BI34" s="103"/>
      <c r="BJ34" s="80">
        <f>BJ$7*'Mkt share'!$F$29</f>
        <v>0</v>
      </c>
      <c r="BK34" s="88">
        <f>BJ$8*'Mkt share'!$F$29</f>
        <v>0</v>
      </c>
      <c r="BN34" s="87" t="s">
        <v>173</v>
      </c>
      <c r="BO34" s="103"/>
      <c r="BP34" s="103"/>
      <c r="BQ34" s="103"/>
      <c r="BR34" s="80">
        <f>BR$7*'Mkt share'!$F$30</f>
        <v>0</v>
      </c>
      <c r="BS34" s="88">
        <f>BR$8*'Mkt share'!$F$30</f>
        <v>0</v>
      </c>
      <c r="BV34" s="87" t="s">
        <v>173</v>
      </c>
      <c r="BW34" s="103"/>
      <c r="BX34" s="103"/>
      <c r="BY34" s="103"/>
      <c r="BZ34" s="80">
        <f>BZ$7*'Mkt share'!$F$31</f>
        <v>0</v>
      </c>
      <c r="CA34" s="88">
        <f>BZ$8*'Mkt share'!$F$31</f>
        <v>0</v>
      </c>
      <c r="CD34" s="87" t="s">
        <v>173</v>
      </c>
      <c r="CE34" s="103"/>
      <c r="CF34" s="103"/>
      <c r="CG34" s="103"/>
      <c r="CH34" s="80">
        <f>CH$7*'Mkt share'!$F$32</f>
        <v>0</v>
      </c>
      <c r="CI34" s="88">
        <f>CH$8*'Mkt share'!$F$32</f>
        <v>0</v>
      </c>
      <c r="CL34" s="87" t="s">
        <v>173</v>
      </c>
      <c r="CM34" s="103"/>
      <c r="CN34" s="103"/>
      <c r="CO34" s="103"/>
      <c r="CP34" s="80">
        <f>CP$7*'Mkt share'!$F$33</f>
        <v>0</v>
      </c>
      <c r="CQ34" s="88">
        <f>CP$8*'Mkt share'!$F$33</f>
        <v>0</v>
      </c>
      <c r="CT34" s="87" t="s">
        <v>173</v>
      </c>
      <c r="CU34" s="103"/>
      <c r="CV34" s="103"/>
      <c r="CW34" s="103"/>
      <c r="CX34" s="80">
        <f>CX$7*'Mkt share'!$F$34</f>
        <v>0</v>
      </c>
      <c r="CY34" s="88">
        <f>CX$8*'Mkt share'!$F$34</f>
        <v>0</v>
      </c>
      <c r="DB34" s="87" t="s">
        <v>173</v>
      </c>
      <c r="DC34" s="103"/>
      <c r="DD34" s="103"/>
      <c r="DE34" s="103"/>
      <c r="DF34" s="80">
        <f>DF$7*'Mkt share'!$F$35</f>
        <v>0</v>
      </c>
      <c r="DG34" s="88">
        <f>DF$8*'Mkt share'!$F$35</f>
        <v>0</v>
      </c>
    </row>
    <row r="35" spans="2:111">
      <c r="B35" s="87" t="s">
        <v>178</v>
      </c>
      <c r="C35" s="103"/>
      <c r="D35" s="103"/>
      <c r="E35" s="103"/>
      <c r="F35" s="105">
        <v>0</v>
      </c>
      <c r="G35" s="88">
        <f>F$10*'Mkt share'!$F$22</f>
        <v>0</v>
      </c>
      <c r="J35" s="87" t="s">
        <v>178</v>
      </c>
      <c r="K35" s="103"/>
      <c r="L35" s="103"/>
      <c r="M35" s="103"/>
      <c r="N35" s="105">
        <v>0</v>
      </c>
      <c r="O35" s="88">
        <f>N$10*'Mkt share'!$F$23</f>
        <v>0</v>
      </c>
      <c r="R35" s="87" t="s">
        <v>178</v>
      </c>
      <c r="S35" s="103"/>
      <c r="T35" s="103"/>
      <c r="U35" s="103"/>
      <c r="V35" s="105">
        <v>0</v>
      </c>
      <c r="W35" s="88">
        <f>V$10*'Mkt share'!$F$24</f>
        <v>0</v>
      </c>
      <c r="Z35" s="87" t="s">
        <v>178</v>
      </c>
      <c r="AA35" s="103"/>
      <c r="AB35" s="103"/>
      <c r="AC35" s="103"/>
      <c r="AD35" s="105">
        <v>0</v>
      </c>
      <c r="AE35" s="88">
        <f>AD$10*'Mkt share'!$F$25</f>
        <v>0</v>
      </c>
      <c r="AH35" s="87" t="s">
        <v>178</v>
      </c>
      <c r="AI35" s="103"/>
      <c r="AJ35" s="103"/>
      <c r="AK35" s="103"/>
      <c r="AL35" s="105">
        <v>0</v>
      </c>
      <c r="AM35" s="88">
        <f>AL$10*'Mkt share'!$F$26</f>
        <v>0</v>
      </c>
      <c r="AP35" s="87" t="s">
        <v>178</v>
      </c>
      <c r="AQ35" s="103"/>
      <c r="AR35" s="103"/>
      <c r="AS35" s="103"/>
      <c r="AT35" s="105">
        <v>0</v>
      </c>
      <c r="AU35" s="88">
        <f>AT$10*'Mkt share'!$F$27</f>
        <v>0</v>
      </c>
      <c r="AX35" s="87" t="s">
        <v>178</v>
      </c>
      <c r="AY35" s="103"/>
      <c r="AZ35" s="103"/>
      <c r="BA35" s="103"/>
      <c r="BB35" s="105">
        <v>0</v>
      </c>
      <c r="BC35" s="88">
        <f>BB$10*'Mkt share'!$F$28</f>
        <v>0</v>
      </c>
      <c r="BF35" s="87" t="s">
        <v>178</v>
      </c>
      <c r="BG35" s="103"/>
      <c r="BH35" s="103"/>
      <c r="BI35" s="103"/>
      <c r="BJ35" s="105">
        <v>0</v>
      </c>
      <c r="BK35" s="88">
        <f>BJ$10*'Mkt share'!$F$29</f>
        <v>0</v>
      </c>
      <c r="BN35" s="87" t="s">
        <v>178</v>
      </c>
      <c r="BO35" s="103"/>
      <c r="BP35" s="103"/>
      <c r="BQ35" s="103"/>
      <c r="BR35" s="105">
        <v>0</v>
      </c>
      <c r="BS35" s="88">
        <f>BR$10*'Mkt share'!$F$30</f>
        <v>0</v>
      </c>
      <c r="BV35" s="87" t="s">
        <v>178</v>
      </c>
      <c r="BW35" s="103"/>
      <c r="BX35" s="103"/>
      <c r="BY35" s="103"/>
      <c r="BZ35" s="105">
        <v>0</v>
      </c>
      <c r="CA35" s="88">
        <f>BZ$10*'Mkt share'!$F$31</f>
        <v>0</v>
      </c>
      <c r="CD35" s="87" t="s">
        <v>178</v>
      </c>
      <c r="CE35" s="103"/>
      <c r="CF35" s="103"/>
      <c r="CG35" s="103"/>
      <c r="CH35" s="105">
        <v>0</v>
      </c>
      <c r="CI35" s="88">
        <f>CH$10*'Mkt share'!$F$32</f>
        <v>0</v>
      </c>
      <c r="CL35" s="87" t="s">
        <v>178</v>
      </c>
      <c r="CM35" s="103"/>
      <c r="CN35" s="103"/>
      <c r="CO35" s="103"/>
      <c r="CP35" s="105">
        <v>0</v>
      </c>
      <c r="CQ35" s="88">
        <f>CP$10*'Mkt share'!$F$33</f>
        <v>0</v>
      </c>
      <c r="CT35" s="87" t="s">
        <v>178</v>
      </c>
      <c r="CU35" s="103"/>
      <c r="CV35" s="103"/>
      <c r="CW35" s="103"/>
      <c r="CX35" s="105">
        <v>0</v>
      </c>
      <c r="CY35" s="88">
        <f>CX$10*'Mkt share'!$F$34</f>
        <v>0</v>
      </c>
      <c r="DB35" s="87" t="s">
        <v>178</v>
      </c>
      <c r="DC35" s="103"/>
      <c r="DD35" s="103"/>
      <c r="DE35" s="103"/>
      <c r="DF35" s="105">
        <v>0</v>
      </c>
      <c r="DG35" s="88">
        <f>DF$10*'Mkt share'!$F$35</f>
        <v>0</v>
      </c>
    </row>
    <row r="36" spans="2:111">
      <c r="B36" s="87" t="s">
        <v>174</v>
      </c>
      <c r="C36" s="103"/>
      <c r="D36" s="103"/>
      <c r="E36" s="103"/>
      <c r="F36" s="103"/>
      <c r="G36" s="88">
        <f>G$7*'Mkt share'!$G$22</f>
        <v>0</v>
      </c>
      <c r="J36" s="87" t="s">
        <v>174</v>
      </c>
      <c r="K36" s="103"/>
      <c r="L36" s="103"/>
      <c r="M36" s="103"/>
      <c r="N36" s="103"/>
      <c r="O36" s="88">
        <f>O$7*'Mkt share'!$G$23</f>
        <v>0</v>
      </c>
      <c r="R36" s="87" t="s">
        <v>174</v>
      </c>
      <c r="S36" s="103"/>
      <c r="T36" s="103"/>
      <c r="U36" s="103"/>
      <c r="V36" s="103"/>
      <c r="W36" s="88">
        <f>W$7*'Mkt share'!$G$24</f>
        <v>0</v>
      </c>
      <c r="Z36" s="87" t="s">
        <v>174</v>
      </c>
      <c r="AA36" s="103"/>
      <c r="AB36" s="103"/>
      <c r="AC36" s="103"/>
      <c r="AD36" s="103"/>
      <c r="AE36" s="88">
        <f>AE$7*'Mkt share'!$G$25</f>
        <v>0</v>
      </c>
      <c r="AH36" s="87" t="s">
        <v>174</v>
      </c>
      <c r="AI36" s="103"/>
      <c r="AJ36" s="103"/>
      <c r="AK36" s="103"/>
      <c r="AL36" s="103"/>
      <c r="AM36" s="88">
        <f>AM$7*'Mkt share'!$G$26</f>
        <v>706.19335325000009</v>
      </c>
      <c r="AP36" s="87" t="s">
        <v>174</v>
      </c>
      <c r="AQ36" s="103"/>
      <c r="AR36" s="103"/>
      <c r="AS36" s="103"/>
      <c r="AT36" s="103"/>
      <c r="AU36" s="88">
        <f>AU$7*'Mkt share'!$G$27</f>
        <v>0</v>
      </c>
      <c r="AX36" s="87" t="s">
        <v>174</v>
      </c>
      <c r="AY36" s="103"/>
      <c r="AZ36" s="103"/>
      <c r="BA36" s="103"/>
      <c r="BB36" s="103"/>
      <c r="BC36" s="88">
        <f>BC$7*'Mkt share'!$G$28</f>
        <v>0</v>
      </c>
      <c r="BF36" s="87" t="s">
        <v>174</v>
      </c>
      <c r="BG36" s="103"/>
      <c r="BH36" s="103"/>
      <c r="BI36" s="103"/>
      <c r="BJ36" s="103"/>
      <c r="BK36" s="88">
        <f>BK$7*'Mkt share'!$G$29</f>
        <v>0</v>
      </c>
      <c r="BN36" s="87" t="s">
        <v>174</v>
      </c>
      <c r="BO36" s="103"/>
      <c r="BP36" s="103"/>
      <c r="BQ36" s="103"/>
      <c r="BR36" s="103"/>
      <c r="BS36" s="88">
        <f>BS$7*'Mkt share'!$G$30</f>
        <v>0</v>
      </c>
      <c r="BV36" s="87" t="s">
        <v>174</v>
      </c>
      <c r="BW36" s="103"/>
      <c r="BX36" s="103"/>
      <c r="BY36" s="103"/>
      <c r="BZ36" s="103"/>
      <c r="CA36" s="88">
        <f>CA$7*'Mkt share'!$G$31</f>
        <v>0</v>
      </c>
      <c r="CD36" s="87" t="s">
        <v>174</v>
      </c>
      <c r="CE36" s="103"/>
      <c r="CF36" s="103"/>
      <c r="CG36" s="103"/>
      <c r="CH36" s="103"/>
      <c r="CI36" s="88">
        <f>CI$7*'Mkt share'!$G$32</f>
        <v>0</v>
      </c>
      <c r="CL36" s="87" t="s">
        <v>174</v>
      </c>
      <c r="CM36" s="103"/>
      <c r="CN36" s="103"/>
      <c r="CO36" s="103"/>
      <c r="CP36" s="103"/>
      <c r="CQ36" s="88">
        <f>CQ$7*'Mkt share'!$G$33</f>
        <v>0</v>
      </c>
      <c r="CT36" s="87" t="s">
        <v>174</v>
      </c>
      <c r="CU36" s="103"/>
      <c r="CV36" s="103"/>
      <c r="CW36" s="103"/>
      <c r="CX36" s="103"/>
      <c r="CY36" s="88">
        <f>CY$7*'Mkt share'!$G$34</f>
        <v>0</v>
      </c>
      <c r="DB36" s="87" t="s">
        <v>174</v>
      </c>
      <c r="DC36" s="103"/>
      <c r="DD36" s="103"/>
      <c r="DE36" s="103"/>
      <c r="DF36" s="103"/>
      <c r="DG36" s="88">
        <f>DG$7*'Mkt share'!$G$35</f>
        <v>0</v>
      </c>
    </row>
    <row r="37" spans="2:111" ht="15" thickBot="1">
      <c r="B37" s="87" t="s">
        <v>179</v>
      </c>
      <c r="C37" s="103"/>
      <c r="D37" s="103"/>
      <c r="E37" s="103"/>
      <c r="F37" s="103"/>
      <c r="G37" s="106">
        <v>0</v>
      </c>
      <c r="J37" s="87" t="s">
        <v>179</v>
      </c>
      <c r="K37" s="103"/>
      <c r="L37" s="103"/>
      <c r="M37" s="103"/>
      <c r="N37" s="103"/>
      <c r="O37" s="106">
        <v>0</v>
      </c>
      <c r="R37" s="87" t="s">
        <v>179</v>
      </c>
      <c r="S37" s="103"/>
      <c r="T37" s="103"/>
      <c r="U37" s="103"/>
      <c r="V37" s="103"/>
      <c r="W37" s="106">
        <v>0</v>
      </c>
      <c r="Z37" s="87" t="s">
        <v>179</v>
      </c>
      <c r="AA37" s="103"/>
      <c r="AB37" s="103"/>
      <c r="AC37" s="103"/>
      <c r="AD37" s="103"/>
      <c r="AE37" s="106">
        <v>0</v>
      </c>
      <c r="AH37" s="87" t="s">
        <v>179</v>
      </c>
      <c r="AI37" s="103"/>
      <c r="AJ37" s="103"/>
      <c r="AK37" s="103"/>
      <c r="AL37" s="103"/>
      <c r="AM37" s="106">
        <v>0</v>
      </c>
      <c r="AP37" s="87" t="s">
        <v>179</v>
      </c>
      <c r="AQ37" s="103"/>
      <c r="AR37" s="103"/>
      <c r="AS37" s="103"/>
      <c r="AT37" s="103"/>
      <c r="AU37" s="106">
        <v>0</v>
      </c>
      <c r="AX37" s="87" t="s">
        <v>179</v>
      </c>
      <c r="AY37" s="103"/>
      <c r="AZ37" s="103"/>
      <c r="BA37" s="103"/>
      <c r="BB37" s="103"/>
      <c r="BC37" s="106">
        <v>0</v>
      </c>
      <c r="BF37" s="87" t="s">
        <v>179</v>
      </c>
      <c r="BG37" s="103"/>
      <c r="BH37" s="103"/>
      <c r="BI37" s="103"/>
      <c r="BJ37" s="103"/>
      <c r="BK37" s="106">
        <v>0</v>
      </c>
      <c r="BN37" s="87" t="s">
        <v>179</v>
      </c>
      <c r="BO37" s="103"/>
      <c r="BP37" s="103"/>
      <c r="BQ37" s="103"/>
      <c r="BR37" s="103"/>
      <c r="BS37" s="106">
        <v>0</v>
      </c>
      <c r="BV37" s="87" t="s">
        <v>179</v>
      </c>
      <c r="BW37" s="103"/>
      <c r="BX37" s="103"/>
      <c r="BY37" s="103"/>
      <c r="BZ37" s="103"/>
      <c r="CA37" s="106">
        <v>0</v>
      </c>
      <c r="CD37" s="87" t="s">
        <v>179</v>
      </c>
      <c r="CE37" s="103"/>
      <c r="CF37" s="103"/>
      <c r="CG37" s="103"/>
      <c r="CH37" s="103"/>
      <c r="CI37" s="106">
        <v>0</v>
      </c>
      <c r="CL37" s="87" t="s">
        <v>179</v>
      </c>
      <c r="CM37" s="103"/>
      <c r="CN37" s="103"/>
      <c r="CO37" s="103"/>
      <c r="CP37" s="103"/>
      <c r="CQ37" s="106">
        <v>0</v>
      </c>
      <c r="CT37" s="87" t="s">
        <v>179</v>
      </c>
      <c r="CU37" s="103"/>
      <c r="CV37" s="103"/>
      <c r="CW37" s="103"/>
      <c r="CX37" s="103"/>
      <c r="CY37" s="106">
        <v>0</v>
      </c>
      <c r="DB37" s="87" t="s">
        <v>179</v>
      </c>
      <c r="DC37" s="103"/>
      <c r="DD37" s="103"/>
      <c r="DE37" s="103"/>
      <c r="DF37" s="103"/>
      <c r="DG37" s="106">
        <v>0</v>
      </c>
    </row>
    <row r="38" spans="2:111" ht="15" thickBot="1">
      <c r="B38" s="89" t="s">
        <v>114</v>
      </c>
      <c r="C38" s="90">
        <f>SUM(C28:C37)</f>
        <v>0</v>
      </c>
      <c r="D38" s="90">
        <f>SUM(D28:D36)</f>
        <v>0</v>
      </c>
      <c r="E38" s="90">
        <f>SUM(E28:E36)</f>
        <v>0</v>
      </c>
      <c r="F38" s="90">
        <f>SUM(F28:F36)</f>
        <v>0</v>
      </c>
      <c r="G38" s="91">
        <f>SUM(G28:G37)</f>
        <v>0</v>
      </c>
      <c r="J38" s="89" t="s">
        <v>114</v>
      </c>
      <c r="K38" s="90">
        <f>SUM(K28:K37)</f>
        <v>0</v>
      </c>
      <c r="L38" s="90">
        <f>SUM(L28:L36)</f>
        <v>0</v>
      </c>
      <c r="M38" s="90">
        <f>SUM(M28:M36)</f>
        <v>0</v>
      </c>
      <c r="N38" s="90">
        <f>SUM(N28:N36)</f>
        <v>0</v>
      </c>
      <c r="O38" s="91">
        <f>SUM(O28:O37)</f>
        <v>0</v>
      </c>
      <c r="R38" s="89" t="s">
        <v>114</v>
      </c>
      <c r="S38" s="90">
        <f>SUM(S28:S37)</f>
        <v>0</v>
      </c>
      <c r="T38" s="90">
        <f>SUM(T28:T36)</f>
        <v>0</v>
      </c>
      <c r="U38" s="90">
        <f>SUM(U28:U36)</f>
        <v>0</v>
      </c>
      <c r="V38" s="90">
        <f>SUM(V28:V36)</f>
        <v>0</v>
      </c>
      <c r="W38" s="91">
        <f>SUM(W28:W37)</f>
        <v>0</v>
      </c>
      <c r="Z38" s="89" t="s">
        <v>114</v>
      </c>
      <c r="AA38" s="90">
        <f>SUM(AA28:AA37)</f>
        <v>0</v>
      </c>
      <c r="AB38" s="90">
        <f>SUM(AB28:AB36)</f>
        <v>0</v>
      </c>
      <c r="AC38" s="90">
        <f>SUM(AC28:AC36)</f>
        <v>0</v>
      </c>
      <c r="AD38" s="90">
        <f>SUM(AD28:AD36)</f>
        <v>0</v>
      </c>
      <c r="AE38" s="91">
        <f>SUM(AE28:AE37)</f>
        <v>0</v>
      </c>
      <c r="AH38" s="89" t="s">
        <v>114</v>
      </c>
      <c r="AI38" s="90">
        <f>SUM(AI28:AI37)</f>
        <v>684.99247650000007</v>
      </c>
      <c r="AJ38" s="90">
        <f>SUM(AJ28:AJ36)</f>
        <v>1375.3643171250001</v>
      </c>
      <c r="AK38" s="90">
        <f>SUM(AK28:AK36)</f>
        <v>2070.9609287500002</v>
      </c>
      <c r="AL38" s="90">
        <f>SUM(AL28:AL36)</f>
        <v>2771.805375375</v>
      </c>
      <c r="AM38" s="91">
        <f>SUM(AM28:AM37)</f>
        <v>3477.9987286250002</v>
      </c>
      <c r="AP38" s="89" t="s">
        <v>114</v>
      </c>
      <c r="AQ38" s="90">
        <f>SUM(AQ28:AQ37)</f>
        <v>0</v>
      </c>
      <c r="AR38" s="90">
        <f>SUM(AR28:AR36)</f>
        <v>0</v>
      </c>
      <c r="AS38" s="90">
        <f>SUM(AS28:AS36)</f>
        <v>0</v>
      </c>
      <c r="AT38" s="90">
        <f>SUM(AT28:AT36)</f>
        <v>0</v>
      </c>
      <c r="AU38" s="91">
        <f>SUM(AU28:AU37)</f>
        <v>0</v>
      </c>
      <c r="AX38" s="89" t="s">
        <v>114</v>
      </c>
      <c r="AY38" s="90">
        <f>SUM(AY28:AY37)</f>
        <v>0</v>
      </c>
      <c r="AZ38" s="90">
        <f>SUM(AZ28:AZ36)</f>
        <v>0</v>
      </c>
      <c r="BA38" s="90">
        <f>SUM(BA28:BA36)</f>
        <v>0</v>
      </c>
      <c r="BB38" s="90">
        <f>SUM(BB28:BB36)</f>
        <v>0</v>
      </c>
      <c r="BC38" s="91">
        <f>SUM(BC28:BC37)</f>
        <v>0</v>
      </c>
      <c r="BF38" s="89" t="s">
        <v>114</v>
      </c>
      <c r="BG38" s="90">
        <f>SUM(BG28:BG37)</f>
        <v>0</v>
      </c>
      <c r="BH38" s="90">
        <f>SUM(BH28:BH36)</f>
        <v>0</v>
      </c>
      <c r="BI38" s="90">
        <f>SUM(BI28:BI36)</f>
        <v>0</v>
      </c>
      <c r="BJ38" s="90">
        <f>SUM(BJ28:BJ36)</f>
        <v>0</v>
      </c>
      <c r="BK38" s="91">
        <f>SUM(BK28:BK37)</f>
        <v>0</v>
      </c>
      <c r="BN38" s="89" t="s">
        <v>114</v>
      </c>
      <c r="BO38" s="90">
        <f>SUM(BO28:BO37)</f>
        <v>0</v>
      </c>
      <c r="BP38" s="90">
        <f>SUM(BP28:BP36)</f>
        <v>0</v>
      </c>
      <c r="BQ38" s="90">
        <f>SUM(BQ28:BQ36)</f>
        <v>0</v>
      </c>
      <c r="BR38" s="90">
        <f>SUM(BR28:BR36)</f>
        <v>0</v>
      </c>
      <c r="BS38" s="91">
        <f>SUM(BS28:BS37)</f>
        <v>0</v>
      </c>
      <c r="BV38" s="89" t="s">
        <v>114</v>
      </c>
      <c r="BW38" s="90">
        <f>SUM(BW28:BW37)</f>
        <v>0</v>
      </c>
      <c r="BX38" s="90">
        <f>SUM(BX28:BX36)</f>
        <v>0</v>
      </c>
      <c r="BY38" s="90">
        <f>SUM(BY28:BY36)</f>
        <v>0</v>
      </c>
      <c r="BZ38" s="90">
        <f>SUM(BZ28:BZ36)</f>
        <v>0</v>
      </c>
      <c r="CA38" s="91">
        <f>SUM(CA28:CA37)</f>
        <v>0</v>
      </c>
      <c r="CD38" s="89" t="s">
        <v>114</v>
      </c>
      <c r="CE38" s="90">
        <f>SUM(CE28:CE37)</f>
        <v>0</v>
      </c>
      <c r="CF38" s="90">
        <f>SUM(CF28:CF36)</f>
        <v>0</v>
      </c>
      <c r="CG38" s="90">
        <f>SUM(CG28:CG36)</f>
        <v>0</v>
      </c>
      <c r="CH38" s="90">
        <f>SUM(CH28:CH36)</f>
        <v>0</v>
      </c>
      <c r="CI38" s="91">
        <f>SUM(CI28:CI37)</f>
        <v>0</v>
      </c>
      <c r="CL38" s="89" t="s">
        <v>114</v>
      </c>
      <c r="CM38" s="90">
        <f>SUM(CM28:CM37)</f>
        <v>0</v>
      </c>
      <c r="CN38" s="90">
        <f>SUM(CN28:CN36)</f>
        <v>0</v>
      </c>
      <c r="CO38" s="90">
        <f>SUM(CO28:CO36)</f>
        <v>0</v>
      </c>
      <c r="CP38" s="90">
        <f>SUM(CP28:CP36)</f>
        <v>0</v>
      </c>
      <c r="CQ38" s="91">
        <f>SUM(CQ28:CQ37)</f>
        <v>0</v>
      </c>
      <c r="CT38" s="89" t="s">
        <v>114</v>
      </c>
      <c r="CU38" s="90">
        <f>SUM(CU28:CU37)</f>
        <v>0</v>
      </c>
      <c r="CV38" s="90">
        <f>SUM(CV28:CV36)</f>
        <v>0</v>
      </c>
      <c r="CW38" s="90">
        <f>SUM(CW28:CW36)</f>
        <v>0</v>
      </c>
      <c r="CX38" s="90">
        <f>SUM(CX28:CX36)</f>
        <v>0</v>
      </c>
      <c r="CY38" s="91">
        <f>SUM(CY28:CY37)</f>
        <v>0</v>
      </c>
      <c r="DB38" s="89" t="s">
        <v>114</v>
      </c>
      <c r="DC38" s="90">
        <f>SUM(DC28:DC37)</f>
        <v>0</v>
      </c>
      <c r="DD38" s="90">
        <f>SUM(DD28:DD36)</f>
        <v>0</v>
      </c>
      <c r="DE38" s="90">
        <f>SUM(DE28:DE36)</f>
        <v>0</v>
      </c>
      <c r="DF38" s="90">
        <f>SUM(DF28:DF36)</f>
        <v>0</v>
      </c>
      <c r="DG38" s="91">
        <f>SUM(DG28:DG37)</f>
        <v>0</v>
      </c>
    </row>
    <row r="39" spans="2:111">
      <c r="B39" s="80" t="s">
        <v>206</v>
      </c>
      <c r="C39" s="92">
        <f>C28+C30+C32+C34+C36</f>
        <v>0</v>
      </c>
      <c r="D39" s="92">
        <f t="shared" ref="D39:G39" si="40">D28+D30+D32+D34+D36</f>
        <v>0</v>
      </c>
      <c r="E39" s="92">
        <f t="shared" si="40"/>
        <v>0</v>
      </c>
      <c r="F39" s="92">
        <f t="shared" si="40"/>
        <v>0</v>
      </c>
      <c r="G39" s="92">
        <f t="shared" si="40"/>
        <v>0</v>
      </c>
      <c r="J39" s="80" t="s">
        <v>206</v>
      </c>
      <c r="K39" s="92">
        <f>K28+K30+K32+K34+K36</f>
        <v>0</v>
      </c>
      <c r="L39" s="92">
        <f t="shared" ref="L39:O39" si="41">L28+L30+L32+L34+L36</f>
        <v>0</v>
      </c>
      <c r="M39" s="92">
        <f t="shared" si="41"/>
        <v>0</v>
      </c>
      <c r="N39" s="92">
        <f t="shared" si="41"/>
        <v>0</v>
      </c>
      <c r="O39" s="92">
        <f t="shared" si="41"/>
        <v>0</v>
      </c>
      <c r="R39" s="80" t="s">
        <v>206</v>
      </c>
      <c r="S39" s="92">
        <f>S28+S30+S32+S34+S36</f>
        <v>0</v>
      </c>
      <c r="T39" s="92">
        <f t="shared" ref="T39:W39" si="42">T28+T30+T32+T34+T36</f>
        <v>0</v>
      </c>
      <c r="U39" s="92">
        <f t="shared" si="42"/>
        <v>0</v>
      </c>
      <c r="V39" s="92">
        <f t="shared" si="42"/>
        <v>0</v>
      </c>
      <c r="W39" s="92">
        <f t="shared" si="42"/>
        <v>0</v>
      </c>
      <c r="Z39" s="80" t="s">
        <v>206</v>
      </c>
      <c r="AA39" s="92">
        <f>AA28+AA30+AA32+AA34+AA36</f>
        <v>0</v>
      </c>
      <c r="AB39" s="92">
        <f t="shared" ref="AB39:AE39" si="43">AB28+AB30+AB32+AB34+AB36</f>
        <v>0</v>
      </c>
      <c r="AC39" s="92">
        <f t="shared" si="43"/>
        <v>0</v>
      </c>
      <c r="AD39" s="92">
        <f t="shared" si="43"/>
        <v>0</v>
      </c>
      <c r="AE39" s="92">
        <f t="shared" si="43"/>
        <v>0</v>
      </c>
      <c r="AH39" s="80" t="s">
        <v>206</v>
      </c>
      <c r="AI39" s="92">
        <f>AI28+AI30+AI32+AI34+AI36</f>
        <v>684.99247650000007</v>
      </c>
      <c r="AJ39" s="92">
        <f t="shared" ref="AJ39:AM39" si="44">AJ28+AJ30+AJ32+AJ34+AJ36</f>
        <v>1375.3643171250001</v>
      </c>
      <c r="AK39" s="92">
        <f t="shared" si="44"/>
        <v>2070.9609287500002</v>
      </c>
      <c r="AL39" s="92">
        <f t="shared" si="44"/>
        <v>2771.805375375</v>
      </c>
      <c r="AM39" s="92">
        <f t="shared" si="44"/>
        <v>3477.9987286250002</v>
      </c>
      <c r="AP39" s="80" t="s">
        <v>206</v>
      </c>
      <c r="AQ39" s="92">
        <f>AQ28+AQ30+AQ32+AQ34+AQ36</f>
        <v>0</v>
      </c>
      <c r="AR39" s="92">
        <f t="shared" ref="AR39:AU39" si="45">AR28+AR30+AR32+AR34+AR36</f>
        <v>0</v>
      </c>
      <c r="AS39" s="92">
        <f t="shared" si="45"/>
        <v>0</v>
      </c>
      <c r="AT39" s="92">
        <f t="shared" si="45"/>
        <v>0</v>
      </c>
      <c r="AU39" s="92">
        <f t="shared" si="45"/>
        <v>0</v>
      </c>
      <c r="AX39" s="80" t="s">
        <v>206</v>
      </c>
      <c r="AY39" s="92">
        <f>AY28+AY30+AY32+AY34+AY36</f>
        <v>0</v>
      </c>
      <c r="AZ39" s="92">
        <f t="shared" ref="AZ39:BC39" si="46">AZ28+AZ30+AZ32+AZ34+AZ36</f>
        <v>0</v>
      </c>
      <c r="BA39" s="92">
        <f t="shared" si="46"/>
        <v>0</v>
      </c>
      <c r="BB39" s="92">
        <f t="shared" si="46"/>
        <v>0</v>
      </c>
      <c r="BC39" s="92">
        <f t="shared" si="46"/>
        <v>0</v>
      </c>
      <c r="BF39" s="80" t="s">
        <v>206</v>
      </c>
      <c r="BG39" s="92">
        <f>BG28+BG30+BG32+BG34+BG36</f>
        <v>0</v>
      </c>
      <c r="BH39" s="92">
        <f t="shared" ref="BH39:BK39" si="47">BH28+BH30+BH32+BH34+BH36</f>
        <v>0</v>
      </c>
      <c r="BI39" s="92">
        <f t="shared" si="47"/>
        <v>0</v>
      </c>
      <c r="BJ39" s="92">
        <f t="shared" si="47"/>
        <v>0</v>
      </c>
      <c r="BK39" s="92">
        <f t="shared" si="47"/>
        <v>0</v>
      </c>
      <c r="BN39" s="80" t="s">
        <v>206</v>
      </c>
      <c r="BO39" s="92">
        <f>BO28+BO30+BO32+BO34+BO36</f>
        <v>0</v>
      </c>
      <c r="BP39" s="92">
        <f t="shared" ref="BP39:BS39" si="48">BP28+BP30+BP32+BP34+BP36</f>
        <v>0</v>
      </c>
      <c r="BQ39" s="92">
        <f t="shared" si="48"/>
        <v>0</v>
      </c>
      <c r="BR39" s="92">
        <f t="shared" si="48"/>
        <v>0</v>
      </c>
      <c r="BS39" s="92">
        <f t="shared" si="48"/>
        <v>0</v>
      </c>
      <c r="BV39" s="80" t="s">
        <v>206</v>
      </c>
      <c r="BW39" s="92">
        <f>BW28+BW30+BW32+BW34+BW36</f>
        <v>0</v>
      </c>
      <c r="BX39" s="92">
        <f t="shared" ref="BX39:CA39" si="49">BX28+BX30+BX32+BX34+BX36</f>
        <v>0</v>
      </c>
      <c r="BY39" s="92">
        <f t="shared" si="49"/>
        <v>0</v>
      </c>
      <c r="BZ39" s="92">
        <f t="shared" si="49"/>
        <v>0</v>
      </c>
      <c r="CA39" s="92">
        <f t="shared" si="49"/>
        <v>0</v>
      </c>
      <c r="CD39" s="80" t="s">
        <v>206</v>
      </c>
      <c r="CE39" s="92">
        <f>CE28+CE30+CE32+CE34+CE36</f>
        <v>0</v>
      </c>
      <c r="CF39" s="92">
        <f t="shared" ref="CF39:CI39" si="50">CF28+CF30+CF32+CF34+CF36</f>
        <v>0</v>
      </c>
      <c r="CG39" s="92">
        <f t="shared" si="50"/>
        <v>0</v>
      </c>
      <c r="CH39" s="92">
        <f t="shared" si="50"/>
        <v>0</v>
      </c>
      <c r="CI39" s="92">
        <f t="shared" si="50"/>
        <v>0</v>
      </c>
      <c r="CL39" s="80" t="s">
        <v>206</v>
      </c>
      <c r="CM39" s="92">
        <f>CM28+CM30+CM32+CM34+CM36</f>
        <v>0</v>
      </c>
      <c r="CN39" s="92">
        <f t="shared" ref="CN39:CQ39" si="51">CN28+CN30+CN32+CN34+CN36</f>
        <v>0</v>
      </c>
      <c r="CO39" s="92">
        <f t="shared" si="51"/>
        <v>0</v>
      </c>
      <c r="CP39" s="92">
        <f t="shared" si="51"/>
        <v>0</v>
      </c>
      <c r="CQ39" s="92">
        <f t="shared" si="51"/>
        <v>0</v>
      </c>
      <c r="CT39" s="80" t="s">
        <v>206</v>
      </c>
      <c r="CU39" s="92">
        <f>CU28+CU30+CU32+CU34+CU36</f>
        <v>0</v>
      </c>
      <c r="CV39" s="92">
        <f t="shared" ref="CV39:CY39" si="52">CV28+CV30+CV32+CV34+CV36</f>
        <v>0</v>
      </c>
      <c r="CW39" s="92">
        <f t="shared" si="52"/>
        <v>0</v>
      </c>
      <c r="CX39" s="92">
        <f t="shared" si="52"/>
        <v>0</v>
      </c>
      <c r="CY39" s="92">
        <f t="shared" si="52"/>
        <v>0</v>
      </c>
      <c r="DB39" s="80" t="s">
        <v>206</v>
      </c>
      <c r="DC39" s="92">
        <f>DC28+DC30+DC32+DC34+DC36</f>
        <v>0</v>
      </c>
      <c r="DD39" s="92">
        <f t="shared" ref="DD39:DG39" si="53">DD28+DD30+DD32+DD34+DD36</f>
        <v>0</v>
      </c>
      <c r="DE39" s="92">
        <f t="shared" si="53"/>
        <v>0</v>
      </c>
      <c r="DF39" s="92">
        <f t="shared" si="53"/>
        <v>0</v>
      </c>
      <c r="DG39" s="92">
        <f t="shared" si="53"/>
        <v>0</v>
      </c>
    </row>
    <row r="40" spans="2:111" ht="15" thickBot="1">
      <c r="B40" s="80" t="s">
        <v>208</v>
      </c>
      <c r="C40" s="92">
        <f>C29+C31+C33+C35+C37</f>
        <v>0</v>
      </c>
      <c r="D40" s="92">
        <f t="shared" ref="D40:G40" si="54">D29+D31+D33+D35+D37</f>
        <v>0</v>
      </c>
      <c r="E40" s="92">
        <f t="shared" si="54"/>
        <v>0</v>
      </c>
      <c r="F40" s="92">
        <f t="shared" si="54"/>
        <v>0</v>
      </c>
      <c r="G40" s="92">
        <f t="shared" si="54"/>
        <v>0</v>
      </c>
      <c r="J40" s="80" t="s">
        <v>208</v>
      </c>
      <c r="K40" s="92">
        <f>K29+K31+K33+K35+K37</f>
        <v>0</v>
      </c>
      <c r="L40" s="92">
        <f t="shared" ref="L40:O40" si="55">L29+L31+L33+L35+L37</f>
        <v>0</v>
      </c>
      <c r="M40" s="92">
        <f t="shared" si="55"/>
        <v>0</v>
      </c>
      <c r="N40" s="92">
        <f t="shared" si="55"/>
        <v>0</v>
      </c>
      <c r="O40" s="92">
        <f t="shared" si="55"/>
        <v>0</v>
      </c>
      <c r="R40" s="80" t="s">
        <v>208</v>
      </c>
      <c r="S40" s="92">
        <f>S29+S31+S33+S35+S37</f>
        <v>0</v>
      </c>
      <c r="T40" s="92">
        <f t="shared" ref="T40:W40" si="56">T29+T31+T33+T35+T37</f>
        <v>0</v>
      </c>
      <c r="U40" s="92">
        <f t="shared" si="56"/>
        <v>0</v>
      </c>
      <c r="V40" s="92">
        <f t="shared" si="56"/>
        <v>0</v>
      </c>
      <c r="W40" s="92">
        <f t="shared" si="56"/>
        <v>0</v>
      </c>
      <c r="Z40" s="80" t="s">
        <v>208</v>
      </c>
      <c r="AA40" s="92">
        <f>AA29+AA31+AA33+AA35+AA37</f>
        <v>0</v>
      </c>
      <c r="AB40" s="92">
        <f t="shared" ref="AB40:AE40" si="57">AB29+AB31+AB33+AB35+AB37</f>
        <v>0</v>
      </c>
      <c r="AC40" s="92">
        <f t="shared" si="57"/>
        <v>0</v>
      </c>
      <c r="AD40" s="92">
        <f t="shared" si="57"/>
        <v>0</v>
      </c>
      <c r="AE40" s="92">
        <f t="shared" si="57"/>
        <v>0</v>
      </c>
      <c r="AH40" s="80" t="s">
        <v>208</v>
      </c>
      <c r="AI40" s="92">
        <f>AI29+AI31+AI33+AI35+AI37</f>
        <v>0</v>
      </c>
      <c r="AJ40" s="92">
        <f t="shared" ref="AJ40:AM40" si="58">AJ29+AJ31+AJ33+AJ35+AJ37</f>
        <v>0</v>
      </c>
      <c r="AK40" s="92">
        <f t="shared" si="58"/>
        <v>0</v>
      </c>
      <c r="AL40" s="92">
        <f t="shared" si="58"/>
        <v>0</v>
      </c>
      <c r="AM40" s="92">
        <f t="shared" si="58"/>
        <v>0</v>
      </c>
      <c r="AP40" s="80" t="s">
        <v>208</v>
      </c>
      <c r="AQ40" s="92">
        <f>AQ29+AQ31+AQ33+AQ35+AQ37</f>
        <v>0</v>
      </c>
      <c r="AR40" s="92">
        <f t="shared" ref="AR40:AU40" si="59">AR29+AR31+AR33+AR35+AR37</f>
        <v>0</v>
      </c>
      <c r="AS40" s="92">
        <f t="shared" si="59"/>
        <v>0</v>
      </c>
      <c r="AT40" s="92">
        <f t="shared" si="59"/>
        <v>0</v>
      </c>
      <c r="AU40" s="92">
        <f t="shared" si="59"/>
        <v>0</v>
      </c>
      <c r="AX40" s="80" t="s">
        <v>208</v>
      </c>
      <c r="AY40" s="92">
        <f>AY29+AY31+AY33+AY35+AY37</f>
        <v>0</v>
      </c>
      <c r="AZ40" s="92">
        <f t="shared" ref="AZ40:BC40" si="60">AZ29+AZ31+AZ33+AZ35+AZ37</f>
        <v>0</v>
      </c>
      <c r="BA40" s="92">
        <f t="shared" si="60"/>
        <v>0</v>
      </c>
      <c r="BB40" s="92">
        <f t="shared" si="60"/>
        <v>0</v>
      </c>
      <c r="BC40" s="92">
        <f t="shared" si="60"/>
        <v>0</v>
      </c>
      <c r="BF40" s="80" t="s">
        <v>208</v>
      </c>
      <c r="BG40" s="92">
        <f>BG29+BG31+BG33+BG35+BG37</f>
        <v>0</v>
      </c>
      <c r="BH40" s="92">
        <f t="shared" ref="BH40:BK40" si="61">BH29+BH31+BH33+BH35+BH37</f>
        <v>0</v>
      </c>
      <c r="BI40" s="92">
        <f t="shared" si="61"/>
        <v>0</v>
      </c>
      <c r="BJ40" s="92">
        <f t="shared" si="61"/>
        <v>0</v>
      </c>
      <c r="BK40" s="92">
        <f t="shared" si="61"/>
        <v>0</v>
      </c>
      <c r="BN40" s="80" t="s">
        <v>208</v>
      </c>
      <c r="BO40" s="92">
        <f>BO29+BO31+BO33+BO35+BO37</f>
        <v>0</v>
      </c>
      <c r="BP40" s="92">
        <f t="shared" ref="BP40:BS40" si="62">BP29+BP31+BP33+BP35+BP37</f>
        <v>0</v>
      </c>
      <c r="BQ40" s="92">
        <f t="shared" si="62"/>
        <v>0</v>
      </c>
      <c r="BR40" s="92">
        <f t="shared" si="62"/>
        <v>0</v>
      </c>
      <c r="BS40" s="92">
        <f t="shared" si="62"/>
        <v>0</v>
      </c>
      <c r="BV40" s="80" t="s">
        <v>208</v>
      </c>
      <c r="BW40" s="92">
        <f>BW29+BW31+BW33+BW35+BW37</f>
        <v>0</v>
      </c>
      <c r="BX40" s="92">
        <f t="shared" ref="BX40:CA40" si="63">BX29+BX31+BX33+BX35+BX37</f>
        <v>0</v>
      </c>
      <c r="BY40" s="92">
        <f t="shared" si="63"/>
        <v>0</v>
      </c>
      <c r="BZ40" s="92">
        <f t="shared" si="63"/>
        <v>0</v>
      </c>
      <c r="CA40" s="92">
        <f t="shared" si="63"/>
        <v>0</v>
      </c>
      <c r="CD40" s="80" t="s">
        <v>208</v>
      </c>
      <c r="CE40" s="92">
        <f>CE29+CE31+CE33+CE35+CE37</f>
        <v>0</v>
      </c>
      <c r="CF40" s="92">
        <f t="shared" ref="CF40:CI40" si="64">CF29+CF31+CF33+CF35+CF37</f>
        <v>0</v>
      </c>
      <c r="CG40" s="92">
        <f t="shared" si="64"/>
        <v>0</v>
      </c>
      <c r="CH40" s="92">
        <f t="shared" si="64"/>
        <v>0</v>
      </c>
      <c r="CI40" s="92">
        <f t="shared" si="64"/>
        <v>0</v>
      </c>
      <c r="CL40" s="80" t="s">
        <v>208</v>
      </c>
      <c r="CM40" s="92">
        <f>CM29+CM31+CM33+CM35+CM37</f>
        <v>0</v>
      </c>
      <c r="CN40" s="92">
        <f t="shared" ref="CN40:CQ40" si="65">CN29+CN31+CN33+CN35+CN37</f>
        <v>0</v>
      </c>
      <c r="CO40" s="92">
        <f t="shared" si="65"/>
        <v>0</v>
      </c>
      <c r="CP40" s="92">
        <f t="shared" si="65"/>
        <v>0</v>
      </c>
      <c r="CQ40" s="92">
        <f t="shared" si="65"/>
        <v>0</v>
      </c>
      <c r="CT40" s="80" t="s">
        <v>208</v>
      </c>
      <c r="CU40" s="92">
        <f>CU29+CU31+CU33+CU35+CU37</f>
        <v>0</v>
      </c>
      <c r="CV40" s="92">
        <f t="shared" ref="CV40:CY40" si="66">CV29+CV31+CV33+CV35+CV37</f>
        <v>0</v>
      </c>
      <c r="CW40" s="92">
        <f t="shared" si="66"/>
        <v>0</v>
      </c>
      <c r="CX40" s="92">
        <f t="shared" si="66"/>
        <v>0</v>
      </c>
      <c r="CY40" s="92">
        <f t="shared" si="66"/>
        <v>0</v>
      </c>
      <c r="DB40" s="80" t="s">
        <v>208</v>
      </c>
      <c r="DC40" s="92">
        <f>DC29+DC31+DC33+DC35+DC37</f>
        <v>0</v>
      </c>
      <c r="DD40" s="92">
        <f t="shared" ref="DD40:DG40" si="67">DD29+DD31+DD33+DD35+DD37</f>
        <v>0</v>
      </c>
      <c r="DE40" s="92">
        <f t="shared" si="67"/>
        <v>0</v>
      </c>
      <c r="DF40" s="92">
        <f t="shared" si="67"/>
        <v>0</v>
      </c>
      <c r="DG40" s="92">
        <f t="shared" si="67"/>
        <v>0</v>
      </c>
    </row>
    <row r="41" spans="2:111" ht="15" thickBot="1">
      <c r="B41" s="508" t="str">
        <f>cen_prop1</f>
        <v>Drug 1 only</v>
      </c>
      <c r="C41" s="509"/>
      <c r="D41" s="509"/>
      <c r="E41" s="509"/>
      <c r="F41" s="509"/>
      <c r="G41" s="510"/>
      <c r="J41" s="508" t="str">
        <f>cen_prop1</f>
        <v>Drug 1 only</v>
      </c>
      <c r="K41" s="509"/>
      <c r="L41" s="509"/>
      <c r="M41" s="509"/>
      <c r="N41" s="509"/>
      <c r="O41" s="510"/>
      <c r="R41" s="508" t="str">
        <f>cen_prop1</f>
        <v>Drug 1 only</v>
      </c>
      <c r="S41" s="509"/>
      <c r="T41" s="509"/>
      <c r="U41" s="509"/>
      <c r="V41" s="509"/>
      <c r="W41" s="510"/>
      <c r="Z41" s="508" t="str">
        <f>cen_prop1</f>
        <v>Drug 1 only</v>
      </c>
      <c r="AA41" s="509"/>
      <c r="AB41" s="509"/>
      <c r="AC41" s="509"/>
      <c r="AD41" s="509"/>
      <c r="AE41" s="510"/>
      <c r="AH41" s="508" t="str">
        <f>cen_prop1</f>
        <v>Drug 1 only</v>
      </c>
      <c r="AI41" s="509"/>
      <c r="AJ41" s="509"/>
      <c r="AK41" s="509"/>
      <c r="AL41" s="509"/>
      <c r="AM41" s="510"/>
      <c r="AP41" s="508" t="str">
        <f>cen_prop1</f>
        <v>Drug 1 only</v>
      </c>
      <c r="AQ41" s="509"/>
      <c r="AR41" s="509"/>
      <c r="AS41" s="509"/>
      <c r="AT41" s="509"/>
      <c r="AU41" s="510"/>
      <c r="AX41" s="508" t="str">
        <f>cen_prop1</f>
        <v>Drug 1 only</v>
      </c>
      <c r="AY41" s="509"/>
      <c r="AZ41" s="509"/>
      <c r="BA41" s="509"/>
      <c r="BB41" s="509"/>
      <c r="BC41" s="510"/>
      <c r="BF41" s="508" t="str">
        <f>cen_prop1</f>
        <v>Drug 1 only</v>
      </c>
      <c r="BG41" s="509"/>
      <c r="BH41" s="509"/>
      <c r="BI41" s="509"/>
      <c r="BJ41" s="509"/>
      <c r="BK41" s="510"/>
      <c r="BN41" s="508" t="str">
        <f>cen_prop1</f>
        <v>Drug 1 only</v>
      </c>
      <c r="BO41" s="509"/>
      <c r="BP41" s="509"/>
      <c r="BQ41" s="509"/>
      <c r="BR41" s="509"/>
      <c r="BS41" s="510"/>
      <c r="BV41" s="508" t="str">
        <f>cen_prop1</f>
        <v>Drug 1 only</v>
      </c>
      <c r="BW41" s="509"/>
      <c r="BX41" s="509"/>
      <c r="BY41" s="509"/>
      <c r="BZ41" s="509"/>
      <c r="CA41" s="510"/>
      <c r="CD41" s="508" t="str">
        <f>cen_prop1</f>
        <v>Drug 1 only</v>
      </c>
      <c r="CE41" s="509"/>
      <c r="CF41" s="509"/>
      <c r="CG41" s="509"/>
      <c r="CH41" s="509"/>
      <c r="CI41" s="510"/>
      <c r="CL41" s="508" t="str">
        <f>cen_prop1</f>
        <v>Drug 1 only</v>
      </c>
      <c r="CM41" s="509"/>
      <c r="CN41" s="509"/>
      <c r="CO41" s="509"/>
      <c r="CP41" s="509"/>
      <c r="CQ41" s="510"/>
      <c r="CT41" s="508" t="str">
        <f>cen_prop1</f>
        <v>Drug 1 only</v>
      </c>
      <c r="CU41" s="509"/>
      <c r="CV41" s="509"/>
      <c r="CW41" s="509"/>
      <c r="CX41" s="509"/>
      <c r="CY41" s="510"/>
      <c r="DB41" s="508" t="str">
        <f>cen_prop1</f>
        <v>Drug 1 only</v>
      </c>
      <c r="DC41" s="509"/>
      <c r="DD41" s="509"/>
      <c r="DE41" s="509"/>
      <c r="DF41" s="509"/>
      <c r="DG41" s="510"/>
    </row>
    <row r="42" spans="2:111">
      <c r="B42" s="84"/>
      <c r="C42" s="101">
        <f>ano_1</f>
        <v>2026</v>
      </c>
      <c r="D42" s="101">
        <f>C42+1</f>
        <v>2027</v>
      </c>
      <c r="E42" s="101">
        <f t="shared" ref="E42:G42" si="68">D42+1</f>
        <v>2028</v>
      </c>
      <c r="F42" s="101">
        <f t="shared" si="68"/>
        <v>2029</v>
      </c>
      <c r="G42" s="102">
        <f t="shared" si="68"/>
        <v>2030</v>
      </c>
      <c r="J42" s="84"/>
      <c r="K42" s="101">
        <f>ano_1</f>
        <v>2026</v>
      </c>
      <c r="L42" s="101">
        <f>K42+1</f>
        <v>2027</v>
      </c>
      <c r="M42" s="101">
        <f t="shared" ref="M42" si="69">L42+1</f>
        <v>2028</v>
      </c>
      <c r="N42" s="101">
        <f t="shared" ref="N42" si="70">M42+1</f>
        <v>2029</v>
      </c>
      <c r="O42" s="102">
        <f t="shared" ref="O42" si="71">N42+1</f>
        <v>2030</v>
      </c>
      <c r="R42" s="84"/>
      <c r="S42" s="101">
        <f>ano_1</f>
        <v>2026</v>
      </c>
      <c r="T42" s="101">
        <f>S42+1</f>
        <v>2027</v>
      </c>
      <c r="U42" s="101">
        <f t="shared" ref="U42" si="72">T42+1</f>
        <v>2028</v>
      </c>
      <c r="V42" s="101">
        <f t="shared" ref="V42" si="73">U42+1</f>
        <v>2029</v>
      </c>
      <c r="W42" s="102">
        <f t="shared" ref="W42" si="74">V42+1</f>
        <v>2030</v>
      </c>
      <c r="Z42" s="84"/>
      <c r="AA42" s="101">
        <f>ano_1</f>
        <v>2026</v>
      </c>
      <c r="AB42" s="101">
        <f>AA42+1</f>
        <v>2027</v>
      </c>
      <c r="AC42" s="101">
        <f t="shared" ref="AC42" si="75">AB42+1</f>
        <v>2028</v>
      </c>
      <c r="AD42" s="101">
        <f t="shared" ref="AD42" si="76">AC42+1</f>
        <v>2029</v>
      </c>
      <c r="AE42" s="102">
        <f t="shared" ref="AE42" si="77">AD42+1</f>
        <v>2030</v>
      </c>
      <c r="AH42" s="84"/>
      <c r="AI42" s="101">
        <f>ano_1</f>
        <v>2026</v>
      </c>
      <c r="AJ42" s="101">
        <f>AI42+1</f>
        <v>2027</v>
      </c>
      <c r="AK42" s="101">
        <f t="shared" ref="AK42" si="78">AJ42+1</f>
        <v>2028</v>
      </c>
      <c r="AL42" s="101">
        <f t="shared" ref="AL42" si="79">AK42+1</f>
        <v>2029</v>
      </c>
      <c r="AM42" s="102">
        <f t="shared" ref="AM42" si="80">AL42+1</f>
        <v>2030</v>
      </c>
      <c r="AP42" s="84"/>
      <c r="AQ42" s="101">
        <f>ano_1</f>
        <v>2026</v>
      </c>
      <c r="AR42" s="101">
        <f>AQ42+1</f>
        <v>2027</v>
      </c>
      <c r="AS42" s="101">
        <f t="shared" ref="AS42" si="81">AR42+1</f>
        <v>2028</v>
      </c>
      <c r="AT42" s="101">
        <f t="shared" ref="AT42" si="82">AS42+1</f>
        <v>2029</v>
      </c>
      <c r="AU42" s="102">
        <f t="shared" ref="AU42" si="83">AT42+1</f>
        <v>2030</v>
      </c>
      <c r="AX42" s="84"/>
      <c r="AY42" s="101">
        <f>ano_1</f>
        <v>2026</v>
      </c>
      <c r="AZ42" s="101">
        <f>AY42+1</f>
        <v>2027</v>
      </c>
      <c r="BA42" s="101">
        <f t="shared" ref="BA42" si="84">AZ42+1</f>
        <v>2028</v>
      </c>
      <c r="BB42" s="101">
        <f t="shared" ref="BB42" si="85">BA42+1</f>
        <v>2029</v>
      </c>
      <c r="BC42" s="102">
        <f t="shared" ref="BC42" si="86">BB42+1</f>
        <v>2030</v>
      </c>
      <c r="BF42" s="84"/>
      <c r="BG42" s="101">
        <f>ano_1</f>
        <v>2026</v>
      </c>
      <c r="BH42" s="101">
        <f>BG42+1</f>
        <v>2027</v>
      </c>
      <c r="BI42" s="101">
        <f t="shared" ref="BI42" si="87">BH42+1</f>
        <v>2028</v>
      </c>
      <c r="BJ42" s="101">
        <f t="shared" ref="BJ42" si="88">BI42+1</f>
        <v>2029</v>
      </c>
      <c r="BK42" s="102">
        <f t="shared" ref="BK42" si="89">BJ42+1</f>
        <v>2030</v>
      </c>
      <c r="BN42" s="84"/>
      <c r="BO42" s="101">
        <f>ano_1</f>
        <v>2026</v>
      </c>
      <c r="BP42" s="101">
        <f>BO42+1</f>
        <v>2027</v>
      </c>
      <c r="BQ42" s="101">
        <f t="shared" ref="BQ42" si="90">BP42+1</f>
        <v>2028</v>
      </c>
      <c r="BR42" s="101">
        <f t="shared" ref="BR42" si="91">BQ42+1</f>
        <v>2029</v>
      </c>
      <c r="BS42" s="102">
        <f t="shared" ref="BS42" si="92">BR42+1</f>
        <v>2030</v>
      </c>
      <c r="BV42" s="84"/>
      <c r="BW42" s="101">
        <f>ano_1</f>
        <v>2026</v>
      </c>
      <c r="BX42" s="101">
        <f>BW42+1</f>
        <v>2027</v>
      </c>
      <c r="BY42" s="101">
        <f t="shared" ref="BY42" si="93">BX42+1</f>
        <v>2028</v>
      </c>
      <c r="BZ42" s="101">
        <f t="shared" ref="BZ42" si="94">BY42+1</f>
        <v>2029</v>
      </c>
      <c r="CA42" s="102">
        <f t="shared" ref="CA42" si="95">BZ42+1</f>
        <v>2030</v>
      </c>
      <c r="CD42" s="84"/>
      <c r="CE42" s="101">
        <f>ano_1</f>
        <v>2026</v>
      </c>
      <c r="CF42" s="101">
        <f>CE42+1</f>
        <v>2027</v>
      </c>
      <c r="CG42" s="101">
        <f t="shared" ref="CG42" si="96">CF42+1</f>
        <v>2028</v>
      </c>
      <c r="CH42" s="101">
        <f t="shared" ref="CH42" si="97">CG42+1</f>
        <v>2029</v>
      </c>
      <c r="CI42" s="102">
        <f t="shared" ref="CI42" si="98">CH42+1</f>
        <v>2030</v>
      </c>
      <c r="CL42" s="84"/>
      <c r="CM42" s="101">
        <f>ano_1</f>
        <v>2026</v>
      </c>
      <c r="CN42" s="101">
        <f>CM42+1</f>
        <v>2027</v>
      </c>
      <c r="CO42" s="101">
        <f t="shared" ref="CO42" si="99">CN42+1</f>
        <v>2028</v>
      </c>
      <c r="CP42" s="101">
        <f t="shared" ref="CP42" si="100">CO42+1</f>
        <v>2029</v>
      </c>
      <c r="CQ42" s="102">
        <f t="shared" ref="CQ42" si="101">CP42+1</f>
        <v>2030</v>
      </c>
      <c r="CT42" s="84"/>
      <c r="CU42" s="101">
        <f>ano_1</f>
        <v>2026</v>
      </c>
      <c r="CV42" s="101">
        <f>CU42+1</f>
        <v>2027</v>
      </c>
      <c r="CW42" s="101">
        <f t="shared" ref="CW42" si="102">CV42+1</f>
        <v>2028</v>
      </c>
      <c r="CX42" s="101">
        <f t="shared" ref="CX42" si="103">CW42+1</f>
        <v>2029</v>
      </c>
      <c r="CY42" s="102">
        <f t="shared" ref="CY42" si="104">CX42+1</f>
        <v>2030</v>
      </c>
      <c r="DB42" s="84"/>
      <c r="DC42" s="101">
        <f>ano_1</f>
        <v>2026</v>
      </c>
      <c r="DD42" s="101">
        <f>DC42+1</f>
        <v>2027</v>
      </c>
      <c r="DE42" s="101">
        <f t="shared" ref="DE42" si="105">DD42+1</f>
        <v>2028</v>
      </c>
      <c r="DF42" s="101">
        <f t="shared" ref="DF42" si="106">DE42+1</f>
        <v>2029</v>
      </c>
      <c r="DG42" s="102">
        <f t="shared" ref="DG42" si="107">DF42+1</f>
        <v>2030</v>
      </c>
    </row>
    <row r="43" spans="2:111">
      <c r="B43" s="87" t="s">
        <v>170</v>
      </c>
      <c r="C43" s="80">
        <f>C$7*'Mkt share'!$C$42</f>
        <v>34.249623825000008</v>
      </c>
      <c r="D43" s="80">
        <f>C$8*'Mkt share'!$C$42</f>
        <v>32.537142633750001</v>
      </c>
      <c r="E43" s="80">
        <f>C$11*'Mkt share'!$C$42</f>
        <v>30.824661442500002</v>
      </c>
      <c r="F43" s="80">
        <f>C$14*'Mkt share'!$C$42</f>
        <v>29.112180251250006</v>
      </c>
      <c r="G43" s="88">
        <f>C$17*'Mkt share'!$C$42</f>
        <v>27.399699060000007</v>
      </c>
      <c r="J43" s="87" t="s">
        <v>170</v>
      </c>
      <c r="K43" s="80">
        <f>K$7*'Mkt share'!$C$43</f>
        <v>0</v>
      </c>
      <c r="L43" s="80">
        <f>K$8*'Mkt share'!$C$43</f>
        <v>0</v>
      </c>
      <c r="M43" s="80">
        <f>K$11*'Mkt share'!$C$43</f>
        <v>0</v>
      </c>
      <c r="N43" s="80">
        <f>K$14*'Mkt share'!$C$43</f>
        <v>0</v>
      </c>
      <c r="O43" s="88">
        <f>K$17*'Mkt share'!$C$43</f>
        <v>0</v>
      </c>
      <c r="R43" s="87" t="s">
        <v>170</v>
      </c>
      <c r="S43" s="80">
        <f>S$7*'Mkt share'!$C$44</f>
        <v>0</v>
      </c>
      <c r="T43" s="80">
        <f>S$8*'Mkt share'!$C$44</f>
        <v>0</v>
      </c>
      <c r="U43" s="80">
        <f>S$11*'Mkt share'!$C$44</f>
        <v>0</v>
      </c>
      <c r="V43" s="80">
        <f>S$14*'Mkt share'!$C$44</f>
        <v>0</v>
      </c>
      <c r="W43" s="88">
        <f>S$17*'Mkt share'!$C$44</f>
        <v>0</v>
      </c>
      <c r="Z43" s="87" t="s">
        <v>170</v>
      </c>
      <c r="AA43" s="80">
        <f>AA$7*'Mkt share'!$C$45</f>
        <v>0</v>
      </c>
      <c r="AB43" s="80">
        <f>AA$8*'Mkt share'!$C$45</f>
        <v>0</v>
      </c>
      <c r="AC43" s="80">
        <f>AA$11*'Mkt share'!$C$45</f>
        <v>0</v>
      </c>
      <c r="AD43" s="80">
        <f>AA$14*'Mkt share'!$C$45</f>
        <v>0</v>
      </c>
      <c r="AE43" s="88">
        <f>AA$17*'Mkt share'!$C$45</f>
        <v>0</v>
      </c>
      <c r="AH43" s="87" t="s">
        <v>170</v>
      </c>
      <c r="AI43" s="80">
        <f>AI$7*'Mkt share'!$C$46</f>
        <v>650.74285267499999</v>
      </c>
      <c r="AJ43" s="80">
        <f>AI$8*'Mkt share'!$C$46</f>
        <v>650.74285267499999</v>
      </c>
      <c r="AK43" s="80">
        <f>AI$11*'Mkt share'!$C$46</f>
        <v>650.74285267499999</v>
      </c>
      <c r="AL43" s="80">
        <f>AI$14*'Mkt share'!$C$46</f>
        <v>650.74285267499999</v>
      </c>
      <c r="AM43" s="88">
        <f>AI$17*'Mkt share'!$C$46</f>
        <v>650.74285267499999</v>
      </c>
      <c r="AP43" s="87" t="s">
        <v>170</v>
      </c>
      <c r="AQ43" s="80">
        <f>AQ$7*'Mkt share'!$C$47</f>
        <v>0</v>
      </c>
      <c r="AR43" s="80">
        <f>AQ$8*'Mkt share'!$C$47</f>
        <v>0</v>
      </c>
      <c r="AS43" s="80">
        <f>AQ$11*'Mkt share'!$C$47</f>
        <v>0</v>
      </c>
      <c r="AT43" s="80">
        <f>AQ$14*'Mkt share'!$C$47</f>
        <v>0</v>
      </c>
      <c r="AU43" s="88">
        <f>AQ$17*'Mkt share'!$C$47</f>
        <v>0</v>
      </c>
      <c r="AX43" s="87" t="s">
        <v>170</v>
      </c>
      <c r="AY43" s="80">
        <f>AY$7*'Mkt share'!$C$48</f>
        <v>0</v>
      </c>
      <c r="AZ43" s="80">
        <f>AY$8*'Mkt share'!$C$48</f>
        <v>0</v>
      </c>
      <c r="BA43" s="80">
        <f>AY$11*'Mkt share'!$C$48</f>
        <v>0</v>
      </c>
      <c r="BB43" s="80">
        <f>AY$14*'Mkt share'!$C$48</f>
        <v>0</v>
      </c>
      <c r="BC43" s="88">
        <f>AY$17*'Mkt share'!$C$48</f>
        <v>0</v>
      </c>
      <c r="BF43" s="87" t="s">
        <v>170</v>
      </c>
      <c r="BG43" s="80">
        <f>BG$7*'Mkt share'!$C$49</f>
        <v>0</v>
      </c>
      <c r="BH43" s="80">
        <f>BG$8*'Mkt share'!$C$49</f>
        <v>0</v>
      </c>
      <c r="BI43" s="80">
        <f>BG$11*'Mkt share'!$C$49</f>
        <v>0</v>
      </c>
      <c r="BJ43" s="80">
        <f>BG$14*'Mkt share'!$C$49</f>
        <v>0</v>
      </c>
      <c r="BK43" s="88">
        <f>BG$17*'Mkt share'!$C$49</f>
        <v>0</v>
      </c>
      <c r="BN43" s="87" t="s">
        <v>170</v>
      </c>
      <c r="BO43" s="80">
        <f>BO$7*'Mkt share'!$C$50</f>
        <v>0</v>
      </c>
      <c r="BP43" s="80">
        <f>BO$8*'Mkt share'!$C$50</f>
        <v>0</v>
      </c>
      <c r="BQ43" s="80">
        <f>BO$11*'Mkt share'!$C$50</f>
        <v>0</v>
      </c>
      <c r="BR43" s="80">
        <f>BO$14*'Mkt share'!$C$50</f>
        <v>0</v>
      </c>
      <c r="BS43" s="88">
        <f>BO$17*'Mkt share'!$C$50</f>
        <v>0</v>
      </c>
      <c r="BV43" s="87" t="s">
        <v>170</v>
      </c>
      <c r="BW43" s="80">
        <f>BW$7*'Mkt share'!$C$51</f>
        <v>0</v>
      </c>
      <c r="BX43" s="80">
        <f>BW$8*'Mkt share'!$C$51</f>
        <v>0</v>
      </c>
      <c r="BY43" s="80">
        <f>BW$11*'Mkt share'!$C$51</f>
        <v>0</v>
      </c>
      <c r="BZ43" s="80">
        <f>BW$14*'Mkt share'!$C$51</f>
        <v>0</v>
      </c>
      <c r="CA43" s="88">
        <f>BW$17*'Mkt share'!$C$51</f>
        <v>0</v>
      </c>
      <c r="CD43" s="87" t="s">
        <v>170</v>
      </c>
      <c r="CE43" s="80">
        <f>CE$7*'Mkt share'!$C$52</f>
        <v>0</v>
      </c>
      <c r="CF43" s="80">
        <f>CE$8*'Mkt share'!$C$52</f>
        <v>0</v>
      </c>
      <c r="CG43" s="80">
        <f>CE$11*'Mkt share'!$C$52</f>
        <v>0</v>
      </c>
      <c r="CH43" s="80">
        <f>CE$14*'Mkt share'!$C$52</f>
        <v>0</v>
      </c>
      <c r="CI43" s="88">
        <f>CE$17*'Mkt share'!$C$52</f>
        <v>0</v>
      </c>
      <c r="CL43" s="87" t="s">
        <v>170</v>
      </c>
      <c r="CM43" s="80">
        <f>CM$7*'Mkt share'!$C$53</f>
        <v>0</v>
      </c>
      <c r="CN43" s="80">
        <f>CM$8*'Mkt share'!$C$53</f>
        <v>0</v>
      </c>
      <c r="CO43" s="80">
        <f>CM$11*'Mkt share'!$C$53</f>
        <v>0</v>
      </c>
      <c r="CP43" s="80">
        <f>CM$14*'Mkt share'!$C$53</f>
        <v>0</v>
      </c>
      <c r="CQ43" s="88">
        <f>CM$17*'Mkt share'!$C$53</f>
        <v>0</v>
      </c>
      <c r="CT43" s="87" t="s">
        <v>170</v>
      </c>
      <c r="CU43" s="80">
        <f>CU$7*'Mkt share'!$C$54</f>
        <v>0</v>
      </c>
      <c r="CV43" s="80">
        <f>CU$8*'Mkt share'!$C$54</f>
        <v>0</v>
      </c>
      <c r="CW43" s="80">
        <f>CU$11*'Mkt share'!$C$54</f>
        <v>0</v>
      </c>
      <c r="CX43" s="80">
        <f>CU$14*'Mkt share'!$C$54</f>
        <v>0</v>
      </c>
      <c r="CY43" s="88">
        <f>CU$17*'Mkt share'!$C$54</f>
        <v>0</v>
      </c>
      <c r="DB43" s="87" t="s">
        <v>170</v>
      </c>
      <c r="DC43" s="80">
        <f>DC$7*'Mkt share'!$C$55</f>
        <v>0</v>
      </c>
      <c r="DD43" s="80">
        <f>DC$8*'Mkt share'!$C$55</f>
        <v>0</v>
      </c>
      <c r="DE43" s="80">
        <f>DC$11*'Mkt share'!$C$55</f>
        <v>0</v>
      </c>
      <c r="DF43" s="80">
        <f>DC$14*'Mkt share'!$C$55</f>
        <v>0</v>
      </c>
      <c r="DG43" s="88">
        <f>DC$17*'Mkt share'!$C$55</f>
        <v>0</v>
      </c>
    </row>
    <row r="44" spans="2:111">
      <c r="B44" s="87" t="s">
        <v>175</v>
      </c>
      <c r="C44" s="105">
        <v>0</v>
      </c>
      <c r="D44" s="80">
        <f>C$10*'Mkt share'!$C$42</f>
        <v>1.7124811912500038</v>
      </c>
      <c r="E44" s="80">
        <f>C$13*'Mkt share'!$C$42</f>
        <v>3.0824661442500014</v>
      </c>
      <c r="F44" s="80">
        <f>C$16*'Mkt share'!$C$42</f>
        <v>4.4524510972499991</v>
      </c>
      <c r="G44" s="88">
        <f>C$19*'Mkt share'!$C$42</f>
        <v>5.8224360502499968</v>
      </c>
      <c r="J44" s="87" t="s">
        <v>175</v>
      </c>
      <c r="K44" s="105">
        <v>0</v>
      </c>
      <c r="L44" s="80">
        <f>K$10*'Mkt share'!$C$43</f>
        <v>0</v>
      </c>
      <c r="M44" s="80">
        <f>K$13*'Mkt share'!$C$43</f>
        <v>0</v>
      </c>
      <c r="N44" s="80">
        <f>K$16*'Mkt share'!$C$43</f>
        <v>0</v>
      </c>
      <c r="O44" s="88">
        <f>K$19*'Mkt share'!$C$43</f>
        <v>0</v>
      </c>
      <c r="R44" s="87" t="s">
        <v>175</v>
      </c>
      <c r="S44" s="105">
        <v>0</v>
      </c>
      <c r="T44" s="80">
        <f>S$10*'Mkt share'!$C$44</f>
        <v>0</v>
      </c>
      <c r="U44" s="80">
        <f>S$13*'Mkt share'!$C$44</f>
        <v>0</v>
      </c>
      <c r="V44" s="80">
        <f>S$16*'Mkt share'!$C$44</f>
        <v>0</v>
      </c>
      <c r="W44" s="88">
        <f>S$19*'Mkt share'!$C$44</f>
        <v>0</v>
      </c>
      <c r="Z44" s="87" t="s">
        <v>175</v>
      </c>
      <c r="AA44" s="105">
        <v>0</v>
      </c>
      <c r="AB44" s="80">
        <f>AA$10*'Mkt share'!$C$45</f>
        <v>0</v>
      </c>
      <c r="AC44" s="80">
        <f>AA$13*'Mkt share'!$C$45</f>
        <v>0</v>
      </c>
      <c r="AD44" s="80">
        <f>AA$16*'Mkt share'!$C$45</f>
        <v>0</v>
      </c>
      <c r="AE44" s="88">
        <f>AA$19*'Mkt share'!$C$45</f>
        <v>0</v>
      </c>
      <c r="AH44" s="87" t="s">
        <v>175</v>
      </c>
      <c r="AI44" s="105">
        <v>0</v>
      </c>
      <c r="AJ44" s="80">
        <f>AI$10*'Mkt share'!$C$46</f>
        <v>0</v>
      </c>
      <c r="AK44" s="80">
        <f>AI$13*'Mkt share'!$C$46</f>
        <v>0</v>
      </c>
      <c r="AL44" s="80">
        <f>AI$16*'Mkt share'!$C$46</f>
        <v>0</v>
      </c>
      <c r="AM44" s="88">
        <f>AI$19*'Mkt share'!$C$46</f>
        <v>0</v>
      </c>
      <c r="AP44" s="87" t="s">
        <v>175</v>
      </c>
      <c r="AQ44" s="105">
        <v>0</v>
      </c>
      <c r="AR44" s="80">
        <f>AQ$10*'Mkt share'!$C$47</f>
        <v>0</v>
      </c>
      <c r="AS44" s="80">
        <f>AQ$13*'Mkt share'!$C$47</f>
        <v>0</v>
      </c>
      <c r="AT44" s="80">
        <f>AQ$16*'Mkt share'!$C$47</f>
        <v>0</v>
      </c>
      <c r="AU44" s="88">
        <f>AQ$19*'Mkt share'!$C$47</f>
        <v>0</v>
      </c>
      <c r="AX44" s="87" t="s">
        <v>175</v>
      </c>
      <c r="AY44" s="105">
        <v>0</v>
      </c>
      <c r="AZ44" s="80">
        <f>AY$10*'Mkt share'!$C$48</f>
        <v>0</v>
      </c>
      <c r="BA44" s="80">
        <f>AY$13*'Mkt share'!$C$48</f>
        <v>0</v>
      </c>
      <c r="BB44" s="80">
        <f>AY$16*'Mkt share'!$C$48</f>
        <v>0</v>
      </c>
      <c r="BC44" s="88">
        <f>AY$19*'Mkt share'!$C$48</f>
        <v>0</v>
      </c>
      <c r="BF44" s="87" t="s">
        <v>175</v>
      </c>
      <c r="BG44" s="105">
        <v>0</v>
      </c>
      <c r="BH44" s="80">
        <f>BG$10*'Mkt share'!$C$49</f>
        <v>0</v>
      </c>
      <c r="BI44" s="80">
        <f>BG$13*'Mkt share'!$C$49</f>
        <v>0</v>
      </c>
      <c r="BJ44" s="80">
        <f>BG$16*'Mkt share'!$C$49</f>
        <v>0</v>
      </c>
      <c r="BK44" s="88">
        <f>BG$19*'Mkt share'!$C$49</f>
        <v>0</v>
      </c>
      <c r="BN44" s="87" t="s">
        <v>175</v>
      </c>
      <c r="BO44" s="105">
        <v>0</v>
      </c>
      <c r="BP44" s="80">
        <f>BO$10*'Mkt share'!$C$50</f>
        <v>0</v>
      </c>
      <c r="BQ44" s="80">
        <f>BO$13*'Mkt share'!$C$50</f>
        <v>0</v>
      </c>
      <c r="BR44" s="80">
        <f>BO$16*'Mkt share'!$C$50</f>
        <v>0</v>
      </c>
      <c r="BS44" s="88">
        <f>BO$19*'Mkt share'!$C$50</f>
        <v>0</v>
      </c>
      <c r="BV44" s="87" t="s">
        <v>175</v>
      </c>
      <c r="BW44" s="105">
        <v>0</v>
      </c>
      <c r="BX44" s="80">
        <f>BW$10*'Mkt share'!$C$51</f>
        <v>0</v>
      </c>
      <c r="BY44" s="80">
        <f>BW$13*'Mkt share'!$C$51</f>
        <v>0</v>
      </c>
      <c r="BZ44" s="80">
        <f>BW$16*'Mkt share'!$C$51</f>
        <v>0</v>
      </c>
      <c r="CA44" s="88">
        <f>BW$19*'Mkt share'!$C$51</f>
        <v>0</v>
      </c>
      <c r="CD44" s="87" t="s">
        <v>175</v>
      </c>
      <c r="CE44" s="105">
        <v>0</v>
      </c>
      <c r="CF44" s="80">
        <f>CE$10*'Mkt share'!$C$52</f>
        <v>0</v>
      </c>
      <c r="CG44" s="80">
        <f>CE$13*'Mkt share'!$C$52</f>
        <v>0</v>
      </c>
      <c r="CH44" s="80">
        <f>CE$16*'Mkt share'!$C$52</f>
        <v>0</v>
      </c>
      <c r="CI44" s="88">
        <f>CE$19*'Mkt share'!$C$52</f>
        <v>0</v>
      </c>
      <c r="CL44" s="87" t="s">
        <v>175</v>
      </c>
      <c r="CM44" s="105">
        <v>0</v>
      </c>
      <c r="CN44" s="80">
        <f>CM$10*'Mkt share'!$C$53</f>
        <v>0</v>
      </c>
      <c r="CO44" s="80">
        <f>CM$13*'Mkt share'!$C$53</f>
        <v>0</v>
      </c>
      <c r="CP44" s="80">
        <f>CM$16*'Mkt share'!$C$53</f>
        <v>0</v>
      </c>
      <c r="CQ44" s="88">
        <f>CM$19*'Mkt share'!$C$53</f>
        <v>0</v>
      </c>
      <c r="CT44" s="87" t="s">
        <v>175</v>
      </c>
      <c r="CU44" s="105">
        <v>0</v>
      </c>
      <c r="CV44" s="80">
        <f>CU$10*'Mkt share'!$C$54</f>
        <v>0</v>
      </c>
      <c r="CW44" s="80">
        <f>CU$13*'Mkt share'!$C$54</f>
        <v>0</v>
      </c>
      <c r="CX44" s="80">
        <f>CU$16*'Mkt share'!$C$54</f>
        <v>0</v>
      </c>
      <c r="CY44" s="88">
        <f>CU$19*'Mkt share'!$C$54</f>
        <v>0</v>
      </c>
      <c r="DB44" s="87" t="s">
        <v>175</v>
      </c>
      <c r="DC44" s="105">
        <v>0</v>
      </c>
      <c r="DD44" s="80">
        <f>DC$10*'Mkt share'!$C$55</f>
        <v>0</v>
      </c>
      <c r="DE44" s="80">
        <f>DC$13*'Mkt share'!$C$55</f>
        <v>0</v>
      </c>
      <c r="DF44" s="80">
        <f>DC$16*'Mkt share'!$C$55</f>
        <v>0</v>
      </c>
      <c r="DG44" s="88">
        <f>DC$19*'Mkt share'!$C$55</f>
        <v>0</v>
      </c>
    </row>
    <row r="45" spans="2:111">
      <c r="B45" s="87" t="s">
        <v>171</v>
      </c>
      <c r="C45" s="103"/>
      <c r="D45" s="80">
        <f>D$7*'Mkt share'!$D$42</f>
        <v>69.037184062500003</v>
      </c>
      <c r="E45" s="80">
        <f>D$8*'Mkt share'!$D$42</f>
        <v>65.585324859375007</v>
      </c>
      <c r="F45" s="80">
        <f>D$11*'Mkt share'!$D$42</f>
        <v>62.13346565625001</v>
      </c>
      <c r="G45" s="88">
        <f>D$14*'Mkt share'!$D$42</f>
        <v>58.681606453124999</v>
      </c>
      <c r="J45" s="87" t="s">
        <v>171</v>
      </c>
      <c r="K45" s="103"/>
      <c r="L45" s="80">
        <f>L$7*'Mkt share'!$D$43</f>
        <v>0</v>
      </c>
      <c r="M45" s="80">
        <f>L$8*'Mkt share'!$D$43</f>
        <v>0</v>
      </c>
      <c r="N45" s="80">
        <f>L$11*'Mkt share'!$D$43</f>
        <v>0</v>
      </c>
      <c r="O45" s="88">
        <f>L$14*'Mkt share'!$D$43</f>
        <v>0</v>
      </c>
      <c r="R45" s="87" t="s">
        <v>171</v>
      </c>
      <c r="S45" s="103"/>
      <c r="T45" s="80">
        <f>T$7*'Mkt share'!$D$44</f>
        <v>0</v>
      </c>
      <c r="U45" s="80">
        <f>T$8*'Mkt share'!$D$44</f>
        <v>0</v>
      </c>
      <c r="V45" s="80">
        <f>T$11*'Mkt share'!$D$44</f>
        <v>0</v>
      </c>
      <c r="W45" s="88">
        <f>T$14*'Mkt share'!$D$44</f>
        <v>0</v>
      </c>
      <c r="Z45" s="87" t="s">
        <v>171</v>
      </c>
      <c r="AA45" s="103"/>
      <c r="AB45" s="80">
        <f>AB$7*'Mkt share'!$D$45</f>
        <v>0</v>
      </c>
      <c r="AC45" s="80">
        <f>AB$8*'Mkt share'!$D$45</f>
        <v>0</v>
      </c>
      <c r="AD45" s="80">
        <f>AB$11*'Mkt share'!$D$45</f>
        <v>0</v>
      </c>
      <c r="AE45" s="88">
        <f>AB$14*'Mkt share'!$D$45</f>
        <v>0</v>
      </c>
      <c r="AH45" s="87" t="s">
        <v>171</v>
      </c>
      <c r="AI45" s="103"/>
      <c r="AJ45" s="80">
        <f>AJ$7*'Mkt share'!$D$46</f>
        <v>621.33465656250007</v>
      </c>
      <c r="AK45" s="80">
        <f>AJ$8*'Mkt share'!$D$46</f>
        <v>621.33465656250007</v>
      </c>
      <c r="AL45" s="80">
        <f>AJ$11*'Mkt share'!$D$46</f>
        <v>621.33465656250007</v>
      </c>
      <c r="AM45" s="88">
        <f>AJ$14*'Mkt share'!$D$46</f>
        <v>621.33465656250007</v>
      </c>
      <c r="AP45" s="87" t="s">
        <v>171</v>
      </c>
      <c r="AQ45" s="103"/>
      <c r="AR45" s="80">
        <f>AR$7*'Mkt share'!$D$47</f>
        <v>0</v>
      </c>
      <c r="AS45" s="80">
        <f>AR$8*'Mkt share'!$D$47</f>
        <v>0</v>
      </c>
      <c r="AT45" s="80">
        <f>AR$11*'Mkt share'!$D$47</f>
        <v>0</v>
      </c>
      <c r="AU45" s="88">
        <f>AR$14*'Mkt share'!$D$47</f>
        <v>0</v>
      </c>
      <c r="AX45" s="87" t="s">
        <v>171</v>
      </c>
      <c r="AY45" s="103"/>
      <c r="AZ45" s="80">
        <f>AZ$7*'Mkt share'!$D$48</f>
        <v>0</v>
      </c>
      <c r="BA45" s="80">
        <f>AZ$8*'Mkt share'!$D$48</f>
        <v>0</v>
      </c>
      <c r="BB45" s="80">
        <f>AZ$11*'Mkt share'!$D$48</f>
        <v>0</v>
      </c>
      <c r="BC45" s="88">
        <f>AZ$14*'Mkt share'!$D$48</f>
        <v>0</v>
      </c>
      <c r="BF45" s="87" t="s">
        <v>171</v>
      </c>
      <c r="BG45" s="103"/>
      <c r="BH45" s="80">
        <f>BH$7*'Mkt share'!$D$49</f>
        <v>0</v>
      </c>
      <c r="BI45" s="80">
        <f>BH$8*'Mkt share'!$D$49</f>
        <v>0</v>
      </c>
      <c r="BJ45" s="80">
        <f>BH$11*'Mkt share'!$D$49</f>
        <v>0</v>
      </c>
      <c r="BK45" s="88">
        <f>BH$14*'Mkt share'!$D$49</f>
        <v>0</v>
      </c>
      <c r="BN45" s="87" t="s">
        <v>171</v>
      </c>
      <c r="BO45" s="103"/>
      <c r="BP45" s="80">
        <f>BP$7*'Mkt share'!$D$50</f>
        <v>0</v>
      </c>
      <c r="BQ45" s="80">
        <f>BP$8*'Mkt share'!$D$50</f>
        <v>0</v>
      </c>
      <c r="BR45" s="80">
        <f>BP$11*'Mkt share'!$D$50</f>
        <v>0</v>
      </c>
      <c r="BS45" s="88">
        <f>BP$14*'Mkt share'!$D$50</f>
        <v>0</v>
      </c>
      <c r="BV45" s="87" t="s">
        <v>171</v>
      </c>
      <c r="BW45" s="103"/>
      <c r="BX45" s="80">
        <f>BX$7*'Mkt share'!$D$51</f>
        <v>0</v>
      </c>
      <c r="BY45" s="80">
        <f>BX$8*'Mkt share'!$D$51</f>
        <v>0</v>
      </c>
      <c r="BZ45" s="80">
        <f>BX$11*'Mkt share'!$D$51</f>
        <v>0</v>
      </c>
      <c r="CA45" s="88">
        <f>BX$14*'Mkt share'!$D$51</f>
        <v>0</v>
      </c>
      <c r="CD45" s="87" t="s">
        <v>171</v>
      </c>
      <c r="CE45" s="103"/>
      <c r="CF45" s="80">
        <f>CF$7*'Mkt share'!$D$52</f>
        <v>0</v>
      </c>
      <c r="CG45" s="80">
        <f>CF$8*'Mkt share'!$D$52</f>
        <v>0</v>
      </c>
      <c r="CH45" s="80">
        <f>CF$11*'Mkt share'!$D$52</f>
        <v>0</v>
      </c>
      <c r="CI45" s="88">
        <f>CF$14*'Mkt share'!$D$52</f>
        <v>0</v>
      </c>
      <c r="CL45" s="87" t="s">
        <v>171</v>
      </c>
      <c r="CM45" s="103"/>
      <c r="CN45" s="80">
        <f>CN$7*'Mkt share'!$D$53</f>
        <v>0</v>
      </c>
      <c r="CO45" s="80">
        <f>CN$8*'Mkt share'!$D$53</f>
        <v>0</v>
      </c>
      <c r="CP45" s="80">
        <f>CN$11*'Mkt share'!$D$53</f>
        <v>0</v>
      </c>
      <c r="CQ45" s="88">
        <f>CN$14*'Mkt share'!$D$53</f>
        <v>0</v>
      </c>
      <c r="CT45" s="87" t="s">
        <v>171</v>
      </c>
      <c r="CU45" s="103"/>
      <c r="CV45" s="80">
        <f>CV$7*'Mkt share'!$D$54</f>
        <v>0</v>
      </c>
      <c r="CW45" s="80">
        <f>CV$8*'Mkt share'!$D$54</f>
        <v>0</v>
      </c>
      <c r="CX45" s="80">
        <f>CV$11*'Mkt share'!$D$54</f>
        <v>0</v>
      </c>
      <c r="CY45" s="88">
        <f>CV$14*'Mkt share'!$D$54</f>
        <v>0</v>
      </c>
      <c r="DB45" s="87" t="s">
        <v>171</v>
      </c>
      <c r="DC45" s="103"/>
      <c r="DD45" s="80">
        <f>DD$7*'Mkt share'!$D$55</f>
        <v>0</v>
      </c>
      <c r="DE45" s="80">
        <f>DD$8*'Mkt share'!$D$55</f>
        <v>0</v>
      </c>
      <c r="DF45" s="80">
        <f>DD$11*'Mkt share'!$D$55</f>
        <v>0</v>
      </c>
      <c r="DG45" s="88">
        <f>DD$14*'Mkt share'!$D$55</f>
        <v>0</v>
      </c>
    </row>
    <row r="46" spans="2:111">
      <c r="B46" s="87" t="s">
        <v>176</v>
      </c>
      <c r="C46" s="103"/>
      <c r="D46" s="105">
        <v>0</v>
      </c>
      <c r="E46" s="80">
        <f>D$10*'Mkt share'!$D$42</f>
        <v>3.4518592031250024</v>
      </c>
      <c r="F46" s="80">
        <f>D$13*'Mkt share'!$D$42</f>
        <v>6.2133465656249927</v>
      </c>
      <c r="G46" s="88">
        <f>D$16*'Mkt share'!$D$42</f>
        <v>8.9748339281250065</v>
      </c>
      <c r="J46" s="87" t="s">
        <v>176</v>
      </c>
      <c r="K46" s="103"/>
      <c r="L46" s="105">
        <v>0</v>
      </c>
      <c r="M46" s="80">
        <f>L$10*'Mkt share'!$D$43</f>
        <v>0</v>
      </c>
      <c r="N46" s="80">
        <f>L$13*'Mkt share'!$D$43</f>
        <v>0</v>
      </c>
      <c r="O46" s="88">
        <f>L$16*'Mkt share'!$D$43</f>
        <v>0</v>
      </c>
      <c r="R46" s="87" t="s">
        <v>176</v>
      </c>
      <c r="S46" s="103"/>
      <c r="T46" s="105">
        <v>0</v>
      </c>
      <c r="U46" s="80">
        <f>T$10*'Mkt share'!$D$44</f>
        <v>0</v>
      </c>
      <c r="V46" s="80">
        <f>T$13*'Mkt share'!$D$44</f>
        <v>0</v>
      </c>
      <c r="W46" s="88">
        <f>T$16*'Mkt share'!$D$44</f>
        <v>0</v>
      </c>
      <c r="Z46" s="87" t="s">
        <v>176</v>
      </c>
      <c r="AA46" s="103"/>
      <c r="AB46" s="105">
        <v>0</v>
      </c>
      <c r="AC46" s="80">
        <f>AB$10*'Mkt share'!$D$45</f>
        <v>0</v>
      </c>
      <c r="AD46" s="80">
        <f>AB$13*'Mkt share'!$D$45</f>
        <v>0</v>
      </c>
      <c r="AE46" s="88">
        <f>AB$16*'Mkt share'!$D$45</f>
        <v>0</v>
      </c>
      <c r="AH46" s="87" t="s">
        <v>176</v>
      </c>
      <c r="AI46" s="103"/>
      <c r="AJ46" s="105">
        <v>0</v>
      </c>
      <c r="AK46" s="80">
        <f>AJ$10*'Mkt share'!$D$46</f>
        <v>0</v>
      </c>
      <c r="AL46" s="80">
        <f>AJ$13*'Mkt share'!$D$46</f>
        <v>0</v>
      </c>
      <c r="AM46" s="88">
        <f>AJ$16*'Mkt share'!$D$46</f>
        <v>0</v>
      </c>
      <c r="AP46" s="87" t="s">
        <v>176</v>
      </c>
      <c r="AQ46" s="103"/>
      <c r="AR46" s="105">
        <v>0</v>
      </c>
      <c r="AS46" s="80">
        <f>AR$10*'Mkt share'!$D$47</f>
        <v>0</v>
      </c>
      <c r="AT46" s="80">
        <f>AR$13*'Mkt share'!$D$47</f>
        <v>0</v>
      </c>
      <c r="AU46" s="88">
        <f>AR$16*'Mkt share'!$D$47</f>
        <v>0</v>
      </c>
      <c r="AX46" s="87" t="s">
        <v>176</v>
      </c>
      <c r="AY46" s="103"/>
      <c r="AZ46" s="105">
        <v>0</v>
      </c>
      <c r="BA46" s="80">
        <f>AZ$10*'Mkt share'!$D$48</f>
        <v>0</v>
      </c>
      <c r="BB46" s="80">
        <f>AZ$13*'Mkt share'!$D$48</f>
        <v>0</v>
      </c>
      <c r="BC46" s="88">
        <f>AZ$16*'Mkt share'!$D$48</f>
        <v>0</v>
      </c>
      <c r="BF46" s="87" t="s">
        <v>176</v>
      </c>
      <c r="BG46" s="103"/>
      <c r="BH46" s="105">
        <v>0</v>
      </c>
      <c r="BI46" s="80">
        <f>BH$10*'Mkt share'!$D$49</f>
        <v>0</v>
      </c>
      <c r="BJ46" s="80">
        <f>BH$13*'Mkt share'!$D$49</f>
        <v>0</v>
      </c>
      <c r="BK46" s="88">
        <f>BH$16*'Mkt share'!$D$49</f>
        <v>0</v>
      </c>
      <c r="BN46" s="87" t="s">
        <v>176</v>
      </c>
      <c r="BO46" s="103"/>
      <c r="BP46" s="105">
        <v>0</v>
      </c>
      <c r="BQ46" s="80">
        <f>BP$10*'Mkt share'!$D$50</f>
        <v>0</v>
      </c>
      <c r="BR46" s="80">
        <f>BP$13*'Mkt share'!$D$50</f>
        <v>0</v>
      </c>
      <c r="BS46" s="88">
        <f>BP$16*'Mkt share'!$D$50</f>
        <v>0</v>
      </c>
      <c r="BV46" s="87" t="s">
        <v>176</v>
      </c>
      <c r="BW46" s="103"/>
      <c r="BX46" s="105">
        <v>0</v>
      </c>
      <c r="BY46" s="80">
        <f>BX$10*'Mkt share'!$D$51</f>
        <v>0</v>
      </c>
      <c r="BZ46" s="80">
        <f>BX$13*'Mkt share'!$D$51</f>
        <v>0</v>
      </c>
      <c r="CA46" s="88">
        <f>BX$16*'Mkt share'!$D$51</f>
        <v>0</v>
      </c>
      <c r="CD46" s="87" t="s">
        <v>176</v>
      </c>
      <c r="CE46" s="103"/>
      <c r="CF46" s="105">
        <v>0</v>
      </c>
      <c r="CG46" s="80">
        <f>CF$10*'Mkt share'!$D$52</f>
        <v>0</v>
      </c>
      <c r="CH46" s="80">
        <f>CF$13*'Mkt share'!$D$52</f>
        <v>0</v>
      </c>
      <c r="CI46" s="88">
        <f>CF$16*'Mkt share'!$D$52</f>
        <v>0</v>
      </c>
      <c r="CL46" s="87" t="s">
        <v>176</v>
      </c>
      <c r="CM46" s="103"/>
      <c r="CN46" s="105">
        <v>0</v>
      </c>
      <c r="CO46" s="80">
        <f>CN$10*'Mkt share'!$D$53</f>
        <v>0</v>
      </c>
      <c r="CP46" s="80">
        <f>CN$13*'Mkt share'!$D$53</f>
        <v>0</v>
      </c>
      <c r="CQ46" s="88">
        <f>CN$16*'Mkt share'!$D$53</f>
        <v>0</v>
      </c>
      <c r="CT46" s="87" t="s">
        <v>176</v>
      </c>
      <c r="CU46" s="103"/>
      <c r="CV46" s="105">
        <v>0</v>
      </c>
      <c r="CW46" s="80">
        <f>CV$10*'Mkt share'!$D$54</f>
        <v>0</v>
      </c>
      <c r="CX46" s="80">
        <f>CV$13*'Mkt share'!$D$54</f>
        <v>0</v>
      </c>
      <c r="CY46" s="88">
        <f>CV$16*'Mkt share'!$D$54</f>
        <v>0</v>
      </c>
      <c r="DB46" s="87" t="s">
        <v>176</v>
      </c>
      <c r="DC46" s="103"/>
      <c r="DD46" s="105">
        <v>0</v>
      </c>
      <c r="DE46" s="80">
        <f>DD$10*'Mkt share'!$D$55</f>
        <v>0</v>
      </c>
      <c r="DF46" s="80">
        <f>DD$13*'Mkt share'!$D$55</f>
        <v>0</v>
      </c>
      <c r="DG46" s="88">
        <f>DD$16*'Mkt share'!$D$55</f>
        <v>0</v>
      </c>
    </row>
    <row r="47" spans="2:111">
      <c r="B47" s="87" t="s">
        <v>172</v>
      </c>
      <c r="C47" s="103"/>
      <c r="D47" s="103"/>
      <c r="E47" s="80">
        <f>E$7*'Mkt share'!$E$42</f>
        <v>104.33949174375</v>
      </c>
      <c r="F47" s="80">
        <f>E$8*'Mkt share'!$E$42</f>
        <v>99.122517156562495</v>
      </c>
      <c r="G47" s="88">
        <f>E$11*'Mkt share'!$E$42</f>
        <v>93.905542569375001</v>
      </c>
      <c r="J47" s="87" t="s">
        <v>172</v>
      </c>
      <c r="K47" s="103"/>
      <c r="L47" s="103"/>
      <c r="M47" s="80">
        <f>M$7*'Mkt share'!$E$43</f>
        <v>0</v>
      </c>
      <c r="N47" s="80">
        <f>M$8*'Mkt share'!$E$43</f>
        <v>0</v>
      </c>
      <c r="O47" s="88">
        <f>M$11*'Mkt share'!$E$43</f>
        <v>0</v>
      </c>
      <c r="R47" s="87" t="s">
        <v>172</v>
      </c>
      <c r="S47" s="103"/>
      <c r="T47" s="103"/>
      <c r="U47" s="80">
        <f>U$7*'Mkt share'!$E$44</f>
        <v>0</v>
      </c>
      <c r="V47" s="80">
        <f>U$8*'Mkt share'!$E$44</f>
        <v>0</v>
      </c>
      <c r="W47" s="88">
        <f>U$11*'Mkt share'!$E$44</f>
        <v>0</v>
      </c>
      <c r="Z47" s="87" t="s">
        <v>172</v>
      </c>
      <c r="AA47" s="103"/>
      <c r="AB47" s="103"/>
      <c r="AC47" s="80">
        <f>AC$7*'Mkt share'!$E$45</f>
        <v>0</v>
      </c>
      <c r="AD47" s="80">
        <f>AC$8*'Mkt share'!$E$45</f>
        <v>0</v>
      </c>
      <c r="AE47" s="88">
        <f>AC$11*'Mkt share'!$E$45</f>
        <v>0</v>
      </c>
      <c r="AH47" s="87" t="s">
        <v>172</v>
      </c>
      <c r="AI47" s="103"/>
      <c r="AJ47" s="103"/>
      <c r="AK47" s="80">
        <f>AK$7*'Mkt share'!$E$46</f>
        <v>591.25711988124999</v>
      </c>
      <c r="AL47" s="80">
        <f>AK$8*'Mkt share'!$E$46</f>
        <v>591.25711988124999</v>
      </c>
      <c r="AM47" s="88">
        <f>AK$11*'Mkt share'!$E$46</f>
        <v>591.25711988124999</v>
      </c>
      <c r="AP47" s="87" t="s">
        <v>172</v>
      </c>
      <c r="AQ47" s="103"/>
      <c r="AR47" s="103"/>
      <c r="AS47" s="80">
        <f>AS$7*'Mkt share'!$E$47</f>
        <v>0</v>
      </c>
      <c r="AT47" s="80">
        <f>AS$8*'Mkt share'!$E$47</f>
        <v>0</v>
      </c>
      <c r="AU47" s="88">
        <f>AS$11*'Mkt share'!$E$47</f>
        <v>0</v>
      </c>
      <c r="AX47" s="87" t="s">
        <v>172</v>
      </c>
      <c r="AY47" s="103"/>
      <c r="AZ47" s="103"/>
      <c r="BA47" s="80">
        <f>BA$7*'Mkt share'!$E$48</f>
        <v>0</v>
      </c>
      <c r="BB47" s="80">
        <f>BA$8*'Mkt share'!$E$48</f>
        <v>0</v>
      </c>
      <c r="BC47" s="88">
        <f>BA$11*'Mkt share'!$E$48</f>
        <v>0</v>
      </c>
      <c r="BF47" s="87" t="s">
        <v>172</v>
      </c>
      <c r="BG47" s="103"/>
      <c r="BH47" s="103"/>
      <c r="BI47" s="80">
        <f>BI$7*'Mkt share'!$E$49</f>
        <v>0</v>
      </c>
      <c r="BJ47" s="80">
        <f>BI$8*'Mkt share'!$E$49</f>
        <v>0</v>
      </c>
      <c r="BK47" s="88">
        <f>BI$11*'Mkt share'!$E$49</f>
        <v>0</v>
      </c>
      <c r="BN47" s="87" t="s">
        <v>172</v>
      </c>
      <c r="BO47" s="103"/>
      <c r="BP47" s="103"/>
      <c r="BQ47" s="80">
        <f>BQ$7*'Mkt share'!$E$50</f>
        <v>0</v>
      </c>
      <c r="BR47" s="80">
        <f>BQ$8*'Mkt share'!$E$50</f>
        <v>0</v>
      </c>
      <c r="BS47" s="88">
        <f>BQ$11*'Mkt share'!$E$50</f>
        <v>0</v>
      </c>
      <c r="BV47" s="87" t="s">
        <v>172</v>
      </c>
      <c r="BW47" s="103"/>
      <c r="BX47" s="103"/>
      <c r="BY47" s="80">
        <f>BY$7*'Mkt share'!$E$51</f>
        <v>0</v>
      </c>
      <c r="BZ47" s="80">
        <f>BY$8*'Mkt share'!$E$51</f>
        <v>0</v>
      </c>
      <c r="CA47" s="88">
        <f>BY$11*'Mkt share'!$E$51</f>
        <v>0</v>
      </c>
      <c r="CD47" s="87" t="s">
        <v>172</v>
      </c>
      <c r="CE47" s="103"/>
      <c r="CF47" s="103"/>
      <c r="CG47" s="80">
        <f>CG$7*'Mkt share'!$E$52</f>
        <v>0</v>
      </c>
      <c r="CH47" s="80">
        <f>CG$8*'Mkt share'!$E$52</f>
        <v>0</v>
      </c>
      <c r="CI47" s="88">
        <f>CG$11*'Mkt share'!$E$52</f>
        <v>0</v>
      </c>
      <c r="CL47" s="87" t="s">
        <v>172</v>
      </c>
      <c r="CM47" s="103"/>
      <c r="CN47" s="103"/>
      <c r="CO47" s="80">
        <f>CO$7*'Mkt share'!$E$53</f>
        <v>0</v>
      </c>
      <c r="CP47" s="80">
        <f>CO$8*'Mkt share'!$E$53</f>
        <v>0</v>
      </c>
      <c r="CQ47" s="88">
        <f>CO$11*'Mkt share'!$E$53</f>
        <v>0</v>
      </c>
      <c r="CT47" s="87" t="s">
        <v>172</v>
      </c>
      <c r="CU47" s="103"/>
      <c r="CV47" s="103"/>
      <c r="CW47" s="80">
        <f>CW$7*'Mkt share'!$E$54</f>
        <v>0</v>
      </c>
      <c r="CX47" s="80">
        <f>CW$8*'Mkt share'!$E$54</f>
        <v>0</v>
      </c>
      <c r="CY47" s="88">
        <f>CW$11*'Mkt share'!$E$54</f>
        <v>0</v>
      </c>
      <c r="DB47" s="87" t="s">
        <v>172</v>
      </c>
      <c r="DC47" s="103"/>
      <c r="DD47" s="103"/>
      <c r="DE47" s="80">
        <f>DE$7*'Mkt share'!$E$55</f>
        <v>0</v>
      </c>
      <c r="DF47" s="80">
        <f>DE$8*'Mkt share'!$E$55</f>
        <v>0</v>
      </c>
      <c r="DG47" s="88">
        <f>DE$11*'Mkt share'!$E$55</f>
        <v>0</v>
      </c>
    </row>
    <row r="48" spans="2:111">
      <c r="B48" s="87" t="s">
        <v>177</v>
      </c>
      <c r="C48" s="103"/>
      <c r="D48" s="103"/>
      <c r="E48" s="105">
        <v>0</v>
      </c>
      <c r="F48" s="80">
        <f>E$10*'Mkt share'!$E$42</f>
        <v>5.216974587187508</v>
      </c>
      <c r="G48" s="88">
        <f>E$13*'Mkt share'!$E$42</f>
        <v>9.3905542569374987</v>
      </c>
      <c r="J48" s="87" t="s">
        <v>177</v>
      </c>
      <c r="K48" s="103"/>
      <c r="L48" s="103"/>
      <c r="M48" s="105">
        <v>0</v>
      </c>
      <c r="N48" s="80">
        <f>M$10*'Mkt share'!$E$43</f>
        <v>0</v>
      </c>
      <c r="O48" s="88">
        <f>M$13*'Mkt share'!$E$43</f>
        <v>0</v>
      </c>
      <c r="R48" s="87" t="s">
        <v>177</v>
      </c>
      <c r="S48" s="103"/>
      <c r="T48" s="103"/>
      <c r="U48" s="105">
        <v>0</v>
      </c>
      <c r="V48" s="80">
        <f>U$10*'Mkt share'!$E$44</f>
        <v>0</v>
      </c>
      <c r="W48" s="88">
        <f>U$13*'Mkt share'!$E$44</f>
        <v>0</v>
      </c>
      <c r="Z48" s="87" t="s">
        <v>177</v>
      </c>
      <c r="AA48" s="103"/>
      <c r="AB48" s="103"/>
      <c r="AC48" s="105">
        <v>0</v>
      </c>
      <c r="AD48" s="80">
        <f>AC$10*'Mkt share'!$E$45</f>
        <v>0</v>
      </c>
      <c r="AE48" s="88">
        <f>AC$13*'Mkt share'!$E$45</f>
        <v>0</v>
      </c>
      <c r="AH48" s="87" t="s">
        <v>177</v>
      </c>
      <c r="AI48" s="103"/>
      <c r="AJ48" s="103"/>
      <c r="AK48" s="105">
        <v>0</v>
      </c>
      <c r="AL48" s="80">
        <f>AK$10*'Mkt share'!$E$46</f>
        <v>0</v>
      </c>
      <c r="AM48" s="88">
        <f>AK$13*'Mkt share'!$E$46</f>
        <v>0</v>
      </c>
      <c r="AP48" s="87" t="s">
        <v>177</v>
      </c>
      <c r="AQ48" s="103"/>
      <c r="AR48" s="103"/>
      <c r="AS48" s="105">
        <v>0</v>
      </c>
      <c r="AT48" s="80">
        <f>AS$10*'Mkt share'!$E$47</f>
        <v>0</v>
      </c>
      <c r="AU48" s="88">
        <f>AS$13*'Mkt share'!$E$47</f>
        <v>0</v>
      </c>
      <c r="AX48" s="87" t="s">
        <v>177</v>
      </c>
      <c r="AY48" s="103"/>
      <c r="AZ48" s="103"/>
      <c r="BA48" s="105">
        <v>0</v>
      </c>
      <c r="BB48" s="80">
        <f>BA$10*'Mkt share'!$E$48</f>
        <v>0</v>
      </c>
      <c r="BC48" s="88">
        <f>BA$13*'Mkt share'!$E$48</f>
        <v>0</v>
      </c>
      <c r="BF48" s="87" t="s">
        <v>177</v>
      </c>
      <c r="BG48" s="103"/>
      <c r="BH48" s="103"/>
      <c r="BI48" s="105">
        <v>0</v>
      </c>
      <c r="BJ48" s="80">
        <f>BI$10*'Mkt share'!$E$49</f>
        <v>0</v>
      </c>
      <c r="BK48" s="88">
        <f>BI$13*'Mkt share'!$E$49</f>
        <v>0</v>
      </c>
      <c r="BN48" s="87" t="s">
        <v>177</v>
      </c>
      <c r="BO48" s="103"/>
      <c r="BP48" s="103"/>
      <c r="BQ48" s="105">
        <v>0</v>
      </c>
      <c r="BR48" s="80">
        <f>BQ$10*'Mkt share'!$E$50</f>
        <v>0</v>
      </c>
      <c r="BS48" s="88">
        <f>BQ$13*'Mkt share'!$E$50</f>
        <v>0</v>
      </c>
      <c r="BV48" s="87" t="s">
        <v>177</v>
      </c>
      <c r="BW48" s="103"/>
      <c r="BX48" s="103"/>
      <c r="BY48" s="105">
        <v>0</v>
      </c>
      <c r="BZ48" s="80">
        <f>BY$10*'Mkt share'!$E$51</f>
        <v>0</v>
      </c>
      <c r="CA48" s="88">
        <f>BY$13*'Mkt share'!$E$51</f>
        <v>0</v>
      </c>
      <c r="CD48" s="87" t="s">
        <v>177</v>
      </c>
      <c r="CE48" s="103"/>
      <c r="CF48" s="103"/>
      <c r="CG48" s="105">
        <v>0</v>
      </c>
      <c r="CH48" s="80">
        <f>CG$10*'Mkt share'!$E$52</f>
        <v>0</v>
      </c>
      <c r="CI48" s="88">
        <f>CG$13*'Mkt share'!$E$52</f>
        <v>0</v>
      </c>
      <c r="CL48" s="87" t="s">
        <v>177</v>
      </c>
      <c r="CM48" s="103"/>
      <c r="CN48" s="103"/>
      <c r="CO48" s="105">
        <v>0</v>
      </c>
      <c r="CP48" s="80">
        <f>CO$10*'Mkt share'!$E$53</f>
        <v>0</v>
      </c>
      <c r="CQ48" s="88">
        <f>CO$13*'Mkt share'!$E$53</f>
        <v>0</v>
      </c>
      <c r="CT48" s="87" t="s">
        <v>177</v>
      </c>
      <c r="CU48" s="103"/>
      <c r="CV48" s="103"/>
      <c r="CW48" s="105">
        <v>0</v>
      </c>
      <c r="CX48" s="80">
        <f>CW$10*'Mkt share'!$E$54</f>
        <v>0</v>
      </c>
      <c r="CY48" s="88">
        <f>CW$13*'Mkt share'!$E$54</f>
        <v>0</v>
      </c>
      <c r="DB48" s="87" t="s">
        <v>177</v>
      </c>
      <c r="DC48" s="103"/>
      <c r="DD48" s="103"/>
      <c r="DE48" s="105">
        <v>0</v>
      </c>
      <c r="DF48" s="80">
        <f>DE$10*'Mkt share'!$E$55</f>
        <v>0</v>
      </c>
      <c r="DG48" s="88">
        <f>DE$13*'Mkt share'!$E$55</f>
        <v>0</v>
      </c>
    </row>
    <row r="49" spans="2:111">
      <c r="B49" s="87" t="s">
        <v>173</v>
      </c>
      <c r="C49" s="103"/>
      <c r="D49" s="103"/>
      <c r="E49" s="103"/>
      <c r="F49" s="80">
        <f>F$7*'Mkt share'!$F$42</f>
        <v>140.16888932500001</v>
      </c>
      <c r="G49" s="88">
        <f>F$8*'Mkt share'!$F$42</f>
        <v>133.16044485875</v>
      </c>
      <c r="J49" s="87" t="s">
        <v>173</v>
      </c>
      <c r="K49" s="103"/>
      <c r="L49" s="103"/>
      <c r="M49" s="103"/>
      <c r="N49" s="80">
        <f>N$7*'Mkt share'!$F$43</f>
        <v>0</v>
      </c>
      <c r="O49" s="88">
        <f>N$8*'Mkt share'!$F$43</f>
        <v>0</v>
      </c>
      <c r="R49" s="87" t="s">
        <v>173</v>
      </c>
      <c r="S49" s="103"/>
      <c r="T49" s="103"/>
      <c r="U49" s="103"/>
      <c r="V49" s="80">
        <f>V$7*'Mkt share'!$F$44</f>
        <v>0</v>
      </c>
      <c r="W49" s="88">
        <f>V$8*'Mkt share'!$F$44</f>
        <v>0</v>
      </c>
      <c r="Z49" s="87" t="s">
        <v>173</v>
      </c>
      <c r="AA49" s="103"/>
      <c r="AB49" s="103"/>
      <c r="AC49" s="103"/>
      <c r="AD49" s="80">
        <f>AD$7*'Mkt share'!$F$45</f>
        <v>0</v>
      </c>
      <c r="AE49" s="88">
        <f>AD$8*'Mkt share'!$F$45</f>
        <v>0</v>
      </c>
      <c r="AH49" s="87" t="s">
        <v>173</v>
      </c>
      <c r="AI49" s="103"/>
      <c r="AJ49" s="103"/>
      <c r="AK49" s="103"/>
      <c r="AL49" s="80">
        <f>AL$7*'Mkt share'!$F$46</f>
        <v>560.67555730000004</v>
      </c>
      <c r="AM49" s="88">
        <f>AL$8*'Mkt share'!$F$46</f>
        <v>560.67555730000004</v>
      </c>
      <c r="AP49" s="87" t="s">
        <v>173</v>
      </c>
      <c r="AQ49" s="103"/>
      <c r="AR49" s="103"/>
      <c r="AS49" s="103"/>
      <c r="AT49" s="80">
        <f>AT$7*'Mkt share'!$F$47</f>
        <v>0</v>
      </c>
      <c r="AU49" s="88">
        <f>AT$8*'Mkt share'!$F$47</f>
        <v>0</v>
      </c>
      <c r="AX49" s="87" t="s">
        <v>173</v>
      </c>
      <c r="AY49" s="103"/>
      <c r="AZ49" s="103"/>
      <c r="BA49" s="103"/>
      <c r="BB49" s="80">
        <f>BB$7*'Mkt share'!$F$48</f>
        <v>0</v>
      </c>
      <c r="BC49" s="88">
        <f>BB$8*'Mkt share'!$F$48</f>
        <v>0</v>
      </c>
      <c r="BF49" s="87" t="s">
        <v>173</v>
      </c>
      <c r="BG49" s="103"/>
      <c r="BH49" s="103"/>
      <c r="BI49" s="103"/>
      <c r="BJ49" s="80">
        <f>BJ$7*'Mkt share'!$F$49</f>
        <v>0</v>
      </c>
      <c r="BK49" s="88">
        <f>BJ$8*'Mkt share'!$F$49</f>
        <v>0</v>
      </c>
      <c r="BN49" s="87" t="s">
        <v>173</v>
      </c>
      <c r="BO49" s="103"/>
      <c r="BP49" s="103"/>
      <c r="BQ49" s="103"/>
      <c r="BR49" s="80">
        <f>BR$7*'Mkt share'!$F$50</f>
        <v>0</v>
      </c>
      <c r="BS49" s="88">
        <f>BR$8*'Mkt share'!$F$50</f>
        <v>0</v>
      </c>
      <c r="BV49" s="87" t="s">
        <v>173</v>
      </c>
      <c r="BW49" s="103"/>
      <c r="BX49" s="103"/>
      <c r="BY49" s="103"/>
      <c r="BZ49" s="80">
        <f>BZ$7*'Mkt share'!$F$51</f>
        <v>0</v>
      </c>
      <c r="CA49" s="88">
        <f>BZ$8*'Mkt share'!$F$51</f>
        <v>0</v>
      </c>
      <c r="CD49" s="87" t="s">
        <v>173</v>
      </c>
      <c r="CE49" s="103"/>
      <c r="CF49" s="103"/>
      <c r="CG49" s="103"/>
      <c r="CH49" s="80">
        <f>CH$7*'Mkt share'!$F$52</f>
        <v>0</v>
      </c>
      <c r="CI49" s="88">
        <f>CH$8*'Mkt share'!$F$52</f>
        <v>0</v>
      </c>
      <c r="CL49" s="87" t="s">
        <v>173</v>
      </c>
      <c r="CM49" s="103"/>
      <c r="CN49" s="103"/>
      <c r="CO49" s="103"/>
      <c r="CP49" s="80">
        <f>CP$7*'Mkt share'!$F$53</f>
        <v>0</v>
      </c>
      <c r="CQ49" s="88">
        <f>CP$8*'Mkt share'!$F$53</f>
        <v>0</v>
      </c>
      <c r="CT49" s="87" t="s">
        <v>173</v>
      </c>
      <c r="CU49" s="103"/>
      <c r="CV49" s="103"/>
      <c r="CW49" s="103"/>
      <c r="CX49" s="80">
        <f>CX$7*'Mkt share'!$F$54</f>
        <v>0</v>
      </c>
      <c r="CY49" s="88">
        <f>CX$8*'Mkt share'!$F$54</f>
        <v>0</v>
      </c>
      <c r="DB49" s="87" t="s">
        <v>173</v>
      </c>
      <c r="DC49" s="103"/>
      <c r="DD49" s="103"/>
      <c r="DE49" s="103"/>
      <c r="DF49" s="80">
        <f>DF$7*'Mkt share'!$F$55</f>
        <v>0</v>
      </c>
      <c r="DG49" s="88">
        <f>DF$8*'Mkt share'!$F$55</f>
        <v>0</v>
      </c>
    </row>
    <row r="50" spans="2:111">
      <c r="B50" s="87" t="s">
        <v>178</v>
      </c>
      <c r="C50" s="103"/>
      <c r="D50" s="103"/>
      <c r="E50" s="103"/>
      <c r="F50" s="105">
        <v>0</v>
      </c>
      <c r="G50" s="88">
        <f>F$10*'Mkt share'!$F$42</f>
        <v>7.0084444662500118</v>
      </c>
      <c r="J50" s="87" t="s">
        <v>178</v>
      </c>
      <c r="K50" s="103"/>
      <c r="L50" s="103"/>
      <c r="M50" s="103"/>
      <c r="N50" s="105">
        <v>0</v>
      </c>
      <c r="O50" s="88">
        <f>N$10*'Mkt share'!$F$43</f>
        <v>0</v>
      </c>
      <c r="R50" s="87" t="s">
        <v>178</v>
      </c>
      <c r="S50" s="103"/>
      <c r="T50" s="103"/>
      <c r="U50" s="103"/>
      <c r="V50" s="105">
        <v>0</v>
      </c>
      <c r="W50" s="88">
        <f>V$10*'Mkt share'!$F$44</f>
        <v>0</v>
      </c>
      <c r="Z50" s="87" t="s">
        <v>178</v>
      </c>
      <c r="AA50" s="103"/>
      <c r="AB50" s="103"/>
      <c r="AC50" s="103"/>
      <c r="AD50" s="105">
        <v>0</v>
      </c>
      <c r="AE50" s="88">
        <f>AD$10*'Mkt share'!$F$45</f>
        <v>0</v>
      </c>
      <c r="AH50" s="87" t="s">
        <v>178</v>
      </c>
      <c r="AI50" s="103"/>
      <c r="AJ50" s="103"/>
      <c r="AK50" s="103"/>
      <c r="AL50" s="105">
        <v>0</v>
      </c>
      <c r="AM50" s="88">
        <f>AL$10*'Mkt share'!$F$46</f>
        <v>0</v>
      </c>
      <c r="AP50" s="87" t="s">
        <v>178</v>
      </c>
      <c r="AQ50" s="103"/>
      <c r="AR50" s="103"/>
      <c r="AS50" s="103"/>
      <c r="AT50" s="105">
        <v>0</v>
      </c>
      <c r="AU50" s="88">
        <f>AT$10*'Mkt share'!$F$47</f>
        <v>0</v>
      </c>
      <c r="AX50" s="87" t="s">
        <v>178</v>
      </c>
      <c r="AY50" s="103"/>
      <c r="AZ50" s="103"/>
      <c r="BA50" s="103"/>
      <c r="BB50" s="105">
        <v>0</v>
      </c>
      <c r="BC50" s="88">
        <f>BB$10*'Mkt share'!$F$48</f>
        <v>0</v>
      </c>
      <c r="BF50" s="87" t="s">
        <v>178</v>
      </c>
      <c r="BG50" s="103"/>
      <c r="BH50" s="103"/>
      <c r="BI50" s="103"/>
      <c r="BJ50" s="105">
        <v>0</v>
      </c>
      <c r="BK50" s="88">
        <f>BJ$10*'Mkt share'!$F$49</f>
        <v>0</v>
      </c>
      <c r="BN50" s="87" t="s">
        <v>178</v>
      </c>
      <c r="BO50" s="103"/>
      <c r="BP50" s="103"/>
      <c r="BQ50" s="103"/>
      <c r="BR50" s="105">
        <v>0</v>
      </c>
      <c r="BS50" s="88">
        <f>BR$10*'Mkt share'!$F$50</f>
        <v>0</v>
      </c>
      <c r="BV50" s="87" t="s">
        <v>178</v>
      </c>
      <c r="BW50" s="103"/>
      <c r="BX50" s="103"/>
      <c r="BY50" s="103"/>
      <c r="BZ50" s="105">
        <v>0</v>
      </c>
      <c r="CA50" s="88">
        <f>BZ$10*'Mkt share'!$F$51</f>
        <v>0</v>
      </c>
      <c r="CD50" s="87" t="s">
        <v>178</v>
      </c>
      <c r="CE50" s="103"/>
      <c r="CF50" s="103"/>
      <c r="CG50" s="103"/>
      <c r="CH50" s="105">
        <v>0</v>
      </c>
      <c r="CI50" s="88">
        <f>CH$10*'Mkt share'!$F$52</f>
        <v>0</v>
      </c>
      <c r="CL50" s="87" t="s">
        <v>178</v>
      </c>
      <c r="CM50" s="103"/>
      <c r="CN50" s="103"/>
      <c r="CO50" s="103"/>
      <c r="CP50" s="105">
        <v>0</v>
      </c>
      <c r="CQ50" s="88">
        <f>CP$10*'Mkt share'!$F$53</f>
        <v>0</v>
      </c>
      <c r="CT50" s="87" t="s">
        <v>178</v>
      </c>
      <c r="CU50" s="103"/>
      <c r="CV50" s="103"/>
      <c r="CW50" s="103"/>
      <c r="CX50" s="105">
        <v>0</v>
      </c>
      <c r="CY50" s="88">
        <f>CX$10*'Mkt share'!$F$54</f>
        <v>0</v>
      </c>
      <c r="DB50" s="87" t="s">
        <v>178</v>
      </c>
      <c r="DC50" s="103"/>
      <c r="DD50" s="103"/>
      <c r="DE50" s="103"/>
      <c r="DF50" s="105">
        <v>0</v>
      </c>
      <c r="DG50" s="88">
        <f>DF$10*'Mkt share'!$F$55</f>
        <v>0</v>
      </c>
    </row>
    <row r="51" spans="2:111">
      <c r="B51" s="87" t="s">
        <v>174</v>
      </c>
      <c r="C51" s="103"/>
      <c r="D51" s="103"/>
      <c r="E51" s="103"/>
      <c r="F51" s="103"/>
      <c r="G51" s="88">
        <f>G$7*'Mkt share'!$G$42</f>
        <v>176.54833831250002</v>
      </c>
      <c r="J51" s="87" t="s">
        <v>174</v>
      </c>
      <c r="K51" s="103"/>
      <c r="L51" s="103"/>
      <c r="M51" s="103"/>
      <c r="N51" s="103"/>
      <c r="O51" s="88">
        <f>O$7*'Mkt share'!$G$43</f>
        <v>0</v>
      </c>
      <c r="R51" s="87" t="s">
        <v>174</v>
      </c>
      <c r="S51" s="103"/>
      <c r="T51" s="103"/>
      <c r="U51" s="103"/>
      <c r="V51" s="103"/>
      <c r="W51" s="88">
        <f>W$7*'Mkt share'!$G$44</f>
        <v>0</v>
      </c>
      <c r="Z51" s="87" t="s">
        <v>174</v>
      </c>
      <c r="AA51" s="103"/>
      <c r="AB51" s="103"/>
      <c r="AC51" s="103"/>
      <c r="AD51" s="103"/>
      <c r="AE51" s="88">
        <f>AE$7*'Mkt share'!$G$45</f>
        <v>0</v>
      </c>
      <c r="AH51" s="87" t="s">
        <v>174</v>
      </c>
      <c r="AI51" s="103"/>
      <c r="AJ51" s="103"/>
      <c r="AK51" s="103"/>
      <c r="AL51" s="103"/>
      <c r="AM51" s="88">
        <f>AM$7*'Mkt share'!$G$46</f>
        <v>529.64501493750004</v>
      </c>
      <c r="AP51" s="87" t="s">
        <v>174</v>
      </c>
      <c r="AQ51" s="103"/>
      <c r="AR51" s="103"/>
      <c r="AS51" s="103"/>
      <c r="AT51" s="103"/>
      <c r="AU51" s="88">
        <f>AU$7*'Mkt share'!$G$47</f>
        <v>0</v>
      </c>
      <c r="AX51" s="87" t="s">
        <v>174</v>
      </c>
      <c r="AY51" s="103"/>
      <c r="AZ51" s="103"/>
      <c r="BA51" s="103"/>
      <c r="BB51" s="103"/>
      <c r="BC51" s="88">
        <f>BC$7*'Mkt share'!$G$48</f>
        <v>0</v>
      </c>
      <c r="BF51" s="87" t="s">
        <v>174</v>
      </c>
      <c r="BG51" s="103"/>
      <c r="BH51" s="103"/>
      <c r="BI51" s="103"/>
      <c r="BJ51" s="103"/>
      <c r="BK51" s="88">
        <f>BK$7*'Mkt share'!$G$49</f>
        <v>0</v>
      </c>
      <c r="BN51" s="87" t="s">
        <v>174</v>
      </c>
      <c r="BO51" s="103"/>
      <c r="BP51" s="103"/>
      <c r="BQ51" s="103"/>
      <c r="BR51" s="103"/>
      <c r="BS51" s="88">
        <f>BS$7*'Mkt share'!$G$50</f>
        <v>0</v>
      </c>
      <c r="BV51" s="87" t="s">
        <v>174</v>
      </c>
      <c r="BW51" s="103"/>
      <c r="BX51" s="103"/>
      <c r="BY51" s="103"/>
      <c r="BZ51" s="103"/>
      <c r="CA51" s="88">
        <f>CA$7*'Mkt share'!$G$51</f>
        <v>0</v>
      </c>
      <c r="CD51" s="87" t="s">
        <v>174</v>
      </c>
      <c r="CE51" s="103"/>
      <c r="CF51" s="103"/>
      <c r="CG51" s="103"/>
      <c r="CH51" s="103"/>
      <c r="CI51" s="88">
        <f>CI$7*'Mkt share'!$G$52</f>
        <v>0</v>
      </c>
      <c r="CL51" s="87" t="s">
        <v>174</v>
      </c>
      <c r="CM51" s="103"/>
      <c r="CN51" s="103"/>
      <c r="CO51" s="103"/>
      <c r="CP51" s="103"/>
      <c r="CQ51" s="88">
        <f>CQ$7*'Mkt share'!$G$53</f>
        <v>0</v>
      </c>
      <c r="CT51" s="87" t="s">
        <v>174</v>
      </c>
      <c r="CU51" s="103"/>
      <c r="CV51" s="103"/>
      <c r="CW51" s="103"/>
      <c r="CX51" s="103"/>
      <c r="CY51" s="88">
        <f>CY$7*'Mkt share'!$G$54</f>
        <v>0</v>
      </c>
      <c r="DB51" s="87" t="s">
        <v>174</v>
      </c>
      <c r="DC51" s="103"/>
      <c r="DD51" s="103"/>
      <c r="DE51" s="103"/>
      <c r="DF51" s="103"/>
      <c r="DG51" s="88">
        <f>DG$7*'Mkt share'!$G$55</f>
        <v>0</v>
      </c>
    </row>
    <row r="52" spans="2:111" ht="15" thickBot="1">
      <c r="B52" s="87" t="s">
        <v>179</v>
      </c>
      <c r="C52" s="103"/>
      <c r="D52" s="103"/>
      <c r="E52" s="103"/>
      <c r="F52" s="103"/>
      <c r="G52" s="106">
        <v>0</v>
      </c>
      <c r="J52" s="87" t="s">
        <v>179</v>
      </c>
      <c r="K52" s="103"/>
      <c r="L52" s="103"/>
      <c r="M52" s="103"/>
      <c r="N52" s="103"/>
      <c r="O52" s="106">
        <v>0</v>
      </c>
      <c r="R52" s="87" t="s">
        <v>179</v>
      </c>
      <c r="S52" s="103"/>
      <c r="T52" s="103"/>
      <c r="U52" s="103"/>
      <c r="V52" s="103"/>
      <c r="W52" s="106">
        <v>0</v>
      </c>
      <c r="Z52" s="87" t="s">
        <v>179</v>
      </c>
      <c r="AA52" s="103"/>
      <c r="AB52" s="103"/>
      <c r="AC52" s="103"/>
      <c r="AD52" s="103"/>
      <c r="AE52" s="106">
        <v>0</v>
      </c>
      <c r="AH52" s="87" t="s">
        <v>179</v>
      </c>
      <c r="AI52" s="103"/>
      <c r="AJ52" s="103"/>
      <c r="AK52" s="103"/>
      <c r="AL52" s="103"/>
      <c r="AM52" s="106">
        <v>0</v>
      </c>
      <c r="AP52" s="87" t="s">
        <v>179</v>
      </c>
      <c r="AQ52" s="103"/>
      <c r="AR52" s="103"/>
      <c r="AS52" s="103"/>
      <c r="AT52" s="103"/>
      <c r="AU52" s="106">
        <v>0</v>
      </c>
      <c r="AX52" s="87" t="s">
        <v>179</v>
      </c>
      <c r="AY52" s="103"/>
      <c r="AZ52" s="103"/>
      <c r="BA52" s="103"/>
      <c r="BB52" s="103"/>
      <c r="BC52" s="106">
        <v>0</v>
      </c>
      <c r="BF52" s="87" t="s">
        <v>179</v>
      </c>
      <c r="BG52" s="103"/>
      <c r="BH52" s="103"/>
      <c r="BI52" s="103"/>
      <c r="BJ52" s="103"/>
      <c r="BK52" s="106">
        <v>0</v>
      </c>
      <c r="BN52" s="87" t="s">
        <v>179</v>
      </c>
      <c r="BO52" s="103"/>
      <c r="BP52" s="103"/>
      <c r="BQ52" s="103"/>
      <c r="BR52" s="103"/>
      <c r="BS52" s="106">
        <v>0</v>
      </c>
      <c r="BV52" s="87" t="s">
        <v>179</v>
      </c>
      <c r="BW52" s="103"/>
      <c r="BX52" s="103"/>
      <c r="BY52" s="103"/>
      <c r="BZ52" s="103"/>
      <c r="CA52" s="106">
        <v>0</v>
      </c>
      <c r="CD52" s="87" t="s">
        <v>179</v>
      </c>
      <c r="CE52" s="103"/>
      <c r="CF52" s="103"/>
      <c r="CG52" s="103"/>
      <c r="CH52" s="103"/>
      <c r="CI52" s="106">
        <v>0</v>
      </c>
      <c r="CL52" s="87" t="s">
        <v>179</v>
      </c>
      <c r="CM52" s="103"/>
      <c r="CN52" s="103"/>
      <c r="CO52" s="103"/>
      <c r="CP52" s="103"/>
      <c r="CQ52" s="106">
        <v>0</v>
      </c>
      <c r="CT52" s="87" t="s">
        <v>179</v>
      </c>
      <c r="CU52" s="103"/>
      <c r="CV52" s="103"/>
      <c r="CW52" s="103"/>
      <c r="CX52" s="103"/>
      <c r="CY52" s="106">
        <v>0</v>
      </c>
      <c r="DB52" s="87" t="s">
        <v>179</v>
      </c>
      <c r="DC52" s="103"/>
      <c r="DD52" s="103"/>
      <c r="DE52" s="103"/>
      <c r="DF52" s="103"/>
      <c r="DG52" s="106">
        <v>0</v>
      </c>
    </row>
    <row r="53" spans="2:111" ht="15" thickBot="1">
      <c r="B53" s="89" t="s">
        <v>114</v>
      </c>
      <c r="C53" s="90">
        <f>SUM(C43:C52)</f>
        <v>34.249623825000008</v>
      </c>
      <c r="D53" s="90">
        <f>SUM(D43:D51)</f>
        <v>103.2868078875</v>
      </c>
      <c r="E53" s="90">
        <f>SUM(E43:E51)</f>
        <v>207.28380339300003</v>
      </c>
      <c r="F53" s="90">
        <f>SUM(F43:F51)</f>
        <v>346.41982463912501</v>
      </c>
      <c r="G53" s="91">
        <f>SUM(G43:G52)</f>
        <v>520.89189995531251</v>
      </c>
      <c r="J53" s="89" t="s">
        <v>114</v>
      </c>
      <c r="K53" s="90">
        <f>SUM(K43:K52)</f>
        <v>0</v>
      </c>
      <c r="L53" s="90">
        <f>SUM(L43:L51)</f>
        <v>0</v>
      </c>
      <c r="M53" s="90">
        <f>SUM(M43:M51)</f>
        <v>0</v>
      </c>
      <c r="N53" s="90">
        <f>SUM(N43:N51)</f>
        <v>0</v>
      </c>
      <c r="O53" s="91">
        <f>SUM(O43:O52)</f>
        <v>0</v>
      </c>
      <c r="R53" s="89" t="s">
        <v>114</v>
      </c>
      <c r="S53" s="90">
        <f>SUM(S43:S52)</f>
        <v>0</v>
      </c>
      <c r="T53" s="90">
        <f>SUM(T43:T51)</f>
        <v>0</v>
      </c>
      <c r="U53" s="90">
        <f>SUM(U43:U51)</f>
        <v>0</v>
      </c>
      <c r="V53" s="90">
        <f>SUM(V43:V51)</f>
        <v>0</v>
      </c>
      <c r="W53" s="91">
        <f>SUM(W43:W52)</f>
        <v>0</v>
      </c>
      <c r="Z53" s="89" t="s">
        <v>114</v>
      </c>
      <c r="AA53" s="90">
        <f>SUM(AA43:AA52)</f>
        <v>0</v>
      </c>
      <c r="AB53" s="90">
        <f>SUM(AB43:AB51)</f>
        <v>0</v>
      </c>
      <c r="AC53" s="90">
        <f>SUM(AC43:AC51)</f>
        <v>0</v>
      </c>
      <c r="AD53" s="90">
        <f>SUM(AD43:AD51)</f>
        <v>0</v>
      </c>
      <c r="AE53" s="91">
        <f>SUM(AE43:AE52)</f>
        <v>0</v>
      </c>
      <c r="AH53" s="89" t="s">
        <v>114</v>
      </c>
      <c r="AI53" s="90">
        <f>SUM(AI43:AI52)</f>
        <v>650.74285267499999</v>
      </c>
      <c r="AJ53" s="90">
        <f>SUM(AJ43:AJ51)</f>
        <v>1272.0775092375002</v>
      </c>
      <c r="AK53" s="90">
        <f>SUM(AK43:AK51)</f>
        <v>1863.3346291187502</v>
      </c>
      <c r="AL53" s="90">
        <f>SUM(AL43:AL51)</f>
        <v>2424.01018641875</v>
      </c>
      <c r="AM53" s="91">
        <f>SUM(AM43:AM52)</f>
        <v>2953.65520135625</v>
      </c>
      <c r="AP53" s="89" t="s">
        <v>114</v>
      </c>
      <c r="AQ53" s="90">
        <f>SUM(AQ43:AQ52)</f>
        <v>0</v>
      </c>
      <c r="AR53" s="90">
        <f>SUM(AR43:AR51)</f>
        <v>0</v>
      </c>
      <c r="AS53" s="90">
        <f>SUM(AS43:AS51)</f>
        <v>0</v>
      </c>
      <c r="AT53" s="90">
        <f>SUM(AT43:AT51)</f>
        <v>0</v>
      </c>
      <c r="AU53" s="91">
        <f>SUM(AU43:AU52)</f>
        <v>0</v>
      </c>
      <c r="AX53" s="89" t="s">
        <v>114</v>
      </c>
      <c r="AY53" s="90">
        <f>SUM(AY43:AY52)</f>
        <v>0</v>
      </c>
      <c r="AZ53" s="90">
        <f>SUM(AZ43:AZ51)</f>
        <v>0</v>
      </c>
      <c r="BA53" s="90">
        <f>SUM(BA43:BA51)</f>
        <v>0</v>
      </c>
      <c r="BB53" s="90">
        <f>SUM(BB43:BB51)</f>
        <v>0</v>
      </c>
      <c r="BC53" s="91">
        <f>SUM(BC43:BC52)</f>
        <v>0</v>
      </c>
      <c r="BF53" s="89" t="s">
        <v>114</v>
      </c>
      <c r="BG53" s="90">
        <f>SUM(BG43:BG52)</f>
        <v>0</v>
      </c>
      <c r="BH53" s="90">
        <f>SUM(BH43:BH51)</f>
        <v>0</v>
      </c>
      <c r="BI53" s="90">
        <f>SUM(BI43:BI51)</f>
        <v>0</v>
      </c>
      <c r="BJ53" s="90">
        <f>SUM(BJ43:BJ51)</f>
        <v>0</v>
      </c>
      <c r="BK53" s="91">
        <f>SUM(BK43:BK52)</f>
        <v>0</v>
      </c>
      <c r="BN53" s="89" t="s">
        <v>114</v>
      </c>
      <c r="BO53" s="90">
        <f>SUM(BO43:BO52)</f>
        <v>0</v>
      </c>
      <c r="BP53" s="90">
        <f>SUM(BP43:BP51)</f>
        <v>0</v>
      </c>
      <c r="BQ53" s="90">
        <f>SUM(BQ43:BQ51)</f>
        <v>0</v>
      </c>
      <c r="BR53" s="90">
        <f>SUM(BR43:BR51)</f>
        <v>0</v>
      </c>
      <c r="BS53" s="91">
        <f>SUM(BS43:BS52)</f>
        <v>0</v>
      </c>
      <c r="BV53" s="89" t="s">
        <v>114</v>
      </c>
      <c r="BW53" s="90">
        <f>SUM(BW43:BW52)</f>
        <v>0</v>
      </c>
      <c r="BX53" s="90">
        <f>SUM(BX43:BX51)</f>
        <v>0</v>
      </c>
      <c r="BY53" s="90">
        <f>SUM(BY43:BY51)</f>
        <v>0</v>
      </c>
      <c r="BZ53" s="90">
        <f>SUM(BZ43:BZ51)</f>
        <v>0</v>
      </c>
      <c r="CA53" s="91">
        <f>SUM(CA43:CA52)</f>
        <v>0</v>
      </c>
      <c r="CD53" s="89" t="s">
        <v>114</v>
      </c>
      <c r="CE53" s="90">
        <f>SUM(CE43:CE52)</f>
        <v>0</v>
      </c>
      <c r="CF53" s="90">
        <f>SUM(CF43:CF51)</f>
        <v>0</v>
      </c>
      <c r="CG53" s="90">
        <f>SUM(CG43:CG51)</f>
        <v>0</v>
      </c>
      <c r="CH53" s="90">
        <f>SUM(CH43:CH51)</f>
        <v>0</v>
      </c>
      <c r="CI53" s="91">
        <f>SUM(CI43:CI52)</f>
        <v>0</v>
      </c>
      <c r="CL53" s="89" t="s">
        <v>114</v>
      </c>
      <c r="CM53" s="90">
        <f>SUM(CM43:CM52)</f>
        <v>0</v>
      </c>
      <c r="CN53" s="90">
        <f>SUM(CN43:CN51)</f>
        <v>0</v>
      </c>
      <c r="CO53" s="90">
        <f>SUM(CO43:CO51)</f>
        <v>0</v>
      </c>
      <c r="CP53" s="90">
        <f>SUM(CP43:CP51)</f>
        <v>0</v>
      </c>
      <c r="CQ53" s="91">
        <f>SUM(CQ43:CQ52)</f>
        <v>0</v>
      </c>
      <c r="CT53" s="89" t="s">
        <v>114</v>
      </c>
      <c r="CU53" s="90">
        <f>SUM(CU43:CU52)</f>
        <v>0</v>
      </c>
      <c r="CV53" s="90">
        <f>SUM(CV43:CV51)</f>
        <v>0</v>
      </c>
      <c r="CW53" s="90">
        <f>SUM(CW43:CW51)</f>
        <v>0</v>
      </c>
      <c r="CX53" s="90">
        <f>SUM(CX43:CX51)</f>
        <v>0</v>
      </c>
      <c r="CY53" s="91">
        <f>SUM(CY43:CY52)</f>
        <v>0</v>
      </c>
      <c r="DB53" s="89" t="s">
        <v>114</v>
      </c>
      <c r="DC53" s="90">
        <f>SUM(DC43:DC52)</f>
        <v>0</v>
      </c>
      <c r="DD53" s="90">
        <f>SUM(DD43:DD51)</f>
        <v>0</v>
      </c>
      <c r="DE53" s="90">
        <f>SUM(DE43:DE51)</f>
        <v>0</v>
      </c>
      <c r="DF53" s="90">
        <f>SUM(DF43:DF51)</f>
        <v>0</v>
      </c>
      <c r="DG53" s="91">
        <f>SUM(DG43:DG52)</f>
        <v>0</v>
      </c>
    </row>
    <row r="54" spans="2:111">
      <c r="B54" s="80" t="s">
        <v>206</v>
      </c>
      <c r="C54" s="92">
        <f>C43+C45+C47+C49+C51</f>
        <v>34.249623825000008</v>
      </c>
      <c r="D54" s="92">
        <f t="shared" ref="D54:G54" si="108">D43+D45+D47+D49+D51</f>
        <v>101.57432669625001</v>
      </c>
      <c r="E54" s="92">
        <f t="shared" si="108"/>
        <v>200.74947804562501</v>
      </c>
      <c r="F54" s="92">
        <f t="shared" si="108"/>
        <v>330.53705238906252</v>
      </c>
      <c r="G54" s="92">
        <f t="shared" si="108"/>
        <v>489.69563125374998</v>
      </c>
      <c r="J54" s="80" t="s">
        <v>206</v>
      </c>
      <c r="K54" s="92">
        <f>K43+K45+K47+K49+K51</f>
        <v>0</v>
      </c>
      <c r="L54" s="92">
        <f t="shared" ref="L54:O54" si="109">L43+L45+L47+L49+L51</f>
        <v>0</v>
      </c>
      <c r="M54" s="92">
        <f t="shared" si="109"/>
        <v>0</v>
      </c>
      <c r="N54" s="92">
        <f t="shared" si="109"/>
        <v>0</v>
      </c>
      <c r="O54" s="92">
        <f t="shared" si="109"/>
        <v>0</v>
      </c>
      <c r="R54" s="80" t="s">
        <v>206</v>
      </c>
      <c r="S54" s="92">
        <f>S43+S45+S47+S49+S51</f>
        <v>0</v>
      </c>
      <c r="T54" s="92">
        <f t="shared" ref="T54:W54" si="110">T43+T45+T47+T49+T51</f>
        <v>0</v>
      </c>
      <c r="U54" s="92">
        <f t="shared" si="110"/>
        <v>0</v>
      </c>
      <c r="V54" s="92">
        <f t="shared" si="110"/>
        <v>0</v>
      </c>
      <c r="W54" s="92">
        <f t="shared" si="110"/>
        <v>0</v>
      </c>
      <c r="Z54" s="80" t="s">
        <v>206</v>
      </c>
      <c r="AA54" s="92">
        <f>AA43+AA45+AA47+AA49+AA51</f>
        <v>0</v>
      </c>
      <c r="AB54" s="92">
        <f t="shared" ref="AB54:AE54" si="111">AB43+AB45+AB47+AB49+AB51</f>
        <v>0</v>
      </c>
      <c r="AC54" s="92">
        <f t="shared" si="111"/>
        <v>0</v>
      </c>
      <c r="AD54" s="92">
        <f t="shared" si="111"/>
        <v>0</v>
      </c>
      <c r="AE54" s="92">
        <f t="shared" si="111"/>
        <v>0</v>
      </c>
      <c r="AH54" s="80" t="s">
        <v>206</v>
      </c>
      <c r="AI54" s="92">
        <f>AI43+AI45+AI47+AI49+AI51</f>
        <v>650.74285267499999</v>
      </c>
      <c r="AJ54" s="92">
        <f t="shared" ref="AJ54:AM54" si="112">AJ43+AJ45+AJ47+AJ49+AJ51</f>
        <v>1272.0775092375002</v>
      </c>
      <c r="AK54" s="92">
        <f t="shared" si="112"/>
        <v>1863.3346291187502</v>
      </c>
      <c r="AL54" s="92">
        <f t="shared" si="112"/>
        <v>2424.01018641875</v>
      </c>
      <c r="AM54" s="92">
        <f t="shared" si="112"/>
        <v>2953.65520135625</v>
      </c>
      <c r="AP54" s="80" t="s">
        <v>206</v>
      </c>
      <c r="AQ54" s="92">
        <f>AQ43+AQ45+AQ47+AQ49+AQ51</f>
        <v>0</v>
      </c>
      <c r="AR54" s="92">
        <f t="shared" ref="AR54:AU54" si="113">AR43+AR45+AR47+AR49+AR51</f>
        <v>0</v>
      </c>
      <c r="AS54" s="92">
        <f t="shared" si="113"/>
        <v>0</v>
      </c>
      <c r="AT54" s="92">
        <f t="shared" si="113"/>
        <v>0</v>
      </c>
      <c r="AU54" s="92">
        <f t="shared" si="113"/>
        <v>0</v>
      </c>
      <c r="AX54" s="80" t="s">
        <v>206</v>
      </c>
      <c r="AY54" s="92">
        <f>AY43+AY45+AY47+AY49+AY51</f>
        <v>0</v>
      </c>
      <c r="AZ54" s="92">
        <f t="shared" ref="AZ54:BC54" si="114">AZ43+AZ45+AZ47+AZ49+AZ51</f>
        <v>0</v>
      </c>
      <c r="BA54" s="92">
        <f t="shared" si="114"/>
        <v>0</v>
      </c>
      <c r="BB54" s="92">
        <f t="shared" si="114"/>
        <v>0</v>
      </c>
      <c r="BC54" s="92">
        <f t="shared" si="114"/>
        <v>0</v>
      </c>
      <c r="BF54" s="80" t="s">
        <v>206</v>
      </c>
      <c r="BG54" s="92">
        <f>BG43+BG45+BG47+BG49+BG51</f>
        <v>0</v>
      </c>
      <c r="BH54" s="92">
        <f t="shared" ref="BH54:BK54" si="115">BH43+BH45+BH47+BH49+BH51</f>
        <v>0</v>
      </c>
      <c r="BI54" s="92">
        <f t="shared" si="115"/>
        <v>0</v>
      </c>
      <c r="BJ54" s="92">
        <f t="shared" si="115"/>
        <v>0</v>
      </c>
      <c r="BK54" s="92">
        <f t="shared" si="115"/>
        <v>0</v>
      </c>
      <c r="BN54" s="80" t="s">
        <v>206</v>
      </c>
      <c r="BO54" s="92">
        <f>BO43+BO45+BO47+BO49+BO51</f>
        <v>0</v>
      </c>
      <c r="BP54" s="92">
        <f t="shared" ref="BP54:BS54" si="116">BP43+BP45+BP47+BP49+BP51</f>
        <v>0</v>
      </c>
      <c r="BQ54" s="92">
        <f t="shared" si="116"/>
        <v>0</v>
      </c>
      <c r="BR54" s="92">
        <f t="shared" si="116"/>
        <v>0</v>
      </c>
      <c r="BS54" s="92">
        <f t="shared" si="116"/>
        <v>0</v>
      </c>
      <c r="BV54" s="80" t="s">
        <v>206</v>
      </c>
      <c r="BW54" s="92">
        <f>BW43+BW45+BW47+BW49+BW51</f>
        <v>0</v>
      </c>
      <c r="BX54" s="92">
        <f t="shared" ref="BX54:CA54" si="117">BX43+BX45+BX47+BX49+BX51</f>
        <v>0</v>
      </c>
      <c r="BY54" s="92">
        <f t="shared" si="117"/>
        <v>0</v>
      </c>
      <c r="BZ54" s="92">
        <f t="shared" si="117"/>
        <v>0</v>
      </c>
      <c r="CA54" s="92">
        <f t="shared" si="117"/>
        <v>0</v>
      </c>
      <c r="CD54" s="80" t="s">
        <v>206</v>
      </c>
      <c r="CE54" s="92">
        <f>CE43+CE45+CE47+CE49+CE51</f>
        <v>0</v>
      </c>
      <c r="CF54" s="92">
        <f t="shared" ref="CF54:CI54" si="118">CF43+CF45+CF47+CF49+CF51</f>
        <v>0</v>
      </c>
      <c r="CG54" s="92">
        <f t="shared" si="118"/>
        <v>0</v>
      </c>
      <c r="CH54" s="92">
        <f t="shared" si="118"/>
        <v>0</v>
      </c>
      <c r="CI54" s="92">
        <f t="shared" si="118"/>
        <v>0</v>
      </c>
      <c r="CL54" s="80" t="s">
        <v>206</v>
      </c>
      <c r="CM54" s="92">
        <f>CM43+CM45+CM47+CM49+CM51</f>
        <v>0</v>
      </c>
      <c r="CN54" s="92">
        <f t="shared" ref="CN54:CQ54" si="119">CN43+CN45+CN47+CN49+CN51</f>
        <v>0</v>
      </c>
      <c r="CO54" s="92">
        <f t="shared" si="119"/>
        <v>0</v>
      </c>
      <c r="CP54" s="92">
        <f t="shared" si="119"/>
        <v>0</v>
      </c>
      <c r="CQ54" s="92">
        <f t="shared" si="119"/>
        <v>0</v>
      </c>
      <c r="CT54" s="80" t="s">
        <v>206</v>
      </c>
      <c r="CU54" s="92">
        <f>CU43+CU45+CU47+CU49+CU51</f>
        <v>0</v>
      </c>
      <c r="CV54" s="92">
        <f t="shared" ref="CV54:CY54" si="120">CV43+CV45+CV47+CV49+CV51</f>
        <v>0</v>
      </c>
      <c r="CW54" s="92">
        <f t="shared" si="120"/>
        <v>0</v>
      </c>
      <c r="CX54" s="92">
        <f t="shared" si="120"/>
        <v>0</v>
      </c>
      <c r="CY54" s="92">
        <f t="shared" si="120"/>
        <v>0</v>
      </c>
      <c r="DB54" s="80" t="s">
        <v>206</v>
      </c>
      <c r="DC54" s="92">
        <f>DC43+DC45+DC47+DC49+DC51</f>
        <v>0</v>
      </c>
      <c r="DD54" s="92">
        <f t="shared" ref="DD54:DG54" si="121">DD43+DD45+DD47+DD49+DD51</f>
        <v>0</v>
      </c>
      <c r="DE54" s="92">
        <f t="shared" si="121"/>
        <v>0</v>
      </c>
      <c r="DF54" s="92">
        <f t="shared" si="121"/>
        <v>0</v>
      </c>
      <c r="DG54" s="92">
        <f t="shared" si="121"/>
        <v>0</v>
      </c>
    </row>
    <row r="55" spans="2:111" ht="15" thickBot="1">
      <c r="B55" s="80" t="s">
        <v>208</v>
      </c>
      <c r="C55" s="92">
        <f>C44+C46+C48+C50+C52</f>
        <v>0</v>
      </c>
      <c r="D55" s="92">
        <f t="shared" ref="D55:G55" si="122">D44+D46+D48+D50+D52</f>
        <v>1.7124811912500038</v>
      </c>
      <c r="E55" s="92">
        <f t="shared" si="122"/>
        <v>6.5343253473750043</v>
      </c>
      <c r="F55" s="92">
        <f t="shared" si="122"/>
        <v>15.8827722500625</v>
      </c>
      <c r="G55" s="92">
        <f t="shared" si="122"/>
        <v>31.196268701562513</v>
      </c>
      <c r="J55" s="80" t="s">
        <v>208</v>
      </c>
      <c r="K55" s="92">
        <f>K44+K46+K48+K50+K52</f>
        <v>0</v>
      </c>
      <c r="L55" s="92">
        <f t="shared" ref="L55:O55" si="123">L44+L46+L48+L50+L52</f>
        <v>0</v>
      </c>
      <c r="M55" s="92">
        <f t="shared" si="123"/>
        <v>0</v>
      </c>
      <c r="N55" s="92">
        <f t="shared" si="123"/>
        <v>0</v>
      </c>
      <c r="O55" s="92">
        <f t="shared" si="123"/>
        <v>0</v>
      </c>
      <c r="R55" s="80" t="s">
        <v>208</v>
      </c>
      <c r="S55" s="92">
        <f>S44+S46+S48+S50+S52</f>
        <v>0</v>
      </c>
      <c r="T55" s="92">
        <f t="shared" ref="T55:W55" si="124">T44+T46+T48+T50+T52</f>
        <v>0</v>
      </c>
      <c r="U55" s="92">
        <f t="shared" si="124"/>
        <v>0</v>
      </c>
      <c r="V55" s="92">
        <f t="shared" si="124"/>
        <v>0</v>
      </c>
      <c r="W55" s="92">
        <f t="shared" si="124"/>
        <v>0</v>
      </c>
      <c r="Z55" s="80" t="s">
        <v>208</v>
      </c>
      <c r="AA55" s="92">
        <f>AA44+AA46+AA48+AA50+AA52</f>
        <v>0</v>
      </c>
      <c r="AB55" s="92">
        <f t="shared" ref="AB55:AE55" si="125">AB44+AB46+AB48+AB50+AB52</f>
        <v>0</v>
      </c>
      <c r="AC55" s="92">
        <f t="shared" si="125"/>
        <v>0</v>
      </c>
      <c r="AD55" s="92">
        <f t="shared" si="125"/>
        <v>0</v>
      </c>
      <c r="AE55" s="92">
        <f t="shared" si="125"/>
        <v>0</v>
      </c>
      <c r="AH55" s="80" t="s">
        <v>208</v>
      </c>
      <c r="AI55" s="92">
        <f>AI44+AI46+AI48+AI50+AI52</f>
        <v>0</v>
      </c>
      <c r="AJ55" s="92">
        <f t="shared" ref="AJ55:AM55" si="126">AJ44+AJ46+AJ48+AJ50+AJ52</f>
        <v>0</v>
      </c>
      <c r="AK55" s="92">
        <f t="shared" si="126"/>
        <v>0</v>
      </c>
      <c r="AL55" s="92">
        <f t="shared" si="126"/>
        <v>0</v>
      </c>
      <c r="AM55" s="92">
        <f t="shared" si="126"/>
        <v>0</v>
      </c>
      <c r="AP55" s="80" t="s">
        <v>208</v>
      </c>
      <c r="AQ55" s="92">
        <f>AQ44+AQ46+AQ48+AQ50+AQ52</f>
        <v>0</v>
      </c>
      <c r="AR55" s="92">
        <f t="shared" ref="AR55:AU55" si="127">AR44+AR46+AR48+AR50+AR52</f>
        <v>0</v>
      </c>
      <c r="AS55" s="92">
        <f t="shared" si="127"/>
        <v>0</v>
      </c>
      <c r="AT55" s="92">
        <f t="shared" si="127"/>
        <v>0</v>
      </c>
      <c r="AU55" s="92">
        <f t="shared" si="127"/>
        <v>0</v>
      </c>
      <c r="AX55" s="80" t="s">
        <v>208</v>
      </c>
      <c r="AY55" s="92">
        <f>AY44+AY46+AY48+AY50+AY52</f>
        <v>0</v>
      </c>
      <c r="AZ55" s="92">
        <f t="shared" ref="AZ55:BC55" si="128">AZ44+AZ46+AZ48+AZ50+AZ52</f>
        <v>0</v>
      </c>
      <c r="BA55" s="92">
        <f t="shared" si="128"/>
        <v>0</v>
      </c>
      <c r="BB55" s="92">
        <f t="shared" si="128"/>
        <v>0</v>
      </c>
      <c r="BC55" s="92">
        <f t="shared" si="128"/>
        <v>0</v>
      </c>
      <c r="BF55" s="80" t="s">
        <v>208</v>
      </c>
      <c r="BG55" s="92">
        <f>BG44+BG46+BG48+BG50+BG52</f>
        <v>0</v>
      </c>
      <c r="BH55" s="92">
        <f t="shared" ref="BH55:BK55" si="129">BH44+BH46+BH48+BH50+BH52</f>
        <v>0</v>
      </c>
      <c r="BI55" s="92">
        <f t="shared" si="129"/>
        <v>0</v>
      </c>
      <c r="BJ55" s="92">
        <f t="shared" si="129"/>
        <v>0</v>
      </c>
      <c r="BK55" s="92">
        <f t="shared" si="129"/>
        <v>0</v>
      </c>
      <c r="BN55" s="80" t="s">
        <v>208</v>
      </c>
      <c r="BO55" s="92">
        <f>BO44+BO46+BO48+BO50+BO52</f>
        <v>0</v>
      </c>
      <c r="BP55" s="92">
        <f t="shared" ref="BP55:BS55" si="130">BP44+BP46+BP48+BP50+BP52</f>
        <v>0</v>
      </c>
      <c r="BQ55" s="92">
        <f t="shared" si="130"/>
        <v>0</v>
      </c>
      <c r="BR55" s="92">
        <f t="shared" si="130"/>
        <v>0</v>
      </c>
      <c r="BS55" s="92">
        <f t="shared" si="130"/>
        <v>0</v>
      </c>
      <c r="BV55" s="80" t="s">
        <v>208</v>
      </c>
      <c r="BW55" s="92">
        <f>BW44+BW46+BW48+BW50+BW52</f>
        <v>0</v>
      </c>
      <c r="BX55" s="92">
        <f t="shared" ref="BX55:CA55" si="131">BX44+BX46+BX48+BX50+BX52</f>
        <v>0</v>
      </c>
      <c r="BY55" s="92">
        <f t="shared" si="131"/>
        <v>0</v>
      </c>
      <c r="BZ55" s="92">
        <f t="shared" si="131"/>
        <v>0</v>
      </c>
      <c r="CA55" s="92">
        <f t="shared" si="131"/>
        <v>0</v>
      </c>
      <c r="CD55" s="80" t="s">
        <v>208</v>
      </c>
      <c r="CE55" s="92">
        <f>CE44+CE46+CE48+CE50+CE52</f>
        <v>0</v>
      </c>
      <c r="CF55" s="92">
        <f t="shared" ref="CF55:CI55" si="132">CF44+CF46+CF48+CF50+CF52</f>
        <v>0</v>
      </c>
      <c r="CG55" s="92">
        <f t="shared" si="132"/>
        <v>0</v>
      </c>
      <c r="CH55" s="92">
        <f t="shared" si="132"/>
        <v>0</v>
      </c>
      <c r="CI55" s="92">
        <f t="shared" si="132"/>
        <v>0</v>
      </c>
      <c r="CL55" s="80" t="s">
        <v>208</v>
      </c>
      <c r="CM55" s="92">
        <f>CM44+CM46+CM48+CM50+CM52</f>
        <v>0</v>
      </c>
      <c r="CN55" s="92">
        <f t="shared" ref="CN55:CQ55" si="133">CN44+CN46+CN48+CN50+CN52</f>
        <v>0</v>
      </c>
      <c r="CO55" s="92">
        <f t="shared" si="133"/>
        <v>0</v>
      </c>
      <c r="CP55" s="92">
        <f t="shared" si="133"/>
        <v>0</v>
      </c>
      <c r="CQ55" s="92">
        <f t="shared" si="133"/>
        <v>0</v>
      </c>
      <c r="CT55" s="80" t="s">
        <v>208</v>
      </c>
      <c r="CU55" s="92">
        <f>CU44+CU46+CU48+CU50+CU52</f>
        <v>0</v>
      </c>
      <c r="CV55" s="92">
        <f t="shared" ref="CV55:CY55" si="134">CV44+CV46+CV48+CV50+CV52</f>
        <v>0</v>
      </c>
      <c r="CW55" s="92">
        <f t="shared" si="134"/>
        <v>0</v>
      </c>
      <c r="CX55" s="92">
        <f t="shared" si="134"/>
        <v>0</v>
      </c>
      <c r="CY55" s="92">
        <f t="shared" si="134"/>
        <v>0</v>
      </c>
      <c r="DB55" s="80" t="s">
        <v>208</v>
      </c>
      <c r="DC55" s="92">
        <f>DC44+DC46+DC48+DC50+DC52</f>
        <v>0</v>
      </c>
      <c r="DD55" s="92">
        <f t="shared" ref="DD55:DG55" si="135">DD44+DD46+DD48+DD50+DD52</f>
        <v>0</v>
      </c>
      <c r="DE55" s="92">
        <f t="shared" si="135"/>
        <v>0</v>
      </c>
      <c r="DF55" s="92">
        <f t="shared" si="135"/>
        <v>0</v>
      </c>
      <c r="DG55" s="92">
        <f t="shared" si="135"/>
        <v>0</v>
      </c>
    </row>
    <row r="56" spans="2:111" ht="15" thickBot="1">
      <c r="B56" s="508" t="str">
        <f>cen_prop2</f>
        <v>Drug 2 only</v>
      </c>
      <c r="C56" s="509"/>
      <c r="D56" s="509"/>
      <c r="E56" s="509"/>
      <c r="F56" s="509"/>
      <c r="G56" s="510"/>
      <c r="J56" s="508" t="str">
        <f>cen_prop2</f>
        <v>Drug 2 only</v>
      </c>
      <c r="K56" s="509"/>
      <c r="L56" s="509"/>
      <c r="M56" s="509"/>
      <c r="N56" s="509"/>
      <c r="O56" s="510"/>
      <c r="R56" s="508" t="str">
        <f>cen_prop2</f>
        <v>Drug 2 only</v>
      </c>
      <c r="S56" s="509"/>
      <c r="T56" s="509"/>
      <c r="U56" s="509"/>
      <c r="V56" s="509"/>
      <c r="W56" s="510"/>
      <c r="Z56" s="508" t="str">
        <f>cen_prop2</f>
        <v>Drug 2 only</v>
      </c>
      <c r="AA56" s="509"/>
      <c r="AB56" s="509"/>
      <c r="AC56" s="509"/>
      <c r="AD56" s="509"/>
      <c r="AE56" s="510"/>
      <c r="AH56" s="508" t="str">
        <f>cen_prop2</f>
        <v>Drug 2 only</v>
      </c>
      <c r="AI56" s="509"/>
      <c r="AJ56" s="509"/>
      <c r="AK56" s="509"/>
      <c r="AL56" s="509"/>
      <c r="AM56" s="510"/>
      <c r="AP56" s="508" t="str">
        <f>cen_prop2</f>
        <v>Drug 2 only</v>
      </c>
      <c r="AQ56" s="509"/>
      <c r="AR56" s="509"/>
      <c r="AS56" s="509"/>
      <c r="AT56" s="509"/>
      <c r="AU56" s="510"/>
      <c r="AX56" s="508" t="str">
        <f>cen_prop2</f>
        <v>Drug 2 only</v>
      </c>
      <c r="AY56" s="509"/>
      <c r="AZ56" s="509"/>
      <c r="BA56" s="509"/>
      <c r="BB56" s="509"/>
      <c r="BC56" s="510"/>
      <c r="BF56" s="508" t="str">
        <f>cen_prop2</f>
        <v>Drug 2 only</v>
      </c>
      <c r="BG56" s="509"/>
      <c r="BH56" s="509"/>
      <c r="BI56" s="509"/>
      <c r="BJ56" s="509"/>
      <c r="BK56" s="510"/>
      <c r="BN56" s="508" t="str">
        <f>cen_prop2</f>
        <v>Drug 2 only</v>
      </c>
      <c r="BO56" s="509"/>
      <c r="BP56" s="509"/>
      <c r="BQ56" s="509"/>
      <c r="BR56" s="509"/>
      <c r="BS56" s="510"/>
      <c r="BV56" s="508" t="str">
        <f>cen_prop2</f>
        <v>Drug 2 only</v>
      </c>
      <c r="BW56" s="509"/>
      <c r="BX56" s="509"/>
      <c r="BY56" s="509"/>
      <c r="BZ56" s="509"/>
      <c r="CA56" s="510"/>
      <c r="CD56" s="508" t="str">
        <f>cen_prop2</f>
        <v>Drug 2 only</v>
      </c>
      <c r="CE56" s="509"/>
      <c r="CF56" s="509"/>
      <c r="CG56" s="509"/>
      <c r="CH56" s="509"/>
      <c r="CI56" s="510"/>
      <c r="CL56" s="508" t="str">
        <f>cen_prop2</f>
        <v>Drug 2 only</v>
      </c>
      <c r="CM56" s="509"/>
      <c r="CN56" s="509"/>
      <c r="CO56" s="509"/>
      <c r="CP56" s="509"/>
      <c r="CQ56" s="510"/>
      <c r="CT56" s="508" t="str">
        <f>cen_prop2</f>
        <v>Drug 2 only</v>
      </c>
      <c r="CU56" s="509"/>
      <c r="CV56" s="509"/>
      <c r="CW56" s="509"/>
      <c r="CX56" s="509"/>
      <c r="CY56" s="510"/>
      <c r="DB56" s="508" t="str">
        <f>cen_prop2</f>
        <v>Drug 2 only</v>
      </c>
      <c r="DC56" s="509"/>
      <c r="DD56" s="509"/>
      <c r="DE56" s="509"/>
      <c r="DF56" s="509"/>
      <c r="DG56" s="510"/>
    </row>
    <row r="57" spans="2:111">
      <c r="B57" s="84"/>
      <c r="C57" s="101">
        <f>ano_1</f>
        <v>2026</v>
      </c>
      <c r="D57" s="101">
        <f>C57+1</f>
        <v>2027</v>
      </c>
      <c r="E57" s="101">
        <f t="shared" ref="E57:G57" si="136">D57+1</f>
        <v>2028</v>
      </c>
      <c r="F57" s="101">
        <f t="shared" si="136"/>
        <v>2029</v>
      </c>
      <c r="G57" s="102">
        <f t="shared" si="136"/>
        <v>2030</v>
      </c>
      <c r="J57" s="84"/>
      <c r="K57" s="101">
        <f>ano_1</f>
        <v>2026</v>
      </c>
      <c r="L57" s="101">
        <f>K57+1</f>
        <v>2027</v>
      </c>
      <c r="M57" s="101">
        <f t="shared" ref="M57" si="137">L57+1</f>
        <v>2028</v>
      </c>
      <c r="N57" s="101">
        <f t="shared" ref="N57" si="138">M57+1</f>
        <v>2029</v>
      </c>
      <c r="O57" s="102">
        <f t="shared" ref="O57" si="139">N57+1</f>
        <v>2030</v>
      </c>
      <c r="R57" s="84"/>
      <c r="S57" s="101">
        <f>ano_1</f>
        <v>2026</v>
      </c>
      <c r="T57" s="101">
        <f>S57+1</f>
        <v>2027</v>
      </c>
      <c r="U57" s="101">
        <f t="shared" ref="U57" si="140">T57+1</f>
        <v>2028</v>
      </c>
      <c r="V57" s="101">
        <f t="shared" ref="V57" si="141">U57+1</f>
        <v>2029</v>
      </c>
      <c r="W57" s="102">
        <f t="shared" ref="W57" si="142">V57+1</f>
        <v>2030</v>
      </c>
      <c r="Z57" s="84"/>
      <c r="AA57" s="101">
        <f>ano_1</f>
        <v>2026</v>
      </c>
      <c r="AB57" s="101">
        <f>AA57+1</f>
        <v>2027</v>
      </c>
      <c r="AC57" s="101">
        <f t="shared" ref="AC57" si="143">AB57+1</f>
        <v>2028</v>
      </c>
      <c r="AD57" s="101">
        <f t="shared" ref="AD57" si="144">AC57+1</f>
        <v>2029</v>
      </c>
      <c r="AE57" s="102">
        <f t="shared" ref="AE57" si="145">AD57+1</f>
        <v>2030</v>
      </c>
      <c r="AH57" s="84"/>
      <c r="AI57" s="101">
        <f>ano_1</f>
        <v>2026</v>
      </c>
      <c r="AJ57" s="101">
        <f>AI57+1</f>
        <v>2027</v>
      </c>
      <c r="AK57" s="101">
        <f t="shared" ref="AK57" si="146">AJ57+1</f>
        <v>2028</v>
      </c>
      <c r="AL57" s="101">
        <f t="shared" ref="AL57" si="147">AK57+1</f>
        <v>2029</v>
      </c>
      <c r="AM57" s="102">
        <f t="shared" ref="AM57" si="148">AL57+1</f>
        <v>2030</v>
      </c>
      <c r="AP57" s="84"/>
      <c r="AQ57" s="101">
        <f>ano_1</f>
        <v>2026</v>
      </c>
      <c r="AR57" s="101">
        <f>AQ57+1</f>
        <v>2027</v>
      </c>
      <c r="AS57" s="101">
        <f t="shared" ref="AS57" si="149">AR57+1</f>
        <v>2028</v>
      </c>
      <c r="AT57" s="101">
        <f t="shared" ref="AT57" si="150">AS57+1</f>
        <v>2029</v>
      </c>
      <c r="AU57" s="102">
        <f t="shared" ref="AU57" si="151">AT57+1</f>
        <v>2030</v>
      </c>
      <c r="AX57" s="84"/>
      <c r="AY57" s="101">
        <f>ano_1</f>
        <v>2026</v>
      </c>
      <c r="AZ57" s="101">
        <f>AY57+1</f>
        <v>2027</v>
      </c>
      <c r="BA57" s="101">
        <f t="shared" ref="BA57" si="152">AZ57+1</f>
        <v>2028</v>
      </c>
      <c r="BB57" s="101">
        <f t="shared" ref="BB57" si="153">BA57+1</f>
        <v>2029</v>
      </c>
      <c r="BC57" s="102">
        <f t="shared" ref="BC57" si="154">BB57+1</f>
        <v>2030</v>
      </c>
      <c r="BF57" s="84"/>
      <c r="BG57" s="101">
        <f>ano_1</f>
        <v>2026</v>
      </c>
      <c r="BH57" s="101">
        <f>BG57+1</f>
        <v>2027</v>
      </c>
      <c r="BI57" s="101">
        <f t="shared" ref="BI57" si="155">BH57+1</f>
        <v>2028</v>
      </c>
      <c r="BJ57" s="101">
        <f t="shared" ref="BJ57" si="156">BI57+1</f>
        <v>2029</v>
      </c>
      <c r="BK57" s="102">
        <f t="shared" ref="BK57" si="157">BJ57+1</f>
        <v>2030</v>
      </c>
      <c r="BN57" s="84"/>
      <c r="BO57" s="101">
        <f>ano_1</f>
        <v>2026</v>
      </c>
      <c r="BP57" s="101">
        <f>BO57+1</f>
        <v>2027</v>
      </c>
      <c r="BQ57" s="101">
        <f t="shared" ref="BQ57" si="158">BP57+1</f>
        <v>2028</v>
      </c>
      <c r="BR57" s="101">
        <f t="shared" ref="BR57" si="159">BQ57+1</f>
        <v>2029</v>
      </c>
      <c r="BS57" s="102">
        <f t="shared" ref="BS57" si="160">BR57+1</f>
        <v>2030</v>
      </c>
      <c r="BV57" s="84"/>
      <c r="BW57" s="101">
        <f>ano_1</f>
        <v>2026</v>
      </c>
      <c r="BX57" s="101">
        <f>BW57+1</f>
        <v>2027</v>
      </c>
      <c r="BY57" s="101">
        <f t="shared" ref="BY57" si="161">BX57+1</f>
        <v>2028</v>
      </c>
      <c r="BZ57" s="101">
        <f t="shared" ref="BZ57" si="162">BY57+1</f>
        <v>2029</v>
      </c>
      <c r="CA57" s="102">
        <f t="shared" ref="CA57" si="163">BZ57+1</f>
        <v>2030</v>
      </c>
      <c r="CD57" s="84"/>
      <c r="CE57" s="101">
        <f>ano_1</f>
        <v>2026</v>
      </c>
      <c r="CF57" s="101">
        <f>CE57+1</f>
        <v>2027</v>
      </c>
      <c r="CG57" s="101">
        <f t="shared" ref="CG57" si="164">CF57+1</f>
        <v>2028</v>
      </c>
      <c r="CH57" s="101">
        <f t="shared" ref="CH57" si="165">CG57+1</f>
        <v>2029</v>
      </c>
      <c r="CI57" s="102">
        <f t="shared" ref="CI57" si="166">CH57+1</f>
        <v>2030</v>
      </c>
      <c r="CL57" s="84"/>
      <c r="CM57" s="101">
        <f>ano_1</f>
        <v>2026</v>
      </c>
      <c r="CN57" s="101">
        <f>CM57+1</f>
        <v>2027</v>
      </c>
      <c r="CO57" s="101">
        <f t="shared" ref="CO57" si="167">CN57+1</f>
        <v>2028</v>
      </c>
      <c r="CP57" s="101">
        <f t="shared" ref="CP57" si="168">CO57+1</f>
        <v>2029</v>
      </c>
      <c r="CQ57" s="102">
        <f t="shared" ref="CQ57" si="169">CP57+1</f>
        <v>2030</v>
      </c>
      <c r="CT57" s="84"/>
      <c r="CU57" s="101">
        <f>ano_1</f>
        <v>2026</v>
      </c>
      <c r="CV57" s="101">
        <f>CU57+1</f>
        <v>2027</v>
      </c>
      <c r="CW57" s="101">
        <f t="shared" ref="CW57" si="170">CV57+1</f>
        <v>2028</v>
      </c>
      <c r="CX57" s="101">
        <f t="shared" ref="CX57" si="171">CW57+1</f>
        <v>2029</v>
      </c>
      <c r="CY57" s="102">
        <f t="shared" ref="CY57" si="172">CX57+1</f>
        <v>2030</v>
      </c>
      <c r="DB57" s="84"/>
      <c r="DC57" s="101">
        <f>ano_1</f>
        <v>2026</v>
      </c>
      <c r="DD57" s="101">
        <f>DC57+1</f>
        <v>2027</v>
      </c>
      <c r="DE57" s="101">
        <f t="shared" ref="DE57" si="173">DD57+1</f>
        <v>2028</v>
      </c>
      <c r="DF57" s="101">
        <f t="shared" ref="DF57" si="174">DE57+1</f>
        <v>2029</v>
      </c>
      <c r="DG57" s="102">
        <f t="shared" ref="DG57" si="175">DF57+1</f>
        <v>2030</v>
      </c>
    </row>
    <row r="58" spans="2:111">
      <c r="B58" s="87" t="s">
        <v>170</v>
      </c>
      <c r="C58" s="80">
        <f>C$7*'Mkt share'!$C$62</f>
        <v>0</v>
      </c>
      <c r="D58" s="80">
        <f>C$8*'Mkt share'!$C$62</f>
        <v>0</v>
      </c>
      <c r="E58" s="80">
        <f>C$11*'Mkt share'!$C$62</f>
        <v>0</v>
      </c>
      <c r="F58" s="80">
        <f>C$14*'Mkt share'!$C$62</f>
        <v>0</v>
      </c>
      <c r="G58" s="88">
        <f>C$17*'Mkt share'!$C$62</f>
        <v>0</v>
      </c>
      <c r="J58" s="87" t="s">
        <v>170</v>
      </c>
      <c r="K58" s="80">
        <f>K$7*'Mkt share'!$C$63</f>
        <v>13.699849530000002</v>
      </c>
      <c r="L58" s="80">
        <f>K$8*'Mkt share'!$C$63</f>
        <v>13.425852539400001</v>
      </c>
      <c r="M58" s="80">
        <f>K$11*'Mkt share'!$C$63</f>
        <v>13.151855548800002</v>
      </c>
      <c r="N58" s="80">
        <f>K$14*'Mkt share'!$C$63</f>
        <v>12.603861567600003</v>
      </c>
      <c r="O58" s="88">
        <f>K$17*'Mkt share'!$C$63</f>
        <v>12.329864577</v>
      </c>
      <c r="R58" s="87" t="s">
        <v>170</v>
      </c>
      <c r="S58" s="80">
        <f>S$7*'Mkt share'!$C$64</f>
        <v>0</v>
      </c>
      <c r="T58" s="80">
        <f>S$8*'Mkt share'!$C$64</f>
        <v>0</v>
      </c>
      <c r="U58" s="80">
        <f>S$11*'Mkt share'!$C$64</f>
        <v>0</v>
      </c>
      <c r="V58" s="80">
        <f>S$14*'Mkt share'!$C$64</f>
        <v>0</v>
      </c>
      <c r="W58" s="88">
        <f>S$17*'Mkt share'!$C$64</f>
        <v>0</v>
      </c>
      <c r="Z58" s="87" t="s">
        <v>170</v>
      </c>
      <c r="AA58" s="80">
        <f>AA$7*'Mkt share'!$C$65</f>
        <v>0</v>
      </c>
      <c r="AB58" s="80">
        <f>AA$8*'Mkt share'!$C$65</f>
        <v>0</v>
      </c>
      <c r="AC58" s="80">
        <f>AA$11*'Mkt share'!$C$65</f>
        <v>0</v>
      </c>
      <c r="AD58" s="80">
        <f>AA$14*'Mkt share'!$C$65</f>
        <v>0</v>
      </c>
      <c r="AE58" s="88">
        <f>AA$17*'Mkt share'!$C$65</f>
        <v>0</v>
      </c>
      <c r="AH58" s="87" t="s">
        <v>170</v>
      </c>
      <c r="AI58" s="80">
        <f>AI$7*'Mkt share'!$C$66</f>
        <v>671.29262697000001</v>
      </c>
      <c r="AJ58" s="80">
        <f>AI$8*'Mkt share'!$C$66</f>
        <v>671.29262697000001</v>
      </c>
      <c r="AK58" s="80">
        <f>AI$11*'Mkt share'!$C$66</f>
        <v>671.29262697000001</v>
      </c>
      <c r="AL58" s="80">
        <f>AI$14*'Mkt share'!$C$66</f>
        <v>671.29262697000001</v>
      </c>
      <c r="AM58" s="88">
        <f>AI$17*'Mkt share'!$C$66</f>
        <v>671.29262697000001</v>
      </c>
      <c r="AP58" s="87" t="s">
        <v>170</v>
      </c>
      <c r="AQ58" s="80">
        <f>AQ$7*'Mkt share'!$C$67</f>
        <v>0</v>
      </c>
      <c r="AR58" s="80">
        <f>AQ$8*'Mkt share'!$C$67</f>
        <v>0</v>
      </c>
      <c r="AS58" s="80">
        <f>AQ$11*'Mkt share'!$C$67</f>
        <v>0</v>
      </c>
      <c r="AT58" s="80">
        <f>AQ$14*'Mkt share'!$C$67</f>
        <v>0</v>
      </c>
      <c r="AU58" s="88">
        <f>AQ$17*'Mkt share'!$C$67</f>
        <v>0</v>
      </c>
      <c r="AX58" s="87" t="s">
        <v>170</v>
      </c>
      <c r="AY58" s="80">
        <f>AY$7*'Mkt share'!$C$68</f>
        <v>0</v>
      </c>
      <c r="AZ58" s="80">
        <f>AY$8*'Mkt share'!$C$68</f>
        <v>0</v>
      </c>
      <c r="BA58" s="80">
        <f>AY$11*'Mkt share'!$C$68</f>
        <v>0</v>
      </c>
      <c r="BB58" s="80">
        <f>AY$14*'Mkt share'!$C$68</f>
        <v>0</v>
      </c>
      <c r="BC58" s="88">
        <f>AY$17*'Mkt share'!$C$68</f>
        <v>0</v>
      </c>
      <c r="BF58" s="87" t="s">
        <v>170</v>
      </c>
      <c r="BG58" s="80">
        <f>BG$7*'Mkt share'!$C$69</f>
        <v>0</v>
      </c>
      <c r="BH58" s="80">
        <f>BG$8*'Mkt share'!$C$69</f>
        <v>0</v>
      </c>
      <c r="BI58" s="80">
        <f>BG$11*'Mkt share'!$C$69</f>
        <v>0</v>
      </c>
      <c r="BJ58" s="80">
        <f>BG$14*'Mkt share'!$C$69</f>
        <v>0</v>
      </c>
      <c r="BK58" s="88">
        <f>BG$17*'Mkt share'!$C$69</f>
        <v>0</v>
      </c>
      <c r="BN58" s="87" t="s">
        <v>170</v>
      </c>
      <c r="BO58" s="80">
        <f>BO$7*'Mkt share'!$C$70</f>
        <v>0</v>
      </c>
      <c r="BP58" s="80">
        <f>BO$8*'Mkt share'!$C$70</f>
        <v>0</v>
      </c>
      <c r="BQ58" s="80">
        <f>BO$11*'Mkt share'!$C$70</f>
        <v>0</v>
      </c>
      <c r="BR58" s="80">
        <f>BO$14*'Mkt share'!$C$70</f>
        <v>0</v>
      </c>
      <c r="BS58" s="88">
        <f>BO$17*'Mkt share'!$C$70</f>
        <v>0</v>
      </c>
      <c r="BV58" s="87" t="s">
        <v>170</v>
      </c>
      <c r="BW58" s="80">
        <f>BW$7*'Mkt share'!$C$71</f>
        <v>0</v>
      </c>
      <c r="BX58" s="80">
        <f>BW$8*'Mkt share'!$C$71</f>
        <v>0</v>
      </c>
      <c r="BY58" s="80">
        <f>BW$11*'Mkt share'!$C$71</f>
        <v>0</v>
      </c>
      <c r="BZ58" s="80">
        <f>BW$14*'Mkt share'!$C$71</f>
        <v>0</v>
      </c>
      <c r="CA58" s="88">
        <f>BW$17*'Mkt share'!$C$71</f>
        <v>0</v>
      </c>
      <c r="CD58" s="87" t="s">
        <v>170</v>
      </c>
      <c r="CE58" s="80">
        <f>CE$7*'Mkt share'!$C$72</f>
        <v>0</v>
      </c>
      <c r="CF58" s="80">
        <f>CE$8*'Mkt share'!$C$72</f>
        <v>0</v>
      </c>
      <c r="CG58" s="80">
        <f>CE$11*'Mkt share'!$C$72</f>
        <v>0</v>
      </c>
      <c r="CH58" s="80">
        <f>CE$14*'Mkt share'!$C$72</f>
        <v>0</v>
      </c>
      <c r="CI58" s="88">
        <f>CE$17*'Mkt share'!$C$72</f>
        <v>0</v>
      </c>
      <c r="CL58" s="87" t="s">
        <v>170</v>
      </c>
      <c r="CM58" s="80">
        <f>CM$7*'Mkt share'!$C$73</f>
        <v>0</v>
      </c>
      <c r="CN58" s="80">
        <f>CM$8*'Mkt share'!$C$73</f>
        <v>0</v>
      </c>
      <c r="CO58" s="80">
        <f>CM$11*'Mkt share'!$C$73</f>
        <v>0</v>
      </c>
      <c r="CP58" s="80">
        <f>CM$14*'Mkt share'!$C$73</f>
        <v>0</v>
      </c>
      <c r="CQ58" s="88">
        <f>CM$17*'Mkt share'!$C$73</f>
        <v>0</v>
      </c>
      <c r="CT58" s="87" t="s">
        <v>170</v>
      </c>
      <c r="CU58" s="80">
        <f>CU$7*'Mkt share'!$C$74</f>
        <v>0</v>
      </c>
      <c r="CV58" s="80">
        <f>CU$8*'Mkt share'!$C$74</f>
        <v>0</v>
      </c>
      <c r="CW58" s="80">
        <f>CU$11*'Mkt share'!$C$74</f>
        <v>0</v>
      </c>
      <c r="CX58" s="80">
        <f>CU$14*'Mkt share'!$C$74</f>
        <v>0</v>
      </c>
      <c r="CY58" s="88">
        <f>CU$17*'Mkt share'!$C$74</f>
        <v>0</v>
      </c>
      <c r="DB58" s="87" t="s">
        <v>170</v>
      </c>
      <c r="DC58" s="80">
        <f>DC$7*'Mkt share'!$C$75</f>
        <v>0</v>
      </c>
      <c r="DD58" s="80">
        <f>DC$8*'Mkt share'!$C$75</f>
        <v>0</v>
      </c>
      <c r="DE58" s="80">
        <f>DC$11*'Mkt share'!$C$75</f>
        <v>0</v>
      </c>
      <c r="DF58" s="80">
        <f>DC$14*'Mkt share'!$C$75</f>
        <v>0</v>
      </c>
      <c r="DG58" s="88">
        <f>DC$17*'Mkt share'!$C$75</f>
        <v>0</v>
      </c>
    </row>
    <row r="59" spans="2:111">
      <c r="B59" s="87" t="s">
        <v>175</v>
      </c>
      <c r="C59" s="105">
        <v>0</v>
      </c>
      <c r="D59" s="80">
        <f>C$10*'Mkt share'!$C$62</f>
        <v>0</v>
      </c>
      <c r="E59" s="80">
        <f>C$13*'Mkt share'!$C$62</f>
        <v>0</v>
      </c>
      <c r="F59" s="80">
        <f>C$16*'Mkt share'!$C$62</f>
        <v>0</v>
      </c>
      <c r="G59" s="88">
        <f>C$19*'Mkt share'!$C$62</f>
        <v>0</v>
      </c>
      <c r="J59" s="87" t="s">
        <v>175</v>
      </c>
      <c r="K59" s="105">
        <v>0</v>
      </c>
      <c r="L59" s="80">
        <f>K$10*'Mkt share'!$C$63</f>
        <v>0.27399699060000104</v>
      </c>
      <c r="M59" s="80">
        <f>K$13*'Mkt share'!$C$63</f>
        <v>0.41099548589999962</v>
      </c>
      <c r="N59" s="80">
        <f>K$16*'Mkt share'!$C$63</f>
        <v>0.82199097179999925</v>
      </c>
      <c r="O59" s="88">
        <f>K$19*'Mkt share'!$C$63</f>
        <v>0.95898946710000021</v>
      </c>
      <c r="R59" s="87" t="s">
        <v>175</v>
      </c>
      <c r="S59" s="105">
        <v>0</v>
      </c>
      <c r="T59" s="80">
        <f>S$10*'Mkt share'!$C$64</f>
        <v>0</v>
      </c>
      <c r="U59" s="80">
        <f>S$13*'Mkt share'!$C$64</f>
        <v>0</v>
      </c>
      <c r="V59" s="80">
        <f>S$16*'Mkt share'!$C$64</f>
        <v>0</v>
      </c>
      <c r="W59" s="88">
        <f>S$19*'Mkt share'!$C$64</f>
        <v>0</v>
      </c>
      <c r="Z59" s="87" t="s">
        <v>175</v>
      </c>
      <c r="AA59" s="105">
        <v>0</v>
      </c>
      <c r="AB59" s="80">
        <f>AA$10*'Mkt share'!$C$65</f>
        <v>0</v>
      </c>
      <c r="AC59" s="80">
        <f>AA$13*'Mkt share'!$C$65</f>
        <v>0</v>
      </c>
      <c r="AD59" s="80">
        <f>AA$16*'Mkt share'!$C$65</f>
        <v>0</v>
      </c>
      <c r="AE59" s="88">
        <f>AA$19*'Mkt share'!$C$65</f>
        <v>0</v>
      </c>
      <c r="AH59" s="87" t="s">
        <v>175</v>
      </c>
      <c r="AI59" s="105">
        <v>0</v>
      </c>
      <c r="AJ59" s="80">
        <f>AI$10*'Mkt share'!$C$66</f>
        <v>0</v>
      </c>
      <c r="AK59" s="80">
        <f>AI$13*'Mkt share'!$C$66</f>
        <v>0</v>
      </c>
      <c r="AL59" s="80">
        <f>AI$16*'Mkt share'!$C$66</f>
        <v>0</v>
      </c>
      <c r="AM59" s="88">
        <f>AI$19*'Mkt share'!$C$66</f>
        <v>0</v>
      </c>
      <c r="AP59" s="87" t="s">
        <v>175</v>
      </c>
      <c r="AQ59" s="105">
        <v>0</v>
      </c>
      <c r="AR59" s="80">
        <f>AQ$10*'Mkt share'!$C$67</f>
        <v>0</v>
      </c>
      <c r="AS59" s="80">
        <f>AQ$13*'Mkt share'!$C$67</f>
        <v>0</v>
      </c>
      <c r="AT59" s="80">
        <f>AQ$16*'Mkt share'!$C$67</f>
        <v>0</v>
      </c>
      <c r="AU59" s="88">
        <f>AQ$19*'Mkt share'!$C$67</f>
        <v>0</v>
      </c>
      <c r="AX59" s="87" t="s">
        <v>175</v>
      </c>
      <c r="AY59" s="105">
        <v>0</v>
      </c>
      <c r="AZ59" s="80">
        <f>AY$10*'Mkt share'!$C$68</f>
        <v>0</v>
      </c>
      <c r="BA59" s="80">
        <f>AY$13*'Mkt share'!$C$68</f>
        <v>0</v>
      </c>
      <c r="BB59" s="80">
        <f>AY$16*'Mkt share'!$C$68</f>
        <v>0</v>
      </c>
      <c r="BC59" s="88">
        <f>AY$19*'Mkt share'!$C$68</f>
        <v>0</v>
      </c>
      <c r="BF59" s="87" t="s">
        <v>175</v>
      </c>
      <c r="BG59" s="105">
        <v>0</v>
      </c>
      <c r="BH59" s="80">
        <f>BG$10*'Mkt share'!$C$69</f>
        <v>0</v>
      </c>
      <c r="BI59" s="80">
        <f>BG$13*'Mkt share'!$C$69</f>
        <v>0</v>
      </c>
      <c r="BJ59" s="80">
        <f>BG$16*'Mkt share'!$C$69</f>
        <v>0</v>
      </c>
      <c r="BK59" s="88">
        <f>BG$19*'Mkt share'!$C$69</f>
        <v>0</v>
      </c>
      <c r="BN59" s="87" t="s">
        <v>175</v>
      </c>
      <c r="BO59" s="105">
        <v>0</v>
      </c>
      <c r="BP59" s="80">
        <f>BO$10*'Mkt share'!$C$70</f>
        <v>0</v>
      </c>
      <c r="BQ59" s="80">
        <f>BO$13*'Mkt share'!$C$70</f>
        <v>0</v>
      </c>
      <c r="BR59" s="80">
        <f>BO$16*'Mkt share'!$C$70</f>
        <v>0</v>
      </c>
      <c r="BS59" s="88">
        <f>BO$19*'Mkt share'!$C$70</f>
        <v>0</v>
      </c>
      <c r="BV59" s="87" t="s">
        <v>175</v>
      </c>
      <c r="BW59" s="105">
        <v>0</v>
      </c>
      <c r="BX59" s="80">
        <f>BW$10*'Mkt share'!$C$71</f>
        <v>0</v>
      </c>
      <c r="BY59" s="80">
        <f>BW$13*'Mkt share'!$C$71</f>
        <v>0</v>
      </c>
      <c r="BZ59" s="80">
        <f>BW$16*'Mkt share'!$C$71</f>
        <v>0</v>
      </c>
      <c r="CA59" s="88">
        <f>BW$19*'Mkt share'!$C$71</f>
        <v>0</v>
      </c>
      <c r="CD59" s="87" t="s">
        <v>175</v>
      </c>
      <c r="CE59" s="105">
        <v>0</v>
      </c>
      <c r="CF59" s="80">
        <f>CE$10*'Mkt share'!$C$72</f>
        <v>0</v>
      </c>
      <c r="CG59" s="80">
        <f>CE$13*'Mkt share'!$C$72</f>
        <v>0</v>
      </c>
      <c r="CH59" s="80">
        <f>CE$16*'Mkt share'!$C$72</f>
        <v>0</v>
      </c>
      <c r="CI59" s="88">
        <f>CE$19*'Mkt share'!$C$72</f>
        <v>0</v>
      </c>
      <c r="CL59" s="87" t="s">
        <v>175</v>
      </c>
      <c r="CM59" s="105">
        <v>0</v>
      </c>
      <c r="CN59" s="80">
        <f>CM$10*'Mkt share'!$C$73</f>
        <v>0</v>
      </c>
      <c r="CO59" s="80">
        <f>CM$13*'Mkt share'!$C$73</f>
        <v>0</v>
      </c>
      <c r="CP59" s="80">
        <f>CM$16*'Mkt share'!$C$73</f>
        <v>0</v>
      </c>
      <c r="CQ59" s="88">
        <f>CM$19*'Mkt share'!$C$73</f>
        <v>0</v>
      </c>
      <c r="CT59" s="87" t="s">
        <v>175</v>
      </c>
      <c r="CU59" s="105">
        <v>0</v>
      </c>
      <c r="CV59" s="80">
        <f>CU$10*'Mkt share'!$C$74</f>
        <v>0</v>
      </c>
      <c r="CW59" s="80">
        <f>CU$13*'Mkt share'!$C$74</f>
        <v>0</v>
      </c>
      <c r="CX59" s="80">
        <f>CU$16*'Mkt share'!$C$74</f>
        <v>0</v>
      </c>
      <c r="CY59" s="88">
        <f>CU$19*'Mkt share'!$C$74</f>
        <v>0</v>
      </c>
      <c r="DB59" s="87" t="s">
        <v>175</v>
      </c>
      <c r="DC59" s="105">
        <v>0</v>
      </c>
      <c r="DD59" s="80">
        <f>DC$10*'Mkt share'!$C$75</f>
        <v>0</v>
      </c>
      <c r="DE59" s="80">
        <f>DC$13*'Mkt share'!$C$75</f>
        <v>0</v>
      </c>
      <c r="DF59" s="80">
        <f>DC$16*'Mkt share'!$C$75</f>
        <v>0</v>
      </c>
      <c r="DG59" s="88">
        <f>DC$19*'Mkt share'!$C$75</f>
        <v>0</v>
      </c>
    </row>
    <row r="60" spans="2:111">
      <c r="B60" s="87" t="s">
        <v>171</v>
      </c>
      <c r="C60" s="103"/>
      <c r="D60" s="80">
        <f>D$7*'Mkt share'!$D$62</f>
        <v>0</v>
      </c>
      <c r="E60" s="80">
        <f>D$8*'Mkt share'!$D$62</f>
        <v>0</v>
      </c>
      <c r="F60" s="80">
        <f>D$11*'Mkt share'!$D$62</f>
        <v>0</v>
      </c>
      <c r="G60" s="88">
        <f>D$14*'Mkt share'!$D$62</f>
        <v>0</v>
      </c>
      <c r="J60" s="87" t="s">
        <v>171</v>
      </c>
      <c r="K60" s="103"/>
      <c r="L60" s="80">
        <f>L$7*'Mkt share'!$D$63</f>
        <v>55.229747250000003</v>
      </c>
      <c r="M60" s="80">
        <f>L$8*'Mkt share'!$D$63</f>
        <v>54.125152305</v>
      </c>
      <c r="N60" s="80">
        <f>L$11*'Mkt share'!$D$63</f>
        <v>53.020557360000005</v>
      </c>
      <c r="O60" s="88">
        <f>L$14*'Mkt share'!$D$63</f>
        <v>50.811367470000008</v>
      </c>
      <c r="R60" s="87" t="s">
        <v>171</v>
      </c>
      <c r="S60" s="103"/>
      <c r="T60" s="80">
        <f>T$7*'Mkt share'!$D$64</f>
        <v>0</v>
      </c>
      <c r="U60" s="80">
        <f>T$8*'Mkt share'!$D$64</f>
        <v>0</v>
      </c>
      <c r="V60" s="80">
        <f>T$11*'Mkt share'!$D$64</f>
        <v>0</v>
      </c>
      <c r="W60" s="88">
        <f>T$14*'Mkt share'!$D$64</f>
        <v>0</v>
      </c>
      <c r="Z60" s="87" t="s">
        <v>171</v>
      </c>
      <c r="AA60" s="103"/>
      <c r="AB60" s="80">
        <f>AB$7*'Mkt share'!$D$65</f>
        <v>0</v>
      </c>
      <c r="AC60" s="80">
        <f>AB$8*'Mkt share'!$D$65</f>
        <v>0</v>
      </c>
      <c r="AD60" s="80">
        <f>AB$11*'Mkt share'!$D$65</f>
        <v>0</v>
      </c>
      <c r="AE60" s="88">
        <f>AB$14*'Mkt share'!$D$65</f>
        <v>0</v>
      </c>
      <c r="AH60" s="87" t="s">
        <v>171</v>
      </c>
      <c r="AI60" s="103"/>
      <c r="AJ60" s="80">
        <f>AJ$7*'Mkt share'!$D$66</f>
        <v>635.14209337500006</v>
      </c>
      <c r="AK60" s="80">
        <f>AJ$8*'Mkt share'!$D$66</f>
        <v>635.14209337500006</v>
      </c>
      <c r="AL60" s="80">
        <f>AJ$11*'Mkt share'!$D$66</f>
        <v>635.14209337500006</v>
      </c>
      <c r="AM60" s="88">
        <f>AJ$14*'Mkt share'!$D$66</f>
        <v>635.14209337500006</v>
      </c>
      <c r="AP60" s="87" t="s">
        <v>171</v>
      </c>
      <c r="AQ60" s="103"/>
      <c r="AR60" s="80">
        <f>AR$7*'Mkt share'!$D$67</f>
        <v>0</v>
      </c>
      <c r="AS60" s="80">
        <f>AR$8*'Mkt share'!$D$67</f>
        <v>0</v>
      </c>
      <c r="AT60" s="80">
        <f>AR$11*'Mkt share'!$D$67</f>
        <v>0</v>
      </c>
      <c r="AU60" s="88">
        <f>AR$14*'Mkt share'!$D$67</f>
        <v>0</v>
      </c>
      <c r="AX60" s="87" t="s">
        <v>171</v>
      </c>
      <c r="AY60" s="103"/>
      <c r="AZ60" s="80">
        <f>AZ$7*'Mkt share'!$D$68</f>
        <v>0</v>
      </c>
      <c r="BA60" s="80">
        <f>AZ$8*'Mkt share'!$D$68</f>
        <v>0</v>
      </c>
      <c r="BB60" s="80">
        <f>AZ$11*'Mkt share'!$D$68</f>
        <v>0</v>
      </c>
      <c r="BC60" s="88">
        <f>AZ$14*'Mkt share'!$D$68</f>
        <v>0</v>
      </c>
      <c r="BF60" s="87" t="s">
        <v>171</v>
      </c>
      <c r="BG60" s="103"/>
      <c r="BH60" s="80">
        <f>BH$7*'Mkt share'!$D$69</f>
        <v>0</v>
      </c>
      <c r="BI60" s="80">
        <f>BH$8*'Mkt share'!$D$69</f>
        <v>0</v>
      </c>
      <c r="BJ60" s="80">
        <f>BH$11*'Mkt share'!$D$69</f>
        <v>0</v>
      </c>
      <c r="BK60" s="88">
        <f>BH$14*'Mkt share'!$D$69</f>
        <v>0</v>
      </c>
      <c r="BN60" s="87" t="s">
        <v>171</v>
      </c>
      <c r="BO60" s="103"/>
      <c r="BP60" s="80">
        <f>BP$7*'Mkt share'!$D$70</f>
        <v>0</v>
      </c>
      <c r="BQ60" s="80">
        <f>BP$8*'Mkt share'!$D$70</f>
        <v>0</v>
      </c>
      <c r="BR60" s="80">
        <f>BP$11*'Mkt share'!$D$70</f>
        <v>0</v>
      </c>
      <c r="BS60" s="88">
        <f>BP$14*'Mkt share'!$D$70</f>
        <v>0</v>
      </c>
      <c r="BV60" s="87" t="s">
        <v>171</v>
      </c>
      <c r="BW60" s="103"/>
      <c r="BX60" s="80">
        <f>BX$7*'Mkt share'!$D$71</f>
        <v>0</v>
      </c>
      <c r="BY60" s="80">
        <f>BX$8*'Mkt share'!$D$71</f>
        <v>0</v>
      </c>
      <c r="BZ60" s="80">
        <f>BX$11*'Mkt share'!$D$71</f>
        <v>0</v>
      </c>
      <c r="CA60" s="88">
        <f>BX$14*'Mkt share'!$D$71</f>
        <v>0</v>
      </c>
      <c r="CD60" s="87" t="s">
        <v>171</v>
      </c>
      <c r="CE60" s="103"/>
      <c r="CF60" s="80">
        <f>CF$7*'Mkt share'!$D$72</f>
        <v>0</v>
      </c>
      <c r="CG60" s="80">
        <f>CF$8*'Mkt share'!$D$72</f>
        <v>0</v>
      </c>
      <c r="CH60" s="80">
        <f>CF$11*'Mkt share'!$D$72</f>
        <v>0</v>
      </c>
      <c r="CI60" s="88">
        <f>CF$14*'Mkt share'!$D$72</f>
        <v>0</v>
      </c>
      <c r="CL60" s="87" t="s">
        <v>171</v>
      </c>
      <c r="CM60" s="103"/>
      <c r="CN60" s="80">
        <f>CN$7*'Mkt share'!$D$73</f>
        <v>0</v>
      </c>
      <c r="CO60" s="80">
        <f>CN$8*'Mkt share'!$D$73</f>
        <v>0</v>
      </c>
      <c r="CP60" s="80">
        <f>CN$11*'Mkt share'!$D$73</f>
        <v>0</v>
      </c>
      <c r="CQ60" s="88">
        <f>CN$14*'Mkt share'!$D$73</f>
        <v>0</v>
      </c>
      <c r="CT60" s="87" t="s">
        <v>171</v>
      </c>
      <c r="CU60" s="103"/>
      <c r="CV60" s="80">
        <f>CV$7*'Mkt share'!$D$74</f>
        <v>0</v>
      </c>
      <c r="CW60" s="80">
        <f>CV$8*'Mkt share'!$D$74</f>
        <v>0</v>
      </c>
      <c r="CX60" s="80">
        <f>CV$11*'Mkt share'!$D$74</f>
        <v>0</v>
      </c>
      <c r="CY60" s="88">
        <f>CV$14*'Mkt share'!$D$74</f>
        <v>0</v>
      </c>
      <c r="DB60" s="87" t="s">
        <v>171</v>
      </c>
      <c r="DC60" s="103"/>
      <c r="DD60" s="80">
        <f>DD$7*'Mkt share'!$D$75</f>
        <v>0</v>
      </c>
      <c r="DE60" s="80">
        <f>DD$8*'Mkt share'!$D$75</f>
        <v>0</v>
      </c>
      <c r="DF60" s="80">
        <f>DD$11*'Mkt share'!$D$75</f>
        <v>0</v>
      </c>
      <c r="DG60" s="88">
        <f>DD$14*'Mkt share'!$D$75</f>
        <v>0</v>
      </c>
    </row>
    <row r="61" spans="2:111">
      <c r="B61" s="87" t="s">
        <v>176</v>
      </c>
      <c r="C61" s="103"/>
      <c r="D61" s="105">
        <v>0</v>
      </c>
      <c r="E61" s="80">
        <f>D$10*'Mkt share'!$D$62</f>
        <v>0</v>
      </c>
      <c r="F61" s="80">
        <f>D$13*'Mkt share'!$D$62</f>
        <v>0</v>
      </c>
      <c r="G61" s="88">
        <f>D$16*'Mkt share'!$D$62</f>
        <v>0</v>
      </c>
      <c r="J61" s="87" t="s">
        <v>176</v>
      </c>
      <c r="K61" s="103"/>
      <c r="L61" s="105">
        <v>0</v>
      </c>
      <c r="M61" s="80">
        <f>L$10*'Mkt share'!$D$63</f>
        <v>1.104594944999999</v>
      </c>
      <c r="N61" s="80">
        <f>L$13*'Mkt share'!$D$63</f>
        <v>1.6568924174999973</v>
      </c>
      <c r="O61" s="88">
        <f>L$16*'Mkt share'!$D$63</f>
        <v>3.3137848349999945</v>
      </c>
      <c r="R61" s="87" t="s">
        <v>176</v>
      </c>
      <c r="S61" s="103"/>
      <c r="T61" s="105">
        <v>0</v>
      </c>
      <c r="U61" s="80">
        <f>T$10*'Mkt share'!$D$64</f>
        <v>0</v>
      </c>
      <c r="V61" s="80">
        <f>T$13*'Mkt share'!$D$64</f>
        <v>0</v>
      </c>
      <c r="W61" s="88">
        <f>T$16*'Mkt share'!$D$64</f>
        <v>0</v>
      </c>
      <c r="Z61" s="87" t="s">
        <v>176</v>
      </c>
      <c r="AA61" s="103"/>
      <c r="AB61" s="105">
        <v>0</v>
      </c>
      <c r="AC61" s="80">
        <f>AB$10*'Mkt share'!$D$65</f>
        <v>0</v>
      </c>
      <c r="AD61" s="80">
        <f>AB$13*'Mkt share'!$D$65</f>
        <v>0</v>
      </c>
      <c r="AE61" s="88">
        <f>AB$16*'Mkt share'!$D$65</f>
        <v>0</v>
      </c>
      <c r="AH61" s="87" t="s">
        <v>176</v>
      </c>
      <c r="AI61" s="103"/>
      <c r="AJ61" s="105">
        <v>0</v>
      </c>
      <c r="AK61" s="80">
        <f>AJ$10*'Mkt share'!$D$66</f>
        <v>0</v>
      </c>
      <c r="AL61" s="80">
        <f>AJ$13*'Mkt share'!$D$66</f>
        <v>0</v>
      </c>
      <c r="AM61" s="88">
        <f>AJ$16*'Mkt share'!$D$66</f>
        <v>0</v>
      </c>
      <c r="AP61" s="87" t="s">
        <v>176</v>
      </c>
      <c r="AQ61" s="103"/>
      <c r="AR61" s="105">
        <v>0</v>
      </c>
      <c r="AS61" s="80">
        <f>AR$10*'Mkt share'!$D$67</f>
        <v>0</v>
      </c>
      <c r="AT61" s="80">
        <f>AR$13*'Mkt share'!$D$67</f>
        <v>0</v>
      </c>
      <c r="AU61" s="88">
        <f>AR$16*'Mkt share'!$D$67</f>
        <v>0</v>
      </c>
      <c r="AX61" s="87" t="s">
        <v>176</v>
      </c>
      <c r="AY61" s="103"/>
      <c r="AZ61" s="105">
        <v>0</v>
      </c>
      <c r="BA61" s="80">
        <f>AZ$10*'Mkt share'!$D$68</f>
        <v>0</v>
      </c>
      <c r="BB61" s="80">
        <f>AZ$13*'Mkt share'!$D$68</f>
        <v>0</v>
      </c>
      <c r="BC61" s="88">
        <f>AZ$16*'Mkt share'!$D$68</f>
        <v>0</v>
      </c>
      <c r="BF61" s="87" t="s">
        <v>176</v>
      </c>
      <c r="BG61" s="103"/>
      <c r="BH61" s="105">
        <v>0</v>
      </c>
      <c r="BI61" s="80">
        <f>BH$10*'Mkt share'!$D$69</f>
        <v>0</v>
      </c>
      <c r="BJ61" s="80">
        <f>BH$13*'Mkt share'!$D$69</f>
        <v>0</v>
      </c>
      <c r="BK61" s="88">
        <f>BH$16*'Mkt share'!$D$69</f>
        <v>0</v>
      </c>
      <c r="BN61" s="87" t="s">
        <v>176</v>
      </c>
      <c r="BO61" s="103"/>
      <c r="BP61" s="105">
        <v>0</v>
      </c>
      <c r="BQ61" s="80">
        <f>BP$10*'Mkt share'!$D$70</f>
        <v>0</v>
      </c>
      <c r="BR61" s="80">
        <f>BP$13*'Mkt share'!$D$70</f>
        <v>0</v>
      </c>
      <c r="BS61" s="88">
        <f>BP$16*'Mkt share'!$D$70</f>
        <v>0</v>
      </c>
      <c r="BV61" s="87" t="s">
        <v>176</v>
      </c>
      <c r="BW61" s="103"/>
      <c r="BX61" s="105">
        <v>0</v>
      </c>
      <c r="BY61" s="80">
        <f>BX$10*'Mkt share'!$D$71</f>
        <v>0</v>
      </c>
      <c r="BZ61" s="80">
        <f>BX$13*'Mkt share'!$D$71</f>
        <v>0</v>
      </c>
      <c r="CA61" s="88">
        <f>BX$16*'Mkt share'!$D$71</f>
        <v>0</v>
      </c>
      <c r="CD61" s="87" t="s">
        <v>176</v>
      </c>
      <c r="CE61" s="103"/>
      <c r="CF61" s="105">
        <v>0</v>
      </c>
      <c r="CG61" s="80">
        <f>CF$10*'Mkt share'!$D$72</f>
        <v>0</v>
      </c>
      <c r="CH61" s="80">
        <f>CF$13*'Mkt share'!$D$72</f>
        <v>0</v>
      </c>
      <c r="CI61" s="88">
        <f>CF$16*'Mkt share'!$D$72</f>
        <v>0</v>
      </c>
      <c r="CL61" s="87" t="s">
        <v>176</v>
      </c>
      <c r="CM61" s="103"/>
      <c r="CN61" s="105">
        <v>0</v>
      </c>
      <c r="CO61" s="80">
        <f>CN$10*'Mkt share'!$D$73</f>
        <v>0</v>
      </c>
      <c r="CP61" s="80">
        <f>CN$13*'Mkt share'!$D$73</f>
        <v>0</v>
      </c>
      <c r="CQ61" s="88">
        <f>CN$16*'Mkt share'!$D$73</f>
        <v>0</v>
      </c>
      <c r="CT61" s="87" t="s">
        <v>176</v>
      </c>
      <c r="CU61" s="103"/>
      <c r="CV61" s="105">
        <v>0</v>
      </c>
      <c r="CW61" s="80">
        <f>CV$10*'Mkt share'!$D$74</f>
        <v>0</v>
      </c>
      <c r="CX61" s="80">
        <f>CV$13*'Mkt share'!$D$74</f>
        <v>0</v>
      </c>
      <c r="CY61" s="88">
        <f>CV$16*'Mkt share'!$D$74</f>
        <v>0</v>
      </c>
      <c r="DB61" s="87" t="s">
        <v>176</v>
      </c>
      <c r="DC61" s="103"/>
      <c r="DD61" s="105">
        <v>0</v>
      </c>
      <c r="DE61" s="80">
        <f>DD$10*'Mkt share'!$D$75</f>
        <v>0</v>
      </c>
      <c r="DF61" s="80">
        <f>DD$13*'Mkt share'!$D$75</f>
        <v>0</v>
      </c>
      <c r="DG61" s="88">
        <f>DD$16*'Mkt share'!$D$75</f>
        <v>0</v>
      </c>
    </row>
    <row r="62" spans="2:111">
      <c r="B62" s="87" t="s">
        <v>172</v>
      </c>
      <c r="C62" s="103"/>
      <c r="D62" s="103"/>
      <c r="E62" s="80">
        <f>E$7*'Mkt share'!$E$62</f>
        <v>0</v>
      </c>
      <c r="F62" s="80">
        <f>E$8*'Mkt share'!$E$62</f>
        <v>0</v>
      </c>
      <c r="G62" s="88">
        <f>E$11*'Mkt share'!$E$62</f>
        <v>0</v>
      </c>
      <c r="J62" s="87" t="s">
        <v>172</v>
      </c>
      <c r="K62" s="103"/>
      <c r="L62" s="103"/>
      <c r="M62" s="80">
        <f>M$7*'Mkt share'!$E$63</f>
        <v>125.20739009250001</v>
      </c>
      <c r="N62" s="80">
        <f>M$8*'Mkt share'!$E$63</f>
        <v>122.70324229065</v>
      </c>
      <c r="O62" s="88">
        <f>M$11*'Mkt share'!$E$63</f>
        <v>120.1990944888</v>
      </c>
      <c r="R62" s="87" t="s">
        <v>172</v>
      </c>
      <c r="S62" s="103"/>
      <c r="T62" s="103"/>
      <c r="U62" s="80">
        <f>U$7*'Mkt share'!$E$64</f>
        <v>0</v>
      </c>
      <c r="V62" s="80">
        <f>U$8*'Mkt share'!$E$64</f>
        <v>0</v>
      </c>
      <c r="W62" s="88">
        <f>U$11*'Mkt share'!$E$64</f>
        <v>0</v>
      </c>
      <c r="Z62" s="87" t="s">
        <v>172</v>
      </c>
      <c r="AA62" s="103"/>
      <c r="AB62" s="103"/>
      <c r="AC62" s="80">
        <f>AC$7*'Mkt share'!$E$65</f>
        <v>0</v>
      </c>
      <c r="AD62" s="80">
        <f>AC$8*'Mkt share'!$E$65</f>
        <v>0</v>
      </c>
      <c r="AE62" s="88">
        <f>AC$11*'Mkt share'!$E$65</f>
        <v>0</v>
      </c>
      <c r="AH62" s="87" t="s">
        <v>172</v>
      </c>
      <c r="AI62" s="103"/>
      <c r="AJ62" s="103"/>
      <c r="AK62" s="80">
        <f>AK$7*'Mkt share'!$E$66</f>
        <v>570.38922153249996</v>
      </c>
      <c r="AL62" s="80">
        <f>AK$8*'Mkt share'!$E$66</f>
        <v>570.38922153249996</v>
      </c>
      <c r="AM62" s="88">
        <f>AK$11*'Mkt share'!$E$66</f>
        <v>570.38922153249996</v>
      </c>
      <c r="AP62" s="87" t="s">
        <v>172</v>
      </c>
      <c r="AQ62" s="103"/>
      <c r="AR62" s="103"/>
      <c r="AS62" s="80">
        <f>AS$7*'Mkt share'!$E$67</f>
        <v>0</v>
      </c>
      <c r="AT62" s="80">
        <f>AS$8*'Mkt share'!$E$67</f>
        <v>0</v>
      </c>
      <c r="AU62" s="88">
        <f>AS$11*'Mkt share'!$E$67</f>
        <v>0</v>
      </c>
      <c r="AX62" s="87" t="s">
        <v>172</v>
      </c>
      <c r="AY62" s="103"/>
      <c r="AZ62" s="103"/>
      <c r="BA62" s="80">
        <f>BA$7*'Mkt share'!$E$68</f>
        <v>0</v>
      </c>
      <c r="BB62" s="80">
        <f>BA$8*'Mkt share'!$E$68</f>
        <v>0</v>
      </c>
      <c r="BC62" s="88">
        <f>BA$11*'Mkt share'!$E$68</f>
        <v>0</v>
      </c>
      <c r="BF62" s="87" t="s">
        <v>172</v>
      </c>
      <c r="BG62" s="103"/>
      <c r="BH62" s="103"/>
      <c r="BI62" s="80">
        <f>BI$7*'Mkt share'!$E$69</f>
        <v>0</v>
      </c>
      <c r="BJ62" s="80">
        <f>BI$8*'Mkt share'!$E$69</f>
        <v>0</v>
      </c>
      <c r="BK62" s="88">
        <f>BI$11*'Mkt share'!$E$69</f>
        <v>0</v>
      </c>
      <c r="BN62" s="87" t="s">
        <v>172</v>
      </c>
      <c r="BO62" s="103"/>
      <c r="BP62" s="103"/>
      <c r="BQ62" s="80">
        <f>BQ$7*'Mkt share'!$E$70</f>
        <v>0</v>
      </c>
      <c r="BR62" s="80">
        <f>BQ$8*'Mkt share'!$E$70</f>
        <v>0</v>
      </c>
      <c r="BS62" s="88">
        <f>BQ$11*'Mkt share'!$E$70</f>
        <v>0</v>
      </c>
      <c r="BV62" s="87" t="s">
        <v>172</v>
      </c>
      <c r="BW62" s="103"/>
      <c r="BX62" s="103"/>
      <c r="BY62" s="80">
        <f>BY$7*'Mkt share'!$E$71</f>
        <v>0</v>
      </c>
      <c r="BZ62" s="80">
        <f>BY$8*'Mkt share'!$E$71</f>
        <v>0</v>
      </c>
      <c r="CA62" s="88">
        <f>BY$11*'Mkt share'!$E$71</f>
        <v>0</v>
      </c>
      <c r="CD62" s="87" t="s">
        <v>172</v>
      </c>
      <c r="CE62" s="103"/>
      <c r="CF62" s="103"/>
      <c r="CG62" s="80">
        <f>CG$7*'Mkt share'!$E$72</f>
        <v>0</v>
      </c>
      <c r="CH62" s="80">
        <f>CG$8*'Mkt share'!$E$72</f>
        <v>0</v>
      </c>
      <c r="CI62" s="88">
        <f>CG$11*'Mkt share'!$E$72</f>
        <v>0</v>
      </c>
      <c r="CL62" s="87" t="s">
        <v>172</v>
      </c>
      <c r="CM62" s="103"/>
      <c r="CN62" s="103"/>
      <c r="CO62" s="80">
        <f>CO$7*'Mkt share'!$E$73</f>
        <v>0</v>
      </c>
      <c r="CP62" s="80">
        <f>CO$8*'Mkt share'!$E$73</f>
        <v>0</v>
      </c>
      <c r="CQ62" s="88">
        <f>CO$11*'Mkt share'!$E$73</f>
        <v>0</v>
      </c>
      <c r="CT62" s="87" t="s">
        <v>172</v>
      </c>
      <c r="CU62" s="103"/>
      <c r="CV62" s="103"/>
      <c r="CW62" s="80">
        <f>CW$7*'Mkt share'!$E$74</f>
        <v>0</v>
      </c>
      <c r="CX62" s="80">
        <f>CW$8*'Mkt share'!$E$74</f>
        <v>0</v>
      </c>
      <c r="CY62" s="88">
        <f>CW$11*'Mkt share'!$E$74</f>
        <v>0</v>
      </c>
      <c r="DB62" s="87" t="s">
        <v>172</v>
      </c>
      <c r="DC62" s="103"/>
      <c r="DD62" s="103"/>
      <c r="DE62" s="80">
        <f>DE$7*'Mkt share'!$E$75</f>
        <v>0</v>
      </c>
      <c r="DF62" s="80">
        <f>DE$8*'Mkt share'!$E$75</f>
        <v>0</v>
      </c>
      <c r="DG62" s="88">
        <f>DE$11*'Mkt share'!$E$75</f>
        <v>0</v>
      </c>
    </row>
    <row r="63" spans="2:111">
      <c r="B63" s="87" t="s">
        <v>177</v>
      </c>
      <c r="C63" s="103"/>
      <c r="D63" s="103"/>
      <c r="E63" s="105">
        <v>0</v>
      </c>
      <c r="F63" s="80">
        <f>E$10*'Mkt share'!$E$62</f>
        <v>0</v>
      </c>
      <c r="G63" s="88">
        <f>E$13*'Mkt share'!$E$62</f>
        <v>0</v>
      </c>
      <c r="J63" s="87" t="s">
        <v>177</v>
      </c>
      <c r="K63" s="103"/>
      <c r="L63" s="103"/>
      <c r="M63" s="105">
        <v>0</v>
      </c>
      <c r="N63" s="80">
        <f>M$10*'Mkt share'!$E$63</f>
        <v>2.5041478018500039</v>
      </c>
      <c r="O63" s="88">
        <f>M$13*'Mkt share'!$E$63</f>
        <v>3.7562217027750062</v>
      </c>
      <c r="R63" s="87" t="s">
        <v>177</v>
      </c>
      <c r="S63" s="103"/>
      <c r="T63" s="103"/>
      <c r="U63" s="105">
        <v>0</v>
      </c>
      <c r="V63" s="80">
        <f>U$10*'Mkt share'!$E$64</f>
        <v>0</v>
      </c>
      <c r="W63" s="88">
        <f>U$13*'Mkt share'!$E$64</f>
        <v>0</v>
      </c>
      <c r="Z63" s="87" t="s">
        <v>177</v>
      </c>
      <c r="AA63" s="103"/>
      <c r="AB63" s="103"/>
      <c r="AC63" s="105">
        <v>0</v>
      </c>
      <c r="AD63" s="80">
        <f>AC$10*'Mkt share'!$E$65</f>
        <v>0</v>
      </c>
      <c r="AE63" s="88">
        <f>AC$13*'Mkt share'!$E$65</f>
        <v>0</v>
      </c>
      <c r="AH63" s="87" t="s">
        <v>177</v>
      </c>
      <c r="AI63" s="103"/>
      <c r="AJ63" s="103"/>
      <c r="AK63" s="105">
        <v>0</v>
      </c>
      <c r="AL63" s="80">
        <f>AK$10*'Mkt share'!$E$66</f>
        <v>0</v>
      </c>
      <c r="AM63" s="88">
        <f>AK$13*'Mkt share'!$E$66</f>
        <v>0</v>
      </c>
      <c r="AP63" s="87" t="s">
        <v>177</v>
      </c>
      <c r="AQ63" s="103"/>
      <c r="AR63" s="103"/>
      <c r="AS63" s="105">
        <v>0</v>
      </c>
      <c r="AT63" s="80">
        <f>AS$10*'Mkt share'!$E$67</f>
        <v>0</v>
      </c>
      <c r="AU63" s="88">
        <f>AS$13*'Mkt share'!$E$67</f>
        <v>0</v>
      </c>
      <c r="AX63" s="87" t="s">
        <v>177</v>
      </c>
      <c r="AY63" s="103"/>
      <c r="AZ63" s="103"/>
      <c r="BA63" s="105">
        <v>0</v>
      </c>
      <c r="BB63" s="80">
        <f>BA$10*'Mkt share'!$E$68</f>
        <v>0</v>
      </c>
      <c r="BC63" s="88">
        <f>BA$13*'Mkt share'!$E$68</f>
        <v>0</v>
      </c>
      <c r="BF63" s="87" t="s">
        <v>177</v>
      </c>
      <c r="BG63" s="103"/>
      <c r="BH63" s="103"/>
      <c r="BI63" s="105">
        <v>0</v>
      </c>
      <c r="BJ63" s="80">
        <f>BI$10*'Mkt share'!$E$69</f>
        <v>0</v>
      </c>
      <c r="BK63" s="88">
        <f>BI$13*'Mkt share'!$E$69</f>
        <v>0</v>
      </c>
      <c r="BN63" s="87" t="s">
        <v>177</v>
      </c>
      <c r="BO63" s="103"/>
      <c r="BP63" s="103"/>
      <c r="BQ63" s="105">
        <v>0</v>
      </c>
      <c r="BR63" s="80">
        <f>BQ$10*'Mkt share'!$E$70</f>
        <v>0</v>
      </c>
      <c r="BS63" s="88">
        <f>BQ$13*'Mkt share'!$E$70</f>
        <v>0</v>
      </c>
      <c r="BV63" s="87" t="s">
        <v>177</v>
      </c>
      <c r="BW63" s="103"/>
      <c r="BX63" s="103"/>
      <c r="BY63" s="105">
        <v>0</v>
      </c>
      <c r="BZ63" s="80">
        <f>BY$10*'Mkt share'!$E$71</f>
        <v>0</v>
      </c>
      <c r="CA63" s="88">
        <f>BY$13*'Mkt share'!$E$71</f>
        <v>0</v>
      </c>
      <c r="CD63" s="87" t="s">
        <v>177</v>
      </c>
      <c r="CE63" s="103"/>
      <c r="CF63" s="103"/>
      <c r="CG63" s="105">
        <v>0</v>
      </c>
      <c r="CH63" s="80">
        <f>CG$10*'Mkt share'!$E$72</f>
        <v>0</v>
      </c>
      <c r="CI63" s="88">
        <f>CG$13*'Mkt share'!$E$72</f>
        <v>0</v>
      </c>
      <c r="CL63" s="87" t="s">
        <v>177</v>
      </c>
      <c r="CM63" s="103"/>
      <c r="CN63" s="103"/>
      <c r="CO63" s="105">
        <v>0</v>
      </c>
      <c r="CP63" s="80">
        <f>CO$10*'Mkt share'!$E$73</f>
        <v>0</v>
      </c>
      <c r="CQ63" s="88">
        <f>CO$13*'Mkt share'!$E$73</f>
        <v>0</v>
      </c>
      <c r="CT63" s="87" t="s">
        <v>177</v>
      </c>
      <c r="CU63" s="103"/>
      <c r="CV63" s="103"/>
      <c r="CW63" s="105">
        <v>0</v>
      </c>
      <c r="CX63" s="80">
        <f>CW$10*'Mkt share'!$E$74</f>
        <v>0</v>
      </c>
      <c r="CY63" s="88">
        <f>CW$13*'Mkt share'!$E$74</f>
        <v>0</v>
      </c>
      <c r="DB63" s="87" t="s">
        <v>177</v>
      </c>
      <c r="DC63" s="103"/>
      <c r="DD63" s="103"/>
      <c r="DE63" s="105">
        <v>0</v>
      </c>
      <c r="DF63" s="80">
        <f>DE$10*'Mkt share'!$E$75</f>
        <v>0</v>
      </c>
      <c r="DG63" s="88">
        <f>DE$13*'Mkt share'!$E$75</f>
        <v>0</v>
      </c>
    </row>
    <row r="64" spans="2:111">
      <c r="B64" s="87" t="s">
        <v>173</v>
      </c>
      <c r="C64" s="103"/>
      <c r="D64" s="103"/>
      <c r="E64" s="103"/>
      <c r="F64" s="80">
        <f>F$7*'Mkt share'!$F$62</f>
        <v>0</v>
      </c>
      <c r="G64" s="88">
        <f>F$8*'Mkt share'!$F$62</f>
        <v>0</v>
      </c>
      <c r="J64" s="87" t="s">
        <v>173</v>
      </c>
      <c r="K64" s="103"/>
      <c r="L64" s="103"/>
      <c r="M64" s="103"/>
      <c r="N64" s="80">
        <f>N$7*'Mkt share'!$F$63</f>
        <v>161.19422272375002</v>
      </c>
      <c r="O64" s="88">
        <f>N$8*'Mkt share'!$F$63</f>
        <v>157.970338269275</v>
      </c>
      <c r="R64" s="87" t="s">
        <v>173</v>
      </c>
      <c r="S64" s="103"/>
      <c r="T64" s="103"/>
      <c r="U64" s="103"/>
      <c r="V64" s="80">
        <f>V$7*'Mkt share'!$F$64</f>
        <v>0</v>
      </c>
      <c r="W64" s="88">
        <f>V$8*'Mkt share'!$F$64</f>
        <v>0</v>
      </c>
      <c r="Z64" s="87" t="s">
        <v>173</v>
      </c>
      <c r="AA64" s="103"/>
      <c r="AB64" s="103"/>
      <c r="AC64" s="103"/>
      <c r="AD64" s="80">
        <f>AD$7*'Mkt share'!$F$65</f>
        <v>0</v>
      </c>
      <c r="AE64" s="88">
        <f>AD$8*'Mkt share'!$F$65</f>
        <v>0</v>
      </c>
      <c r="AH64" s="87" t="s">
        <v>173</v>
      </c>
      <c r="AI64" s="103"/>
      <c r="AJ64" s="103"/>
      <c r="AK64" s="103"/>
      <c r="AL64" s="80">
        <f>AL$7*'Mkt share'!$F$66</f>
        <v>539.65022390125</v>
      </c>
      <c r="AM64" s="88">
        <f>AL$8*'Mkt share'!$F$66</f>
        <v>539.65022390125</v>
      </c>
      <c r="AP64" s="87" t="s">
        <v>173</v>
      </c>
      <c r="AQ64" s="103"/>
      <c r="AR64" s="103"/>
      <c r="AS64" s="103"/>
      <c r="AT64" s="80">
        <f>AT$7*'Mkt share'!$F$67</f>
        <v>0</v>
      </c>
      <c r="AU64" s="88">
        <f>AT$8*'Mkt share'!$F$67</f>
        <v>0</v>
      </c>
      <c r="AX64" s="87" t="s">
        <v>173</v>
      </c>
      <c r="AY64" s="103"/>
      <c r="AZ64" s="103"/>
      <c r="BA64" s="103"/>
      <c r="BB64" s="80">
        <f>BB$7*'Mkt share'!$F$68</f>
        <v>0</v>
      </c>
      <c r="BC64" s="88">
        <f>BB$8*'Mkt share'!$F$68</f>
        <v>0</v>
      </c>
      <c r="BF64" s="87" t="s">
        <v>173</v>
      </c>
      <c r="BG64" s="103"/>
      <c r="BH64" s="103"/>
      <c r="BI64" s="103"/>
      <c r="BJ64" s="80">
        <f>BJ$7*'Mkt share'!$F$69</f>
        <v>0</v>
      </c>
      <c r="BK64" s="88">
        <f>BJ$8*'Mkt share'!$F$69</f>
        <v>0</v>
      </c>
      <c r="BN64" s="87" t="s">
        <v>173</v>
      </c>
      <c r="BO64" s="103"/>
      <c r="BP64" s="103"/>
      <c r="BQ64" s="103"/>
      <c r="BR64" s="80">
        <f>BR$7*'Mkt share'!$F$70</f>
        <v>0</v>
      </c>
      <c r="BS64" s="88">
        <f>BR$8*'Mkt share'!$F$70</f>
        <v>0</v>
      </c>
      <c r="BV64" s="87" t="s">
        <v>173</v>
      </c>
      <c r="BW64" s="103"/>
      <c r="BX64" s="103"/>
      <c r="BY64" s="103"/>
      <c r="BZ64" s="80">
        <f>BZ$7*'Mkt share'!$F$71</f>
        <v>0</v>
      </c>
      <c r="CA64" s="88">
        <f>BZ$8*'Mkt share'!$F$71</f>
        <v>0</v>
      </c>
      <c r="CD64" s="87" t="s">
        <v>173</v>
      </c>
      <c r="CE64" s="103"/>
      <c r="CF64" s="103"/>
      <c r="CG64" s="103"/>
      <c r="CH64" s="80">
        <f>CH$7*'Mkt share'!$F$72</f>
        <v>0</v>
      </c>
      <c r="CI64" s="88">
        <f>CH$8*'Mkt share'!$F$72</f>
        <v>0</v>
      </c>
      <c r="CL64" s="87" t="s">
        <v>173</v>
      </c>
      <c r="CM64" s="103"/>
      <c r="CN64" s="103"/>
      <c r="CO64" s="103"/>
      <c r="CP64" s="80">
        <f>CP$7*'Mkt share'!$F$73</f>
        <v>0</v>
      </c>
      <c r="CQ64" s="88">
        <f>CP$8*'Mkt share'!$F$73</f>
        <v>0</v>
      </c>
      <c r="CT64" s="87" t="s">
        <v>173</v>
      </c>
      <c r="CU64" s="103"/>
      <c r="CV64" s="103"/>
      <c r="CW64" s="103"/>
      <c r="CX64" s="80">
        <f>CX$7*'Mkt share'!$F$74</f>
        <v>0</v>
      </c>
      <c r="CY64" s="88">
        <f>CX$8*'Mkt share'!$F$74</f>
        <v>0</v>
      </c>
      <c r="DB64" s="87" t="s">
        <v>173</v>
      </c>
      <c r="DC64" s="103"/>
      <c r="DD64" s="103"/>
      <c r="DE64" s="103"/>
      <c r="DF64" s="80">
        <f>DF$7*'Mkt share'!$F$75</f>
        <v>0</v>
      </c>
      <c r="DG64" s="88">
        <f>DF$8*'Mkt share'!$F$75</f>
        <v>0</v>
      </c>
    </row>
    <row r="65" spans="2:111">
      <c r="B65" s="87" t="s">
        <v>178</v>
      </c>
      <c r="C65" s="103"/>
      <c r="D65" s="103"/>
      <c r="E65" s="103"/>
      <c r="F65" s="105">
        <v>0</v>
      </c>
      <c r="G65" s="88">
        <f>F$10*'Mkt share'!$F$62</f>
        <v>0</v>
      </c>
      <c r="J65" s="87" t="s">
        <v>178</v>
      </c>
      <c r="K65" s="103"/>
      <c r="L65" s="103"/>
      <c r="M65" s="103"/>
      <c r="N65" s="105">
        <v>0</v>
      </c>
      <c r="O65" s="88">
        <f>N$10*'Mkt share'!$F$63</f>
        <v>3.2238844544750056</v>
      </c>
      <c r="R65" s="87" t="s">
        <v>178</v>
      </c>
      <c r="S65" s="103"/>
      <c r="T65" s="103"/>
      <c r="U65" s="103"/>
      <c r="V65" s="105">
        <v>0</v>
      </c>
      <c r="W65" s="88">
        <f>V$10*'Mkt share'!$F$64</f>
        <v>0</v>
      </c>
      <c r="Z65" s="87" t="s">
        <v>178</v>
      </c>
      <c r="AA65" s="103"/>
      <c r="AB65" s="103"/>
      <c r="AC65" s="103"/>
      <c r="AD65" s="105">
        <v>0</v>
      </c>
      <c r="AE65" s="88">
        <f>AD$10*'Mkt share'!$F$65</f>
        <v>0</v>
      </c>
      <c r="AH65" s="87" t="s">
        <v>178</v>
      </c>
      <c r="AI65" s="103"/>
      <c r="AJ65" s="103"/>
      <c r="AK65" s="103"/>
      <c r="AL65" s="105">
        <v>0</v>
      </c>
      <c r="AM65" s="88">
        <f>AL$10*'Mkt share'!$F$66</f>
        <v>0</v>
      </c>
      <c r="AP65" s="87" t="s">
        <v>178</v>
      </c>
      <c r="AQ65" s="103"/>
      <c r="AR65" s="103"/>
      <c r="AS65" s="103"/>
      <c r="AT65" s="105">
        <v>0</v>
      </c>
      <c r="AU65" s="88">
        <f>AT$10*'Mkt share'!$F$67</f>
        <v>0</v>
      </c>
      <c r="AX65" s="87" t="s">
        <v>178</v>
      </c>
      <c r="AY65" s="103"/>
      <c r="AZ65" s="103"/>
      <c r="BA65" s="103"/>
      <c r="BB65" s="105">
        <v>0</v>
      </c>
      <c r="BC65" s="88">
        <f>BB$10*'Mkt share'!$F$68</f>
        <v>0</v>
      </c>
      <c r="BF65" s="87" t="s">
        <v>178</v>
      </c>
      <c r="BG65" s="103"/>
      <c r="BH65" s="103"/>
      <c r="BI65" s="103"/>
      <c r="BJ65" s="105">
        <v>0</v>
      </c>
      <c r="BK65" s="88">
        <f>BJ$10*'Mkt share'!$F$69</f>
        <v>0</v>
      </c>
      <c r="BN65" s="87" t="s">
        <v>178</v>
      </c>
      <c r="BO65" s="103"/>
      <c r="BP65" s="103"/>
      <c r="BQ65" s="103"/>
      <c r="BR65" s="105">
        <v>0</v>
      </c>
      <c r="BS65" s="88">
        <f>BR$10*'Mkt share'!$F$70</f>
        <v>0</v>
      </c>
      <c r="BV65" s="87" t="s">
        <v>178</v>
      </c>
      <c r="BW65" s="103"/>
      <c r="BX65" s="103"/>
      <c r="BY65" s="103"/>
      <c r="BZ65" s="105">
        <v>0</v>
      </c>
      <c r="CA65" s="88">
        <f>BZ$10*'Mkt share'!$F$71</f>
        <v>0</v>
      </c>
      <c r="CD65" s="87" t="s">
        <v>178</v>
      </c>
      <c r="CE65" s="103"/>
      <c r="CF65" s="103"/>
      <c r="CG65" s="103"/>
      <c r="CH65" s="105">
        <v>0</v>
      </c>
      <c r="CI65" s="88">
        <f>CH$10*'Mkt share'!$F$72</f>
        <v>0</v>
      </c>
      <c r="CL65" s="87" t="s">
        <v>178</v>
      </c>
      <c r="CM65" s="103"/>
      <c r="CN65" s="103"/>
      <c r="CO65" s="103"/>
      <c r="CP65" s="105">
        <v>0</v>
      </c>
      <c r="CQ65" s="88">
        <f>CP$10*'Mkt share'!$F$73</f>
        <v>0</v>
      </c>
      <c r="CT65" s="87" t="s">
        <v>178</v>
      </c>
      <c r="CU65" s="103"/>
      <c r="CV65" s="103"/>
      <c r="CW65" s="103"/>
      <c r="CX65" s="105">
        <v>0</v>
      </c>
      <c r="CY65" s="88">
        <f>CX$10*'Mkt share'!$F$74</f>
        <v>0</v>
      </c>
      <c r="DB65" s="87" t="s">
        <v>178</v>
      </c>
      <c r="DC65" s="103"/>
      <c r="DD65" s="103"/>
      <c r="DE65" s="103"/>
      <c r="DF65" s="105">
        <v>0</v>
      </c>
      <c r="DG65" s="88">
        <f>DF$10*'Mkt share'!$F$75</f>
        <v>0</v>
      </c>
    </row>
    <row r="66" spans="2:111">
      <c r="B66" s="87" t="s">
        <v>174</v>
      </c>
      <c r="C66" s="103"/>
      <c r="D66" s="103"/>
      <c r="E66" s="103"/>
      <c r="F66" s="103"/>
      <c r="G66" s="88">
        <f>G$7*'Mkt share'!$G$62</f>
        <v>0</v>
      </c>
      <c r="J66" s="87" t="s">
        <v>174</v>
      </c>
      <c r="K66" s="103"/>
      <c r="L66" s="103"/>
      <c r="M66" s="103"/>
      <c r="N66" s="103"/>
      <c r="O66" s="88">
        <f>O$7*'Mkt share'!$G$63</f>
        <v>176.54833831250002</v>
      </c>
      <c r="R66" s="87" t="s">
        <v>174</v>
      </c>
      <c r="S66" s="103"/>
      <c r="T66" s="103"/>
      <c r="U66" s="103"/>
      <c r="V66" s="103"/>
      <c r="W66" s="88">
        <f>W$7*'Mkt share'!$G$64</f>
        <v>0</v>
      </c>
      <c r="Z66" s="87" t="s">
        <v>174</v>
      </c>
      <c r="AA66" s="103"/>
      <c r="AB66" s="103"/>
      <c r="AC66" s="103"/>
      <c r="AD66" s="103"/>
      <c r="AE66" s="88">
        <f>AE$7*'Mkt share'!$G$65</f>
        <v>0</v>
      </c>
      <c r="AH66" s="87" t="s">
        <v>174</v>
      </c>
      <c r="AI66" s="103"/>
      <c r="AJ66" s="103"/>
      <c r="AK66" s="103"/>
      <c r="AL66" s="103"/>
      <c r="AM66" s="88">
        <f>AM$7*'Mkt share'!$G$66</f>
        <v>529.64501493750004</v>
      </c>
      <c r="AP66" s="87" t="s">
        <v>174</v>
      </c>
      <c r="AQ66" s="103"/>
      <c r="AR66" s="103"/>
      <c r="AS66" s="103"/>
      <c r="AT66" s="103"/>
      <c r="AU66" s="88">
        <f>AU$7*'Mkt share'!$G$67</f>
        <v>0</v>
      </c>
      <c r="AX66" s="87" t="s">
        <v>174</v>
      </c>
      <c r="AY66" s="103"/>
      <c r="AZ66" s="103"/>
      <c r="BA66" s="103"/>
      <c r="BB66" s="103"/>
      <c r="BC66" s="88">
        <f>BC$7*'Mkt share'!$G$68</f>
        <v>0</v>
      </c>
      <c r="BF66" s="87" t="s">
        <v>174</v>
      </c>
      <c r="BG66" s="103"/>
      <c r="BH66" s="103"/>
      <c r="BI66" s="103"/>
      <c r="BJ66" s="103"/>
      <c r="BK66" s="88">
        <f>BK$7*'Mkt share'!$G$69</f>
        <v>0</v>
      </c>
      <c r="BN66" s="87" t="s">
        <v>174</v>
      </c>
      <c r="BO66" s="103"/>
      <c r="BP66" s="103"/>
      <c r="BQ66" s="103"/>
      <c r="BR66" s="103"/>
      <c r="BS66" s="88">
        <f>BS$7*'Mkt share'!$G$70</f>
        <v>0</v>
      </c>
      <c r="BV66" s="87" t="s">
        <v>174</v>
      </c>
      <c r="BW66" s="103"/>
      <c r="BX66" s="103"/>
      <c r="BY66" s="103"/>
      <c r="BZ66" s="103"/>
      <c r="CA66" s="88">
        <f>CA$7*'Mkt share'!$G$71</f>
        <v>0</v>
      </c>
      <c r="CD66" s="87" t="s">
        <v>174</v>
      </c>
      <c r="CE66" s="103"/>
      <c r="CF66" s="103"/>
      <c r="CG66" s="103"/>
      <c r="CH66" s="103"/>
      <c r="CI66" s="88">
        <f>CI$7*'Mkt share'!$G$72</f>
        <v>0</v>
      </c>
      <c r="CL66" s="87" t="s">
        <v>174</v>
      </c>
      <c r="CM66" s="103"/>
      <c r="CN66" s="103"/>
      <c r="CO66" s="103"/>
      <c r="CP66" s="103"/>
      <c r="CQ66" s="88">
        <f>CQ$7*'Mkt share'!$G$73</f>
        <v>0</v>
      </c>
      <c r="CT66" s="87" t="s">
        <v>174</v>
      </c>
      <c r="CU66" s="103"/>
      <c r="CV66" s="103"/>
      <c r="CW66" s="103"/>
      <c r="CX66" s="103"/>
      <c r="CY66" s="88">
        <f>CY$7*'Mkt share'!$G$74</f>
        <v>0</v>
      </c>
      <c r="DB66" s="87" t="s">
        <v>174</v>
      </c>
      <c r="DC66" s="103"/>
      <c r="DD66" s="103"/>
      <c r="DE66" s="103"/>
      <c r="DF66" s="103"/>
      <c r="DG66" s="88">
        <f>DG$7*'Mkt share'!$G$75</f>
        <v>0</v>
      </c>
    </row>
    <row r="67" spans="2:111" ht="15" thickBot="1">
      <c r="B67" s="87" t="s">
        <v>179</v>
      </c>
      <c r="C67" s="103"/>
      <c r="D67" s="103"/>
      <c r="E67" s="103"/>
      <c r="F67" s="103"/>
      <c r="G67" s="106">
        <v>0</v>
      </c>
      <c r="J67" s="87" t="s">
        <v>179</v>
      </c>
      <c r="K67" s="103"/>
      <c r="L67" s="103"/>
      <c r="M67" s="103"/>
      <c r="N67" s="103"/>
      <c r="O67" s="106">
        <v>0</v>
      </c>
      <c r="R67" s="87" t="s">
        <v>179</v>
      </c>
      <c r="S67" s="103"/>
      <c r="T67" s="103"/>
      <c r="U67" s="103"/>
      <c r="V67" s="103"/>
      <c r="W67" s="106">
        <v>0</v>
      </c>
      <c r="Z67" s="87" t="s">
        <v>179</v>
      </c>
      <c r="AA67" s="103"/>
      <c r="AB67" s="103"/>
      <c r="AC67" s="103"/>
      <c r="AD67" s="103"/>
      <c r="AE67" s="106">
        <v>0</v>
      </c>
      <c r="AH67" s="87" t="s">
        <v>179</v>
      </c>
      <c r="AI67" s="103"/>
      <c r="AJ67" s="103"/>
      <c r="AK67" s="103"/>
      <c r="AL67" s="103"/>
      <c r="AM67" s="106">
        <v>0</v>
      </c>
      <c r="AP67" s="87" t="s">
        <v>179</v>
      </c>
      <c r="AQ67" s="103"/>
      <c r="AR67" s="103"/>
      <c r="AS67" s="103"/>
      <c r="AT67" s="103"/>
      <c r="AU67" s="106">
        <v>0</v>
      </c>
      <c r="AX67" s="87" t="s">
        <v>179</v>
      </c>
      <c r="AY67" s="103"/>
      <c r="AZ67" s="103"/>
      <c r="BA67" s="103"/>
      <c r="BB67" s="103"/>
      <c r="BC67" s="106">
        <v>0</v>
      </c>
      <c r="BF67" s="87" t="s">
        <v>179</v>
      </c>
      <c r="BG67" s="103"/>
      <c r="BH67" s="103"/>
      <c r="BI67" s="103"/>
      <c r="BJ67" s="103"/>
      <c r="BK67" s="106">
        <v>0</v>
      </c>
      <c r="BN67" s="87" t="s">
        <v>179</v>
      </c>
      <c r="BO67" s="103"/>
      <c r="BP67" s="103"/>
      <c r="BQ67" s="103"/>
      <c r="BR67" s="103"/>
      <c r="BS67" s="106">
        <v>0</v>
      </c>
      <c r="BV67" s="87" t="s">
        <v>179</v>
      </c>
      <c r="BW67" s="103"/>
      <c r="BX67" s="103"/>
      <c r="BY67" s="103"/>
      <c r="BZ67" s="103"/>
      <c r="CA67" s="106">
        <v>0</v>
      </c>
      <c r="CD67" s="87" t="s">
        <v>179</v>
      </c>
      <c r="CE67" s="103"/>
      <c r="CF67" s="103"/>
      <c r="CG67" s="103"/>
      <c r="CH67" s="103"/>
      <c r="CI67" s="106">
        <v>0</v>
      </c>
      <c r="CL67" s="87" t="s">
        <v>179</v>
      </c>
      <c r="CM67" s="103"/>
      <c r="CN67" s="103"/>
      <c r="CO67" s="103"/>
      <c r="CP67" s="103"/>
      <c r="CQ67" s="106">
        <v>0</v>
      </c>
      <c r="CT67" s="87" t="s">
        <v>179</v>
      </c>
      <c r="CU67" s="103"/>
      <c r="CV67" s="103"/>
      <c r="CW67" s="103"/>
      <c r="CX67" s="103"/>
      <c r="CY67" s="106">
        <v>0</v>
      </c>
      <c r="DB67" s="87" t="s">
        <v>179</v>
      </c>
      <c r="DC67" s="103"/>
      <c r="DD67" s="103"/>
      <c r="DE67" s="103"/>
      <c r="DF67" s="103"/>
      <c r="DG67" s="106">
        <v>0</v>
      </c>
    </row>
    <row r="68" spans="2:111" ht="15" thickBot="1">
      <c r="B68" s="89" t="s">
        <v>114</v>
      </c>
      <c r="C68" s="90">
        <f>SUM(C58:C67)</f>
        <v>0</v>
      </c>
      <c r="D68" s="90">
        <f>SUM(D58:D66)</f>
        <v>0</v>
      </c>
      <c r="E68" s="90">
        <f>SUM(E58:E66)</f>
        <v>0</v>
      </c>
      <c r="F68" s="90">
        <f>SUM(F58:F66)</f>
        <v>0</v>
      </c>
      <c r="G68" s="91">
        <f>SUM(G58:G67)</f>
        <v>0</v>
      </c>
      <c r="J68" s="89" t="s">
        <v>114</v>
      </c>
      <c r="K68" s="90">
        <f>SUM(K58:K67)</f>
        <v>13.699849530000002</v>
      </c>
      <c r="L68" s="90">
        <f>SUM(L58:L66)</f>
        <v>68.929596779999997</v>
      </c>
      <c r="M68" s="90">
        <f>SUM(M58:M66)</f>
        <v>193.9999883772</v>
      </c>
      <c r="N68" s="90">
        <f>SUM(N58:N66)</f>
        <v>354.50491513315001</v>
      </c>
      <c r="O68" s="91">
        <f>SUM(O58:O67)</f>
        <v>529.11188357692504</v>
      </c>
      <c r="R68" s="89" t="s">
        <v>114</v>
      </c>
      <c r="S68" s="90">
        <f>SUM(S58:S67)</f>
        <v>0</v>
      </c>
      <c r="T68" s="90">
        <f>SUM(T58:T66)</f>
        <v>0</v>
      </c>
      <c r="U68" s="90">
        <f>SUM(U58:U66)</f>
        <v>0</v>
      </c>
      <c r="V68" s="90">
        <f>SUM(V58:V66)</f>
        <v>0</v>
      </c>
      <c r="W68" s="91">
        <f>SUM(W58:W67)</f>
        <v>0</v>
      </c>
      <c r="Z68" s="89" t="s">
        <v>114</v>
      </c>
      <c r="AA68" s="90">
        <f>SUM(AA58:AA67)</f>
        <v>0</v>
      </c>
      <c r="AB68" s="90">
        <f>SUM(AB58:AB66)</f>
        <v>0</v>
      </c>
      <c r="AC68" s="90">
        <f>SUM(AC58:AC66)</f>
        <v>0</v>
      </c>
      <c r="AD68" s="90">
        <f>SUM(AD58:AD66)</f>
        <v>0</v>
      </c>
      <c r="AE68" s="91">
        <f>SUM(AE58:AE67)</f>
        <v>0</v>
      </c>
      <c r="AH68" s="89" t="s">
        <v>114</v>
      </c>
      <c r="AI68" s="90">
        <f>SUM(AI58:AI67)</f>
        <v>671.29262697000001</v>
      </c>
      <c r="AJ68" s="90">
        <f>SUM(AJ58:AJ66)</f>
        <v>1306.4347203450002</v>
      </c>
      <c r="AK68" s="90">
        <f>SUM(AK58:AK66)</f>
        <v>1876.8239418775001</v>
      </c>
      <c r="AL68" s="90">
        <f>SUM(AL58:AL66)</f>
        <v>2416.4741657787499</v>
      </c>
      <c r="AM68" s="91">
        <f>SUM(AM58:AM67)</f>
        <v>2946.11918071625</v>
      </c>
      <c r="AP68" s="89" t="s">
        <v>114</v>
      </c>
      <c r="AQ68" s="90">
        <f>SUM(AQ58:AQ67)</f>
        <v>0</v>
      </c>
      <c r="AR68" s="90">
        <f>SUM(AR58:AR66)</f>
        <v>0</v>
      </c>
      <c r="AS68" s="90">
        <f>SUM(AS58:AS66)</f>
        <v>0</v>
      </c>
      <c r="AT68" s="90">
        <f>SUM(AT58:AT66)</f>
        <v>0</v>
      </c>
      <c r="AU68" s="91">
        <f>SUM(AU58:AU67)</f>
        <v>0</v>
      </c>
      <c r="AX68" s="89" t="s">
        <v>114</v>
      </c>
      <c r="AY68" s="90">
        <f>SUM(AY58:AY67)</f>
        <v>0</v>
      </c>
      <c r="AZ68" s="90">
        <f>SUM(AZ58:AZ66)</f>
        <v>0</v>
      </c>
      <c r="BA68" s="90">
        <f>SUM(BA58:BA66)</f>
        <v>0</v>
      </c>
      <c r="BB68" s="90">
        <f>SUM(BB58:BB66)</f>
        <v>0</v>
      </c>
      <c r="BC68" s="91">
        <f>SUM(BC58:BC67)</f>
        <v>0</v>
      </c>
      <c r="BF68" s="89" t="s">
        <v>114</v>
      </c>
      <c r="BG68" s="90">
        <f>SUM(BG58:BG67)</f>
        <v>0</v>
      </c>
      <c r="BH68" s="90">
        <f>SUM(BH58:BH66)</f>
        <v>0</v>
      </c>
      <c r="BI68" s="90">
        <f>SUM(BI58:BI66)</f>
        <v>0</v>
      </c>
      <c r="BJ68" s="90">
        <f>SUM(BJ58:BJ66)</f>
        <v>0</v>
      </c>
      <c r="BK68" s="91">
        <f>SUM(BK58:BK67)</f>
        <v>0</v>
      </c>
      <c r="BN68" s="89" t="s">
        <v>114</v>
      </c>
      <c r="BO68" s="90">
        <f>SUM(BO58:BO67)</f>
        <v>0</v>
      </c>
      <c r="BP68" s="90">
        <f>SUM(BP58:BP66)</f>
        <v>0</v>
      </c>
      <c r="BQ68" s="90">
        <f>SUM(BQ58:BQ66)</f>
        <v>0</v>
      </c>
      <c r="BR68" s="90">
        <f>SUM(BR58:BR66)</f>
        <v>0</v>
      </c>
      <c r="BS68" s="91">
        <f>SUM(BS58:BS67)</f>
        <v>0</v>
      </c>
      <c r="BV68" s="89" t="s">
        <v>114</v>
      </c>
      <c r="BW68" s="90">
        <f>SUM(BW58:BW67)</f>
        <v>0</v>
      </c>
      <c r="BX68" s="90">
        <f>SUM(BX58:BX66)</f>
        <v>0</v>
      </c>
      <c r="BY68" s="90">
        <f>SUM(BY58:BY66)</f>
        <v>0</v>
      </c>
      <c r="BZ68" s="90">
        <f>SUM(BZ58:BZ66)</f>
        <v>0</v>
      </c>
      <c r="CA68" s="91">
        <f>SUM(CA58:CA67)</f>
        <v>0</v>
      </c>
      <c r="CD68" s="89" t="s">
        <v>114</v>
      </c>
      <c r="CE68" s="90">
        <f>SUM(CE58:CE67)</f>
        <v>0</v>
      </c>
      <c r="CF68" s="90">
        <f>SUM(CF58:CF66)</f>
        <v>0</v>
      </c>
      <c r="CG68" s="90">
        <f>SUM(CG58:CG66)</f>
        <v>0</v>
      </c>
      <c r="CH68" s="90">
        <f>SUM(CH58:CH66)</f>
        <v>0</v>
      </c>
      <c r="CI68" s="91">
        <f>SUM(CI58:CI67)</f>
        <v>0</v>
      </c>
      <c r="CL68" s="89" t="s">
        <v>114</v>
      </c>
      <c r="CM68" s="90">
        <f>SUM(CM58:CM67)</f>
        <v>0</v>
      </c>
      <c r="CN68" s="90">
        <f>SUM(CN58:CN66)</f>
        <v>0</v>
      </c>
      <c r="CO68" s="90">
        <f>SUM(CO58:CO66)</f>
        <v>0</v>
      </c>
      <c r="CP68" s="90">
        <f>SUM(CP58:CP66)</f>
        <v>0</v>
      </c>
      <c r="CQ68" s="91">
        <f>SUM(CQ58:CQ67)</f>
        <v>0</v>
      </c>
      <c r="CT68" s="89" t="s">
        <v>114</v>
      </c>
      <c r="CU68" s="90">
        <f>SUM(CU58:CU67)</f>
        <v>0</v>
      </c>
      <c r="CV68" s="90">
        <f>SUM(CV58:CV66)</f>
        <v>0</v>
      </c>
      <c r="CW68" s="90">
        <f>SUM(CW58:CW66)</f>
        <v>0</v>
      </c>
      <c r="CX68" s="90">
        <f>SUM(CX58:CX66)</f>
        <v>0</v>
      </c>
      <c r="CY68" s="91">
        <f>SUM(CY58:CY67)</f>
        <v>0</v>
      </c>
      <c r="DB68" s="89" t="s">
        <v>114</v>
      </c>
      <c r="DC68" s="90">
        <f>SUM(DC58:DC67)</f>
        <v>0</v>
      </c>
      <c r="DD68" s="90">
        <f>SUM(DD58:DD66)</f>
        <v>0</v>
      </c>
      <c r="DE68" s="90">
        <f>SUM(DE58:DE66)</f>
        <v>0</v>
      </c>
      <c r="DF68" s="90">
        <f>SUM(DF58:DF66)</f>
        <v>0</v>
      </c>
      <c r="DG68" s="91">
        <f>SUM(DG58:DG67)</f>
        <v>0</v>
      </c>
    </row>
    <row r="69" spans="2:111">
      <c r="B69" s="80" t="s">
        <v>206</v>
      </c>
      <c r="C69" s="92">
        <f>C58+C60+C62+C64+C66</f>
        <v>0</v>
      </c>
      <c r="D69" s="92">
        <f t="shared" ref="D69:G69" si="176">D58+D60+D62+D64+D66</f>
        <v>0</v>
      </c>
      <c r="E69" s="92">
        <f t="shared" si="176"/>
        <v>0</v>
      </c>
      <c r="F69" s="92">
        <f t="shared" si="176"/>
        <v>0</v>
      </c>
      <c r="G69" s="92">
        <f t="shared" si="176"/>
        <v>0</v>
      </c>
      <c r="J69" s="80" t="s">
        <v>206</v>
      </c>
      <c r="K69" s="92">
        <f>K58+K60+K62+K64+K66</f>
        <v>13.699849530000002</v>
      </c>
      <c r="L69" s="92">
        <f t="shared" ref="L69:O69" si="177">L58+L60+L62+L64+L66</f>
        <v>68.6555997894</v>
      </c>
      <c r="M69" s="92">
        <f t="shared" si="177"/>
        <v>192.48439794630002</v>
      </c>
      <c r="N69" s="92">
        <f t="shared" si="177"/>
        <v>349.52188394200004</v>
      </c>
      <c r="O69" s="92">
        <f t="shared" si="177"/>
        <v>517.85900311757507</v>
      </c>
      <c r="R69" s="80" t="s">
        <v>206</v>
      </c>
      <c r="S69" s="92">
        <f>S58+S60+S62+S64+S66</f>
        <v>0</v>
      </c>
      <c r="T69" s="92">
        <f t="shared" ref="T69:W69" si="178">T58+T60+T62+T64+T66</f>
        <v>0</v>
      </c>
      <c r="U69" s="92">
        <f t="shared" si="178"/>
        <v>0</v>
      </c>
      <c r="V69" s="92">
        <f t="shared" si="178"/>
        <v>0</v>
      </c>
      <c r="W69" s="92">
        <f t="shared" si="178"/>
        <v>0</v>
      </c>
      <c r="Z69" s="80" t="s">
        <v>206</v>
      </c>
      <c r="AA69" s="92">
        <f>AA58+AA60+AA62+AA64+AA66</f>
        <v>0</v>
      </c>
      <c r="AB69" s="92">
        <f t="shared" ref="AB69:AE69" si="179">AB58+AB60+AB62+AB64+AB66</f>
        <v>0</v>
      </c>
      <c r="AC69" s="92">
        <f t="shared" si="179"/>
        <v>0</v>
      </c>
      <c r="AD69" s="92">
        <f t="shared" si="179"/>
        <v>0</v>
      </c>
      <c r="AE69" s="92">
        <f t="shared" si="179"/>
        <v>0</v>
      </c>
      <c r="AH69" s="80" t="s">
        <v>206</v>
      </c>
      <c r="AI69" s="92">
        <f>AI58+AI60+AI62+AI64+AI66</f>
        <v>671.29262697000001</v>
      </c>
      <c r="AJ69" s="92">
        <f t="shared" ref="AJ69:AM69" si="180">AJ58+AJ60+AJ62+AJ64+AJ66</f>
        <v>1306.4347203450002</v>
      </c>
      <c r="AK69" s="92">
        <f t="shared" si="180"/>
        <v>1876.8239418775001</v>
      </c>
      <c r="AL69" s="92">
        <f t="shared" si="180"/>
        <v>2416.4741657787499</v>
      </c>
      <c r="AM69" s="92">
        <f t="shared" si="180"/>
        <v>2946.11918071625</v>
      </c>
      <c r="AP69" s="80" t="s">
        <v>206</v>
      </c>
      <c r="AQ69" s="92">
        <f>AQ58+AQ60+AQ62+AQ64+AQ66</f>
        <v>0</v>
      </c>
      <c r="AR69" s="92">
        <f t="shared" ref="AR69:AU69" si="181">AR58+AR60+AR62+AR64+AR66</f>
        <v>0</v>
      </c>
      <c r="AS69" s="92">
        <f t="shared" si="181"/>
        <v>0</v>
      </c>
      <c r="AT69" s="92">
        <f t="shared" si="181"/>
        <v>0</v>
      </c>
      <c r="AU69" s="92">
        <f t="shared" si="181"/>
        <v>0</v>
      </c>
      <c r="AX69" s="80" t="s">
        <v>206</v>
      </c>
      <c r="AY69" s="92">
        <f>AY58+AY60+AY62+AY64+AY66</f>
        <v>0</v>
      </c>
      <c r="AZ69" s="92">
        <f t="shared" ref="AZ69:BC69" si="182">AZ58+AZ60+AZ62+AZ64+AZ66</f>
        <v>0</v>
      </c>
      <c r="BA69" s="92">
        <f t="shared" si="182"/>
        <v>0</v>
      </c>
      <c r="BB69" s="92">
        <f t="shared" si="182"/>
        <v>0</v>
      </c>
      <c r="BC69" s="92">
        <f t="shared" si="182"/>
        <v>0</v>
      </c>
      <c r="BF69" s="80" t="s">
        <v>206</v>
      </c>
      <c r="BG69" s="92">
        <f>BG58+BG60+BG62+BG64+BG66</f>
        <v>0</v>
      </c>
      <c r="BH69" s="92">
        <f t="shared" ref="BH69:BK69" si="183">BH58+BH60+BH62+BH64+BH66</f>
        <v>0</v>
      </c>
      <c r="BI69" s="92">
        <f t="shared" si="183"/>
        <v>0</v>
      </c>
      <c r="BJ69" s="92">
        <f t="shared" si="183"/>
        <v>0</v>
      </c>
      <c r="BK69" s="92">
        <f t="shared" si="183"/>
        <v>0</v>
      </c>
      <c r="BN69" s="80" t="s">
        <v>206</v>
      </c>
      <c r="BO69" s="92">
        <f>BO58+BO60+BO62+BO64+BO66</f>
        <v>0</v>
      </c>
      <c r="BP69" s="92">
        <f t="shared" ref="BP69:BS69" si="184">BP58+BP60+BP62+BP64+BP66</f>
        <v>0</v>
      </c>
      <c r="BQ69" s="92">
        <f t="shared" si="184"/>
        <v>0</v>
      </c>
      <c r="BR69" s="92">
        <f t="shared" si="184"/>
        <v>0</v>
      </c>
      <c r="BS69" s="92">
        <f t="shared" si="184"/>
        <v>0</v>
      </c>
      <c r="BV69" s="80" t="s">
        <v>206</v>
      </c>
      <c r="BW69" s="92">
        <f>BW58+BW60+BW62+BW64+BW66</f>
        <v>0</v>
      </c>
      <c r="BX69" s="92">
        <f t="shared" ref="BX69:CA69" si="185">BX58+BX60+BX62+BX64+BX66</f>
        <v>0</v>
      </c>
      <c r="BY69" s="92">
        <f t="shared" si="185"/>
        <v>0</v>
      </c>
      <c r="BZ69" s="92">
        <f t="shared" si="185"/>
        <v>0</v>
      </c>
      <c r="CA69" s="92">
        <f t="shared" si="185"/>
        <v>0</v>
      </c>
      <c r="CD69" s="80" t="s">
        <v>206</v>
      </c>
      <c r="CE69" s="92">
        <f>CE58+CE60+CE62+CE64+CE66</f>
        <v>0</v>
      </c>
      <c r="CF69" s="92">
        <f t="shared" ref="CF69:CI69" si="186">CF58+CF60+CF62+CF64+CF66</f>
        <v>0</v>
      </c>
      <c r="CG69" s="92">
        <f t="shared" si="186"/>
        <v>0</v>
      </c>
      <c r="CH69" s="92">
        <f t="shared" si="186"/>
        <v>0</v>
      </c>
      <c r="CI69" s="92">
        <f t="shared" si="186"/>
        <v>0</v>
      </c>
      <c r="CL69" s="80" t="s">
        <v>206</v>
      </c>
      <c r="CM69" s="92">
        <f>CM58+CM60+CM62+CM64+CM66</f>
        <v>0</v>
      </c>
      <c r="CN69" s="92">
        <f t="shared" ref="CN69:CQ69" si="187">CN58+CN60+CN62+CN64+CN66</f>
        <v>0</v>
      </c>
      <c r="CO69" s="92">
        <f t="shared" si="187"/>
        <v>0</v>
      </c>
      <c r="CP69" s="92">
        <f t="shared" si="187"/>
        <v>0</v>
      </c>
      <c r="CQ69" s="92">
        <f t="shared" si="187"/>
        <v>0</v>
      </c>
      <c r="CT69" s="80" t="s">
        <v>206</v>
      </c>
      <c r="CU69" s="92">
        <f>CU58+CU60+CU62+CU64+CU66</f>
        <v>0</v>
      </c>
      <c r="CV69" s="92">
        <f t="shared" ref="CV69:CY69" si="188">CV58+CV60+CV62+CV64+CV66</f>
        <v>0</v>
      </c>
      <c r="CW69" s="92">
        <f t="shared" si="188"/>
        <v>0</v>
      </c>
      <c r="CX69" s="92">
        <f t="shared" si="188"/>
        <v>0</v>
      </c>
      <c r="CY69" s="92">
        <f t="shared" si="188"/>
        <v>0</v>
      </c>
      <c r="DB69" s="80" t="s">
        <v>206</v>
      </c>
      <c r="DC69" s="92">
        <f>DC58+DC60+DC62+DC64+DC66</f>
        <v>0</v>
      </c>
      <c r="DD69" s="92">
        <f t="shared" ref="DD69:DG69" si="189">DD58+DD60+DD62+DD64+DD66</f>
        <v>0</v>
      </c>
      <c r="DE69" s="92">
        <f t="shared" si="189"/>
        <v>0</v>
      </c>
      <c r="DF69" s="92">
        <f t="shared" si="189"/>
        <v>0</v>
      </c>
      <c r="DG69" s="92">
        <f t="shared" si="189"/>
        <v>0</v>
      </c>
    </row>
    <row r="70" spans="2:111" ht="15" thickBot="1">
      <c r="B70" s="80" t="s">
        <v>208</v>
      </c>
      <c r="C70" s="92">
        <f>C59+C61+C63+C65+C67</f>
        <v>0</v>
      </c>
      <c r="D70" s="92">
        <f t="shared" ref="D70:G70" si="190">D59+D61+D63+D65+D67</f>
        <v>0</v>
      </c>
      <c r="E70" s="92">
        <f t="shared" si="190"/>
        <v>0</v>
      </c>
      <c r="F70" s="92">
        <f t="shared" si="190"/>
        <v>0</v>
      </c>
      <c r="G70" s="92">
        <f t="shared" si="190"/>
        <v>0</v>
      </c>
      <c r="J70" s="80" t="s">
        <v>208</v>
      </c>
      <c r="K70" s="92">
        <f>K59+K61+K63+K65+K67</f>
        <v>0</v>
      </c>
      <c r="L70" s="92">
        <f t="shared" ref="L70:O70" si="191">L59+L61+L63+L65+L67</f>
        <v>0.27399699060000104</v>
      </c>
      <c r="M70" s="92">
        <f t="shared" si="191"/>
        <v>1.5155904308999986</v>
      </c>
      <c r="N70" s="92">
        <f t="shared" si="191"/>
        <v>4.9830311911500003</v>
      </c>
      <c r="O70" s="92">
        <f t="shared" si="191"/>
        <v>11.252880459350006</v>
      </c>
      <c r="R70" s="80" t="s">
        <v>208</v>
      </c>
      <c r="S70" s="92">
        <f>S59+S61+S63+S65+S67</f>
        <v>0</v>
      </c>
      <c r="T70" s="92">
        <f t="shared" ref="T70:W70" si="192">T59+T61+T63+T65+T67</f>
        <v>0</v>
      </c>
      <c r="U70" s="92">
        <f t="shared" si="192"/>
        <v>0</v>
      </c>
      <c r="V70" s="92">
        <f t="shared" si="192"/>
        <v>0</v>
      </c>
      <c r="W70" s="92">
        <f t="shared" si="192"/>
        <v>0</v>
      </c>
      <c r="Z70" s="80" t="s">
        <v>208</v>
      </c>
      <c r="AA70" s="92">
        <f>AA59+AA61+AA63+AA65+AA67</f>
        <v>0</v>
      </c>
      <c r="AB70" s="92">
        <f t="shared" ref="AB70:AE70" si="193">AB59+AB61+AB63+AB65+AB67</f>
        <v>0</v>
      </c>
      <c r="AC70" s="92">
        <f t="shared" si="193"/>
        <v>0</v>
      </c>
      <c r="AD70" s="92">
        <f t="shared" si="193"/>
        <v>0</v>
      </c>
      <c r="AE70" s="92">
        <f t="shared" si="193"/>
        <v>0</v>
      </c>
      <c r="AH70" s="80" t="s">
        <v>208</v>
      </c>
      <c r="AI70" s="92">
        <f>AI59+AI61+AI63+AI65+AI67</f>
        <v>0</v>
      </c>
      <c r="AJ70" s="92">
        <f t="shared" ref="AJ70:AM70" si="194">AJ59+AJ61+AJ63+AJ65+AJ67</f>
        <v>0</v>
      </c>
      <c r="AK70" s="92">
        <f t="shared" si="194"/>
        <v>0</v>
      </c>
      <c r="AL70" s="92">
        <f t="shared" si="194"/>
        <v>0</v>
      </c>
      <c r="AM70" s="92">
        <f t="shared" si="194"/>
        <v>0</v>
      </c>
      <c r="AP70" s="80" t="s">
        <v>208</v>
      </c>
      <c r="AQ70" s="92">
        <f>AQ59+AQ61+AQ63+AQ65+AQ67</f>
        <v>0</v>
      </c>
      <c r="AR70" s="92">
        <f t="shared" ref="AR70:AU70" si="195">AR59+AR61+AR63+AR65+AR67</f>
        <v>0</v>
      </c>
      <c r="AS70" s="92">
        <f t="shared" si="195"/>
        <v>0</v>
      </c>
      <c r="AT70" s="92">
        <f t="shared" si="195"/>
        <v>0</v>
      </c>
      <c r="AU70" s="92">
        <f t="shared" si="195"/>
        <v>0</v>
      </c>
      <c r="AX70" s="80" t="s">
        <v>208</v>
      </c>
      <c r="AY70" s="92">
        <f>AY59+AY61+AY63+AY65+AY67</f>
        <v>0</v>
      </c>
      <c r="AZ70" s="92">
        <f t="shared" ref="AZ70:BC70" si="196">AZ59+AZ61+AZ63+AZ65+AZ67</f>
        <v>0</v>
      </c>
      <c r="BA70" s="92">
        <f t="shared" si="196"/>
        <v>0</v>
      </c>
      <c r="BB70" s="92">
        <f t="shared" si="196"/>
        <v>0</v>
      </c>
      <c r="BC70" s="92">
        <f t="shared" si="196"/>
        <v>0</v>
      </c>
      <c r="BF70" s="80" t="s">
        <v>208</v>
      </c>
      <c r="BG70" s="92">
        <f>BG59+BG61+BG63+BG65+BG67</f>
        <v>0</v>
      </c>
      <c r="BH70" s="92">
        <f t="shared" ref="BH70:BK70" si="197">BH59+BH61+BH63+BH65+BH67</f>
        <v>0</v>
      </c>
      <c r="BI70" s="92">
        <f t="shared" si="197"/>
        <v>0</v>
      </c>
      <c r="BJ70" s="92">
        <f t="shared" si="197"/>
        <v>0</v>
      </c>
      <c r="BK70" s="92">
        <f t="shared" si="197"/>
        <v>0</v>
      </c>
      <c r="BN70" s="80" t="s">
        <v>208</v>
      </c>
      <c r="BO70" s="92">
        <f>BO59+BO61+BO63+BO65+BO67</f>
        <v>0</v>
      </c>
      <c r="BP70" s="92">
        <f t="shared" ref="BP70:BS70" si="198">BP59+BP61+BP63+BP65+BP67</f>
        <v>0</v>
      </c>
      <c r="BQ70" s="92">
        <f t="shared" si="198"/>
        <v>0</v>
      </c>
      <c r="BR70" s="92">
        <f t="shared" si="198"/>
        <v>0</v>
      </c>
      <c r="BS70" s="92">
        <f t="shared" si="198"/>
        <v>0</v>
      </c>
      <c r="BV70" s="80" t="s">
        <v>208</v>
      </c>
      <c r="BW70" s="92">
        <f>BW59+BW61+BW63+BW65+BW67</f>
        <v>0</v>
      </c>
      <c r="BX70" s="92">
        <f t="shared" ref="BX70:CA70" si="199">BX59+BX61+BX63+BX65+BX67</f>
        <v>0</v>
      </c>
      <c r="BY70" s="92">
        <f t="shared" si="199"/>
        <v>0</v>
      </c>
      <c r="BZ70" s="92">
        <f t="shared" si="199"/>
        <v>0</v>
      </c>
      <c r="CA70" s="92">
        <f t="shared" si="199"/>
        <v>0</v>
      </c>
      <c r="CD70" s="80" t="s">
        <v>208</v>
      </c>
      <c r="CE70" s="92">
        <f>CE59+CE61+CE63+CE65+CE67</f>
        <v>0</v>
      </c>
      <c r="CF70" s="92">
        <f t="shared" ref="CF70:CI70" si="200">CF59+CF61+CF63+CF65+CF67</f>
        <v>0</v>
      </c>
      <c r="CG70" s="92">
        <f t="shared" si="200"/>
        <v>0</v>
      </c>
      <c r="CH70" s="92">
        <f t="shared" si="200"/>
        <v>0</v>
      </c>
      <c r="CI70" s="92">
        <f t="shared" si="200"/>
        <v>0</v>
      </c>
      <c r="CL70" s="80" t="s">
        <v>208</v>
      </c>
      <c r="CM70" s="92">
        <f>CM59+CM61+CM63+CM65+CM67</f>
        <v>0</v>
      </c>
      <c r="CN70" s="92">
        <f t="shared" ref="CN70:CQ70" si="201">CN59+CN61+CN63+CN65+CN67</f>
        <v>0</v>
      </c>
      <c r="CO70" s="92">
        <f t="shared" si="201"/>
        <v>0</v>
      </c>
      <c r="CP70" s="92">
        <f t="shared" si="201"/>
        <v>0</v>
      </c>
      <c r="CQ70" s="92">
        <f t="shared" si="201"/>
        <v>0</v>
      </c>
      <c r="CT70" s="80" t="s">
        <v>208</v>
      </c>
      <c r="CU70" s="92">
        <f>CU59+CU61+CU63+CU65+CU67</f>
        <v>0</v>
      </c>
      <c r="CV70" s="92">
        <f t="shared" ref="CV70:CY70" si="202">CV59+CV61+CV63+CV65+CV67</f>
        <v>0</v>
      </c>
      <c r="CW70" s="92">
        <f t="shared" si="202"/>
        <v>0</v>
      </c>
      <c r="CX70" s="92">
        <f t="shared" si="202"/>
        <v>0</v>
      </c>
      <c r="CY70" s="92">
        <f t="shared" si="202"/>
        <v>0</v>
      </c>
      <c r="DB70" s="80" t="s">
        <v>208</v>
      </c>
      <c r="DC70" s="92">
        <f>DC59+DC61+DC63+DC65+DC67</f>
        <v>0</v>
      </c>
      <c r="DD70" s="92">
        <f t="shared" ref="DD70:DG70" si="203">DD59+DD61+DD63+DD65+DD67</f>
        <v>0</v>
      </c>
      <c r="DE70" s="92">
        <f t="shared" si="203"/>
        <v>0</v>
      </c>
      <c r="DF70" s="92">
        <f t="shared" si="203"/>
        <v>0</v>
      </c>
      <c r="DG70" s="92">
        <f t="shared" si="203"/>
        <v>0</v>
      </c>
    </row>
    <row r="71" spans="2:111" ht="15" thickBot="1">
      <c r="B71" s="508" t="str">
        <f>cen_prop3</f>
        <v>Both drugs</v>
      </c>
      <c r="C71" s="509"/>
      <c r="D71" s="509"/>
      <c r="E71" s="509"/>
      <c r="F71" s="509"/>
      <c r="G71" s="510"/>
      <c r="J71" s="508" t="str">
        <f>cen_prop3</f>
        <v>Both drugs</v>
      </c>
      <c r="K71" s="509"/>
      <c r="L71" s="509"/>
      <c r="M71" s="509"/>
      <c r="N71" s="509"/>
      <c r="O71" s="510"/>
      <c r="R71" s="508" t="str">
        <f>cen_prop3</f>
        <v>Both drugs</v>
      </c>
      <c r="S71" s="509"/>
      <c r="T71" s="509"/>
      <c r="U71" s="509"/>
      <c r="V71" s="509"/>
      <c r="W71" s="510"/>
      <c r="Z71" s="508" t="str">
        <f>cen_prop3</f>
        <v>Both drugs</v>
      </c>
      <c r="AA71" s="509"/>
      <c r="AB71" s="509"/>
      <c r="AC71" s="509"/>
      <c r="AD71" s="509"/>
      <c r="AE71" s="510"/>
      <c r="AH71" s="508" t="str">
        <f>cen_prop3</f>
        <v>Both drugs</v>
      </c>
      <c r="AI71" s="509"/>
      <c r="AJ71" s="509"/>
      <c r="AK71" s="509"/>
      <c r="AL71" s="509"/>
      <c r="AM71" s="510"/>
      <c r="AP71" s="508" t="str">
        <f>cen_prop3</f>
        <v>Both drugs</v>
      </c>
      <c r="AQ71" s="509"/>
      <c r="AR71" s="509"/>
      <c r="AS71" s="509"/>
      <c r="AT71" s="509"/>
      <c r="AU71" s="510"/>
      <c r="AX71" s="508" t="str">
        <f>cen_prop3</f>
        <v>Both drugs</v>
      </c>
      <c r="AY71" s="509"/>
      <c r="AZ71" s="509"/>
      <c r="BA71" s="509"/>
      <c r="BB71" s="509"/>
      <c r="BC71" s="510"/>
      <c r="BF71" s="508" t="str">
        <f>cen_prop3</f>
        <v>Both drugs</v>
      </c>
      <c r="BG71" s="509"/>
      <c r="BH71" s="509"/>
      <c r="BI71" s="509"/>
      <c r="BJ71" s="509"/>
      <c r="BK71" s="510"/>
      <c r="BN71" s="508" t="str">
        <f>cen_prop3</f>
        <v>Both drugs</v>
      </c>
      <c r="BO71" s="509"/>
      <c r="BP71" s="509"/>
      <c r="BQ71" s="509"/>
      <c r="BR71" s="509"/>
      <c r="BS71" s="510"/>
      <c r="BV71" s="508" t="str">
        <f>cen_prop3</f>
        <v>Both drugs</v>
      </c>
      <c r="BW71" s="509"/>
      <c r="BX71" s="509"/>
      <c r="BY71" s="509"/>
      <c r="BZ71" s="509"/>
      <c r="CA71" s="510"/>
      <c r="CD71" s="508" t="str">
        <f>cen_prop3</f>
        <v>Both drugs</v>
      </c>
      <c r="CE71" s="509"/>
      <c r="CF71" s="509"/>
      <c r="CG71" s="509"/>
      <c r="CH71" s="509"/>
      <c r="CI71" s="510"/>
      <c r="CL71" s="508" t="str">
        <f>cen_prop3</f>
        <v>Both drugs</v>
      </c>
      <c r="CM71" s="509"/>
      <c r="CN71" s="509"/>
      <c r="CO71" s="509"/>
      <c r="CP71" s="509"/>
      <c r="CQ71" s="510"/>
      <c r="CT71" s="508" t="str">
        <f>cen_prop3</f>
        <v>Both drugs</v>
      </c>
      <c r="CU71" s="509"/>
      <c r="CV71" s="509"/>
      <c r="CW71" s="509"/>
      <c r="CX71" s="509"/>
      <c r="CY71" s="510"/>
      <c r="DB71" s="508" t="str">
        <f>cen_prop3</f>
        <v>Both drugs</v>
      </c>
      <c r="DC71" s="509"/>
      <c r="DD71" s="509"/>
      <c r="DE71" s="509"/>
      <c r="DF71" s="509"/>
      <c r="DG71" s="510"/>
    </row>
    <row r="72" spans="2:111">
      <c r="B72" s="84"/>
      <c r="C72" s="101">
        <f>ano_1</f>
        <v>2026</v>
      </c>
      <c r="D72" s="101">
        <f>C72+1</f>
        <v>2027</v>
      </c>
      <c r="E72" s="101">
        <f t="shared" ref="E72:G72" si="204">D72+1</f>
        <v>2028</v>
      </c>
      <c r="F72" s="101">
        <f t="shared" si="204"/>
        <v>2029</v>
      </c>
      <c r="G72" s="102">
        <f t="shared" si="204"/>
        <v>2030</v>
      </c>
      <c r="J72" s="84"/>
      <c r="K72" s="101">
        <f>ano_1</f>
        <v>2026</v>
      </c>
      <c r="L72" s="101">
        <f>K72+1</f>
        <v>2027</v>
      </c>
      <c r="M72" s="101">
        <f t="shared" ref="M72" si="205">L72+1</f>
        <v>2028</v>
      </c>
      <c r="N72" s="101">
        <f t="shared" ref="N72" si="206">M72+1</f>
        <v>2029</v>
      </c>
      <c r="O72" s="102">
        <f t="shared" ref="O72" si="207">N72+1</f>
        <v>2030</v>
      </c>
      <c r="R72" s="84"/>
      <c r="S72" s="101">
        <f>ano_1</f>
        <v>2026</v>
      </c>
      <c r="T72" s="101">
        <f>S72+1</f>
        <v>2027</v>
      </c>
      <c r="U72" s="101">
        <f t="shared" ref="U72" si="208">T72+1</f>
        <v>2028</v>
      </c>
      <c r="V72" s="101">
        <f t="shared" ref="V72" si="209">U72+1</f>
        <v>2029</v>
      </c>
      <c r="W72" s="102">
        <f t="shared" ref="W72" si="210">V72+1</f>
        <v>2030</v>
      </c>
      <c r="Z72" s="84"/>
      <c r="AA72" s="101">
        <f>ano_1</f>
        <v>2026</v>
      </c>
      <c r="AB72" s="101">
        <f>AA72+1</f>
        <v>2027</v>
      </c>
      <c r="AC72" s="101">
        <f t="shared" ref="AC72" si="211">AB72+1</f>
        <v>2028</v>
      </c>
      <c r="AD72" s="101">
        <f t="shared" ref="AD72" si="212">AC72+1</f>
        <v>2029</v>
      </c>
      <c r="AE72" s="102">
        <f t="shared" ref="AE72" si="213">AD72+1</f>
        <v>2030</v>
      </c>
      <c r="AH72" s="84"/>
      <c r="AI72" s="101">
        <f>ano_1</f>
        <v>2026</v>
      </c>
      <c r="AJ72" s="101">
        <f>AI72+1</f>
        <v>2027</v>
      </c>
      <c r="AK72" s="101">
        <f t="shared" ref="AK72" si="214">AJ72+1</f>
        <v>2028</v>
      </c>
      <c r="AL72" s="101">
        <f t="shared" ref="AL72" si="215">AK72+1</f>
        <v>2029</v>
      </c>
      <c r="AM72" s="102">
        <f t="shared" ref="AM72" si="216">AL72+1</f>
        <v>2030</v>
      </c>
      <c r="AP72" s="84"/>
      <c r="AQ72" s="101">
        <f>ano_1</f>
        <v>2026</v>
      </c>
      <c r="AR72" s="101">
        <f>AQ72+1</f>
        <v>2027</v>
      </c>
      <c r="AS72" s="101">
        <f t="shared" ref="AS72" si="217">AR72+1</f>
        <v>2028</v>
      </c>
      <c r="AT72" s="101">
        <f t="shared" ref="AT72" si="218">AS72+1</f>
        <v>2029</v>
      </c>
      <c r="AU72" s="102">
        <f t="shared" ref="AU72" si="219">AT72+1</f>
        <v>2030</v>
      </c>
      <c r="AX72" s="84"/>
      <c r="AY72" s="101">
        <f>ano_1</f>
        <v>2026</v>
      </c>
      <c r="AZ72" s="101">
        <f>AY72+1</f>
        <v>2027</v>
      </c>
      <c r="BA72" s="101">
        <f t="shared" ref="BA72" si="220">AZ72+1</f>
        <v>2028</v>
      </c>
      <c r="BB72" s="101">
        <f t="shared" ref="BB72" si="221">BA72+1</f>
        <v>2029</v>
      </c>
      <c r="BC72" s="102">
        <f t="shared" ref="BC72" si="222">BB72+1</f>
        <v>2030</v>
      </c>
      <c r="BF72" s="84"/>
      <c r="BG72" s="101">
        <f>ano_1</f>
        <v>2026</v>
      </c>
      <c r="BH72" s="101">
        <f>BG72+1</f>
        <v>2027</v>
      </c>
      <c r="BI72" s="101">
        <f t="shared" ref="BI72" si="223">BH72+1</f>
        <v>2028</v>
      </c>
      <c r="BJ72" s="101">
        <f t="shared" ref="BJ72" si="224">BI72+1</f>
        <v>2029</v>
      </c>
      <c r="BK72" s="102">
        <f t="shared" ref="BK72" si="225">BJ72+1</f>
        <v>2030</v>
      </c>
      <c r="BN72" s="84"/>
      <c r="BO72" s="101">
        <f>ano_1</f>
        <v>2026</v>
      </c>
      <c r="BP72" s="101">
        <f>BO72+1</f>
        <v>2027</v>
      </c>
      <c r="BQ72" s="101">
        <f t="shared" ref="BQ72" si="226">BP72+1</f>
        <v>2028</v>
      </c>
      <c r="BR72" s="101">
        <f t="shared" ref="BR72" si="227">BQ72+1</f>
        <v>2029</v>
      </c>
      <c r="BS72" s="102">
        <f t="shared" ref="BS72" si="228">BR72+1</f>
        <v>2030</v>
      </c>
      <c r="BV72" s="84"/>
      <c r="BW72" s="101">
        <f>ano_1</f>
        <v>2026</v>
      </c>
      <c r="BX72" s="101">
        <f>BW72+1</f>
        <v>2027</v>
      </c>
      <c r="BY72" s="101">
        <f t="shared" ref="BY72" si="229">BX72+1</f>
        <v>2028</v>
      </c>
      <c r="BZ72" s="101">
        <f t="shared" ref="BZ72" si="230">BY72+1</f>
        <v>2029</v>
      </c>
      <c r="CA72" s="102">
        <f t="shared" ref="CA72" si="231">BZ72+1</f>
        <v>2030</v>
      </c>
      <c r="CD72" s="84"/>
      <c r="CE72" s="101">
        <f>ano_1</f>
        <v>2026</v>
      </c>
      <c r="CF72" s="101">
        <f>CE72+1</f>
        <v>2027</v>
      </c>
      <c r="CG72" s="101">
        <f t="shared" ref="CG72" si="232">CF72+1</f>
        <v>2028</v>
      </c>
      <c r="CH72" s="101">
        <f t="shared" ref="CH72" si="233">CG72+1</f>
        <v>2029</v>
      </c>
      <c r="CI72" s="102">
        <f t="shared" ref="CI72" si="234">CH72+1</f>
        <v>2030</v>
      </c>
      <c r="CL72" s="84"/>
      <c r="CM72" s="101">
        <f>ano_1</f>
        <v>2026</v>
      </c>
      <c r="CN72" s="101">
        <f>CM72+1</f>
        <v>2027</v>
      </c>
      <c r="CO72" s="101">
        <f t="shared" ref="CO72" si="235">CN72+1</f>
        <v>2028</v>
      </c>
      <c r="CP72" s="101">
        <f t="shared" ref="CP72" si="236">CO72+1</f>
        <v>2029</v>
      </c>
      <c r="CQ72" s="102">
        <f t="shared" ref="CQ72" si="237">CP72+1</f>
        <v>2030</v>
      </c>
      <c r="CT72" s="84"/>
      <c r="CU72" s="101">
        <f>ano_1</f>
        <v>2026</v>
      </c>
      <c r="CV72" s="101">
        <f>CU72+1</f>
        <v>2027</v>
      </c>
      <c r="CW72" s="101">
        <f t="shared" ref="CW72" si="238">CV72+1</f>
        <v>2028</v>
      </c>
      <c r="CX72" s="101">
        <f t="shared" ref="CX72" si="239">CW72+1</f>
        <v>2029</v>
      </c>
      <c r="CY72" s="102">
        <f t="shared" ref="CY72" si="240">CX72+1</f>
        <v>2030</v>
      </c>
      <c r="DB72" s="84"/>
      <c r="DC72" s="101">
        <f>ano_1</f>
        <v>2026</v>
      </c>
      <c r="DD72" s="101">
        <f>DC72+1</f>
        <v>2027</v>
      </c>
      <c r="DE72" s="101">
        <f t="shared" ref="DE72" si="241">DD72+1</f>
        <v>2028</v>
      </c>
      <c r="DF72" s="101">
        <f t="shared" ref="DF72" si="242">DE72+1</f>
        <v>2029</v>
      </c>
      <c r="DG72" s="102">
        <f t="shared" ref="DG72" si="243">DF72+1</f>
        <v>2030</v>
      </c>
    </row>
    <row r="73" spans="2:111">
      <c r="B73" s="87" t="s">
        <v>170</v>
      </c>
      <c r="C73" s="80">
        <f>C$7*'Mkt share'!$C$82</f>
        <v>20.549774295000002</v>
      </c>
      <c r="D73" s="80">
        <f>C$8*'Mkt share'!$C$82</f>
        <v>19.522285580249999</v>
      </c>
      <c r="E73" s="80">
        <f>C$11*'Mkt share'!$C$82</f>
        <v>18.4947968655</v>
      </c>
      <c r="F73" s="80">
        <f>C$14*'Mkt share'!$C$82</f>
        <v>17.46730815075</v>
      </c>
      <c r="G73" s="88">
        <f>C$17*'Mkt share'!$C$82</f>
        <v>16.439819436000004</v>
      </c>
      <c r="J73" s="87" t="s">
        <v>170</v>
      </c>
      <c r="K73" s="80">
        <f>K$7*'Mkt share'!$C$83</f>
        <v>13.699849530000002</v>
      </c>
      <c r="L73" s="80">
        <f>K$8*'Mkt share'!$C$83</f>
        <v>13.425852539400001</v>
      </c>
      <c r="M73" s="80">
        <f>K$11*'Mkt share'!$C$83</f>
        <v>13.151855548800002</v>
      </c>
      <c r="N73" s="80">
        <f>K$14*'Mkt share'!$C$83</f>
        <v>12.603861567600003</v>
      </c>
      <c r="O73" s="88">
        <f>K$17*'Mkt share'!$C$83</f>
        <v>12.329864577</v>
      </c>
      <c r="R73" s="87" t="s">
        <v>170</v>
      </c>
      <c r="S73" s="80">
        <f>S$7*'Mkt share'!$C$84</f>
        <v>0</v>
      </c>
      <c r="T73" s="80">
        <f>S$8*'Mkt share'!$C$84</f>
        <v>0</v>
      </c>
      <c r="U73" s="80">
        <f>S$11*'Mkt share'!$C$84</f>
        <v>0</v>
      </c>
      <c r="V73" s="80">
        <f>S$14*'Mkt share'!$C$84</f>
        <v>0</v>
      </c>
      <c r="W73" s="88">
        <f>S$17*'Mkt share'!$C$84</f>
        <v>0</v>
      </c>
      <c r="Z73" s="87" t="s">
        <v>170</v>
      </c>
      <c r="AA73" s="80">
        <f>AA$7*'Mkt share'!$C$85</f>
        <v>0</v>
      </c>
      <c r="AB73" s="80">
        <f>AA$8*'Mkt share'!$C$85</f>
        <v>0</v>
      </c>
      <c r="AC73" s="80">
        <f>AA$11*'Mkt share'!$C$85</f>
        <v>0</v>
      </c>
      <c r="AD73" s="80">
        <f>AA$14*'Mkt share'!$C$85</f>
        <v>0</v>
      </c>
      <c r="AE73" s="88">
        <f>AA$17*'Mkt share'!$C$85</f>
        <v>0</v>
      </c>
      <c r="AH73" s="87" t="s">
        <v>170</v>
      </c>
      <c r="AI73" s="80">
        <f>AI$7*'Mkt share'!$C$86</f>
        <v>650.74285267499999</v>
      </c>
      <c r="AJ73" s="80">
        <f>AI$8*'Mkt share'!$C$86</f>
        <v>650.74285267499999</v>
      </c>
      <c r="AK73" s="80">
        <f>AI$11*'Mkt share'!$C$86</f>
        <v>650.74285267499999</v>
      </c>
      <c r="AL73" s="80">
        <f>AI$14*'Mkt share'!$C$86</f>
        <v>650.74285267499999</v>
      </c>
      <c r="AM73" s="88">
        <f>AI$17*'Mkt share'!$C$86</f>
        <v>650.74285267499999</v>
      </c>
      <c r="AP73" s="87" t="s">
        <v>170</v>
      </c>
      <c r="AQ73" s="80">
        <f>AQ$7*'Mkt share'!$C$87</f>
        <v>0</v>
      </c>
      <c r="AR73" s="80">
        <f>AQ$8*'Mkt share'!$C$87</f>
        <v>0</v>
      </c>
      <c r="AS73" s="80">
        <f>AQ$11*'Mkt share'!$C$87</f>
        <v>0</v>
      </c>
      <c r="AT73" s="80">
        <f>AQ$14*'Mkt share'!$C$87</f>
        <v>0</v>
      </c>
      <c r="AU73" s="88">
        <f>AQ$17*'Mkt share'!$C$87</f>
        <v>0</v>
      </c>
      <c r="AX73" s="87" t="s">
        <v>170</v>
      </c>
      <c r="AY73" s="80">
        <f>AY$7*'Mkt share'!$C$88</f>
        <v>0</v>
      </c>
      <c r="AZ73" s="80">
        <f>AY$8*'Mkt share'!$C$88</f>
        <v>0</v>
      </c>
      <c r="BA73" s="80">
        <f>AY$11*'Mkt share'!$C$88</f>
        <v>0</v>
      </c>
      <c r="BB73" s="80">
        <f>AY$14*'Mkt share'!$C$88</f>
        <v>0</v>
      </c>
      <c r="BC73" s="88">
        <f>AY$17*'Mkt share'!$C$88</f>
        <v>0</v>
      </c>
      <c r="BF73" s="87" t="s">
        <v>170</v>
      </c>
      <c r="BG73" s="80">
        <f>BG$7*'Mkt share'!$C$89</f>
        <v>0</v>
      </c>
      <c r="BH73" s="80">
        <f>BG$8*'Mkt share'!$C$89</f>
        <v>0</v>
      </c>
      <c r="BI73" s="80">
        <f>BG$11*'Mkt share'!$C$89</f>
        <v>0</v>
      </c>
      <c r="BJ73" s="80">
        <f>BG$14*'Mkt share'!$C$89</f>
        <v>0</v>
      </c>
      <c r="BK73" s="88">
        <f>BG$17*'Mkt share'!$C$89</f>
        <v>0</v>
      </c>
      <c r="BN73" s="87" t="s">
        <v>170</v>
      </c>
      <c r="BO73" s="80">
        <f>BO$7*'Mkt share'!$C$90</f>
        <v>0</v>
      </c>
      <c r="BP73" s="80">
        <f>BO$8*'Mkt share'!$C$90</f>
        <v>0</v>
      </c>
      <c r="BQ73" s="80">
        <f>BO$11*'Mkt share'!$C$90</f>
        <v>0</v>
      </c>
      <c r="BR73" s="80">
        <f>BO$14*'Mkt share'!$C$90</f>
        <v>0</v>
      </c>
      <c r="BS73" s="88">
        <f>BO$17*'Mkt share'!$C$90</f>
        <v>0</v>
      </c>
      <c r="BV73" s="87" t="s">
        <v>170</v>
      </c>
      <c r="BW73" s="80">
        <f>BW$7*'Mkt share'!$C$91</f>
        <v>0</v>
      </c>
      <c r="BX73" s="80">
        <f>BW$8*'Mkt share'!$C$91</f>
        <v>0</v>
      </c>
      <c r="BY73" s="80">
        <f>BW$11*'Mkt share'!$C$91</f>
        <v>0</v>
      </c>
      <c r="BZ73" s="80">
        <f>BW$14*'Mkt share'!$C$91</f>
        <v>0</v>
      </c>
      <c r="CA73" s="88">
        <f>BW$17*'Mkt share'!$C$91</f>
        <v>0</v>
      </c>
      <c r="CD73" s="87" t="s">
        <v>170</v>
      </c>
      <c r="CE73" s="80">
        <f>CE$7*'Mkt share'!$C$92</f>
        <v>0</v>
      </c>
      <c r="CF73" s="80">
        <f>CE$8*'Mkt share'!$C$92</f>
        <v>0</v>
      </c>
      <c r="CG73" s="80">
        <f>CE$11*'Mkt share'!$C$92</f>
        <v>0</v>
      </c>
      <c r="CH73" s="80">
        <f>CE$14*'Mkt share'!$C$92</f>
        <v>0</v>
      </c>
      <c r="CI73" s="88">
        <f>CE$17*'Mkt share'!$C$92</f>
        <v>0</v>
      </c>
      <c r="CL73" s="87" t="s">
        <v>170</v>
      </c>
      <c r="CM73" s="80">
        <f>CM$7*'Mkt share'!$C$93</f>
        <v>0</v>
      </c>
      <c r="CN73" s="80">
        <f>CM$8*'Mkt share'!$C$93</f>
        <v>0</v>
      </c>
      <c r="CO73" s="80">
        <f>CM$11*'Mkt share'!$C$93</f>
        <v>0</v>
      </c>
      <c r="CP73" s="80">
        <f>CM$14*'Mkt share'!$C$93</f>
        <v>0</v>
      </c>
      <c r="CQ73" s="88">
        <f>CM$17*'Mkt share'!$C$93</f>
        <v>0</v>
      </c>
      <c r="CT73" s="87" t="s">
        <v>170</v>
      </c>
      <c r="CU73" s="80">
        <f>CU$7*'Mkt share'!$C$94</f>
        <v>0</v>
      </c>
      <c r="CV73" s="80">
        <f>CU$8*'Mkt share'!$C$94</f>
        <v>0</v>
      </c>
      <c r="CW73" s="80">
        <f>CU$11*'Mkt share'!$C$94</f>
        <v>0</v>
      </c>
      <c r="CX73" s="80">
        <f>CU$14*'Mkt share'!$C$94</f>
        <v>0</v>
      </c>
      <c r="CY73" s="88">
        <f>CU$17*'Mkt share'!$C$94</f>
        <v>0</v>
      </c>
      <c r="DB73" s="87" t="s">
        <v>170</v>
      </c>
      <c r="DC73" s="80">
        <f>DC$7*'Mkt share'!$C$95</f>
        <v>0</v>
      </c>
      <c r="DD73" s="80">
        <f>DC$8*'Mkt share'!$C$95</f>
        <v>0</v>
      </c>
      <c r="DE73" s="80">
        <f>DC$11*'Mkt share'!$C$95</f>
        <v>0</v>
      </c>
      <c r="DF73" s="80">
        <f>DC$14*'Mkt share'!$C$95</f>
        <v>0</v>
      </c>
      <c r="DG73" s="88">
        <f>DC$17*'Mkt share'!$C$95</f>
        <v>0</v>
      </c>
    </row>
    <row r="74" spans="2:111">
      <c r="B74" s="87" t="s">
        <v>175</v>
      </c>
      <c r="C74" s="105">
        <v>0</v>
      </c>
      <c r="D74" s="80">
        <f>C$10*'Mkt share'!$C$82</f>
        <v>1.027488714750002</v>
      </c>
      <c r="E74" s="80">
        <f>C$13*'Mkt share'!$C$82</f>
        <v>1.8494796865500007</v>
      </c>
      <c r="F74" s="80">
        <f>C$16*'Mkt share'!$C$82</f>
        <v>2.6714706583499992</v>
      </c>
      <c r="G74" s="88">
        <f>C$19*'Mkt share'!$C$82</f>
        <v>3.4934616301499974</v>
      </c>
      <c r="J74" s="87" t="s">
        <v>175</v>
      </c>
      <c r="K74" s="105">
        <v>0</v>
      </c>
      <c r="L74" s="80">
        <f>K$10*'Mkt share'!$C$83</f>
        <v>0.27399699060000104</v>
      </c>
      <c r="M74" s="80">
        <f>K$13*'Mkt share'!$C$83</f>
        <v>0.41099548589999962</v>
      </c>
      <c r="N74" s="80">
        <f>K$16*'Mkt share'!$C$83</f>
        <v>0.82199097179999925</v>
      </c>
      <c r="O74" s="88">
        <f>K$19*'Mkt share'!$C$83</f>
        <v>0.95898946710000021</v>
      </c>
      <c r="R74" s="87" t="s">
        <v>175</v>
      </c>
      <c r="S74" s="105">
        <v>0</v>
      </c>
      <c r="T74" s="80">
        <f>S$10*'Mkt share'!$C$84</f>
        <v>0</v>
      </c>
      <c r="U74" s="80">
        <f>S$13*'Mkt share'!$C$84</f>
        <v>0</v>
      </c>
      <c r="V74" s="80">
        <f>S$16*'Mkt share'!$C$84</f>
        <v>0</v>
      </c>
      <c r="W74" s="88">
        <f>S$19*'Mkt share'!$C$84</f>
        <v>0</v>
      </c>
      <c r="Z74" s="87" t="s">
        <v>175</v>
      </c>
      <c r="AA74" s="105">
        <v>0</v>
      </c>
      <c r="AB74" s="80">
        <f>AA$10*'Mkt share'!$C$85</f>
        <v>0</v>
      </c>
      <c r="AC74" s="80">
        <f>AA$13*'Mkt share'!$C$85</f>
        <v>0</v>
      </c>
      <c r="AD74" s="80">
        <f>AA$16*'Mkt share'!$C$85</f>
        <v>0</v>
      </c>
      <c r="AE74" s="88">
        <f>AA$19*'Mkt share'!$C$85</f>
        <v>0</v>
      </c>
      <c r="AH74" s="87" t="s">
        <v>175</v>
      </c>
      <c r="AI74" s="105">
        <v>0</v>
      </c>
      <c r="AJ74" s="80">
        <f>AI$10*'Mkt share'!$C$86</f>
        <v>0</v>
      </c>
      <c r="AK74" s="80">
        <f>AI$13*'Mkt share'!$C$86</f>
        <v>0</v>
      </c>
      <c r="AL74" s="80">
        <f>AI$16*'Mkt share'!$C$86</f>
        <v>0</v>
      </c>
      <c r="AM74" s="88">
        <f>AI$19*'Mkt share'!$C$86</f>
        <v>0</v>
      </c>
      <c r="AP74" s="87" t="s">
        <v>175</v>
      </c>
      <c r="AQ74" s="105">
        <v>0</v>
      </c>
      <c r="AR74" s="80">
        <f>AQ$10*'Mkt share'!$C$87</f>
        <v>0</v>
      </c>
      <c r="AS74" s="80">
        <f>AQ$13*'Mkt share'!$C$87</f>
        <v>0</v>
      </c>
      <c r="AT74" s="80">
        <f>AQ$16*'Mkt share'!$C$87</f>
        <v>0</v>
      </c>
      <c r="AU74" s="88">
        <f>AQ$19*'Mkt share'!$C$87</f>
        <v>0</v>
      </c>
      <c r="AX74" s="87" t="s">
        <v>175</v>
      </c>
      <c r="AY74" s="105">
        <v>0</v>
      </c>
      <c r="AZ74" s="80">
        <f>AY$10*'Mkt share'!$C$88</f>
        <v>0</v>
      </c>
      <c r="BA74" s="80">
        <f>AY$13*'Mkt share'!$C$88</f>
        <v>0</v>
      </c>
      <c r="BB74" s="80">
        <f>AY$16*'Mkt share'!$C$88</f>
        <v>0</v>
      </c>
      <c r="BC74" s="88">
        <f>AY$19*'Mkt share'!$C$88</f>
        <v>0</v>
      </c>
      <c r="BF74" s="87" t="s">
        <v>175</v>
      </c>
      <c r="BG74" s="105">
        <v>0</v>
      </c>
      <c r="BH74" s="80">
        <f>BG$10*'Mkt share'!$C$89</f>
        <v>0</v>
      </c>
      <c r="BI74" s="80">
        <f>BG$13*'Mkt share'!$C$89</f>
        <v>0</v>
      </c>
      <c r="BJ74" s="80">
        <f>BG$16*'Mkt share'!$C$89</f>
        <v>0</v>
      </c>
      <c r="BK74" s="88">
        <f>BG$19*'Mkt share'!$C$89</f>
        <v>0</v>
      </c>
      <c r="BN74" s="87" t="s">
        <v>175</v>
      </c>
      <c r="BO74" s="105">
        <v>0</v>
      </c>
      <c r="BP74" s="80">
        <f>BO$10*'Mkt share'!$C$90</f>
        <v>0</v>
      </c>
      <c r="BQ74" s="80">
        <f>BO$13*'Mkt share'!$C$90</f>
        <v>0</v>
      </c>
      <c r="BR74" s="80">
        <f>BO$16*'Mkt share'!$C$90</f>
        <v>0</v>
      </c>
      <c r="BS74" s="88">
        <f>BO$19*'Mkt share'!$C$90</f>
        <v>0</v>
      </c>
      <c r="BV74" s="87" t="s">
        <v>175</v>
      </c>
      <c r="BW74" s="105">
        <v>0</v>
      </c>
      <c r="BX74" s="80">
        <f>BW$10*'Mkt share'!$C$91</f>
        <v>0</v>
      </c>
      <c r="BY74" s="80">
        <f>BW$13*'Mkt share'!$C$91</f>
        <v>0</v>
      </c>
      <c r="BZ74" s="80">
        <f>BW$16*'Mkt share'!$C$91</f>
        <v>0</v>
      </c>
      <c r="CA74" s="88">
        <f>BW$19*'Mkt share'!$C$91</f>
        <v>0</v>
      </c>
      <c r="CD74" s="87" t="s">
        <v>175</v>
      </c>
      <c r="CE74" s="105">
        <v>0</v>
      </c>
      <c r="CF74" s="80">
        <f>CE$10*'Mkt share'!$C$92</f>
        <v>0</v>
      </c>
      <c r="CG74" s="80">
        <f>CE$13*'Mkt share'!$C$92</f>
        <v>0</v>
      </c>
      <c r="CH74" s="80">
        <f>CE$16*'Mkt share'!$C$92</f>
        <v>0</v>
      </c>
      <c r="CI74" s="88">
        <f>CE$19*'Mkt share'!$C$92</f>
        <v>0</v>
      </c>
      <c r="CL74" s="87" t="s">
        <v>175</v>
      </c>
      <c r="CM74" s="105">
        <v>0</v>
      </c>
      <c r="CN74" s="80">
        <f>CM$10*'Mkt share'!$C$93</f>
        <v>0</v>
      </c>
      <c r="CO74" s="80">
        <f>CM$13*'Mkt share'!$C$93</f>
        <v>0</v>
      </c>
      <c r="CP74" s="80">
        <f>CM$16*'Mkt share'!$C$93</f>
        <v>0</v>
      </c>
      <c r="CQ74" s="88">
        <f>CM$19*'Mkt share'!$C$93</f>
        <v>0</v>
      </c>
      <c r="CT74" s="87" t="s">
        <v>175</v>
      </c>
      <c r="CU74" s="105">
        <v>0</v>
      </c>
      <c r="CV74" s="80">
        <f>CU$10*'Mkt share'!$C$94</f>
        <v>0</v>
      </c>
      <c r="CW74" s="80">
        <f>CU$13*'Mkt share'!$C$94</f>
        <v>0</v>
      </c>
      <c r="CX74" s="80">
        <f>CU$16*'Mkt share'!$C$94</f>
        <v>0</v>
      </c>
      <c r="CY74" s="88">
        <f>CU$19*'Mkt share'!$C$94</f>
        <v>0</v>
      </c>
      <c r="DB74" s="87" t="s">
        <v>175</v>
      </c>
      <c r="DC74" s="105">
        <v>0</v>
      </c>
      <c r="DD74" s="80">
        <f>DC$10*'Mkt share'!$C$95</f>
        <v>0</v>
      </c>
      <c r="DE74" s="80">
        <f>DC$13*'Mkt share'!$C$95</f>
        <v>0</v>
      </c>
      <c r="DF74" s="80">
        <f>DC$16*'Mkt share'!$C$95</f>
        <v>0</v>
      </c>
      <c r="DG74" s="88">
        <f>DC$19*'Mkt share'!$C$95</f>
        <v>0</v>
      </c>
    </row>
    <row r="75" spans="2:111">
      <c r="B75" s="87" t="s">
        <v>171</v>
      </c>
      <c r="C75" s="103"/>
      <c r="D75" s="80">
        <f>D$7*'Mkt share'!$D$82</f>
        <v>69.037184062500003</v>
      </c>
      <c r="E75" s="80">
        <f>D$8*'Mkt share'!$D$82</f>
        <v>65.585324859375007</v>
      </c>
      <c r="F75" s="80">
        <f>D$11*'Mkt share'!$D$82</f>
        <v>62.13346565625001</v>
      </c>
      <c r="G75" s="88">
        <f>D$14*'Mkt share'!$D$82</f>
        <v>58.681606453124999</v>
      </c>
      <c r="J75" s="87" t="s">
        <v>171</v>
      </c>
      <c r="K75" s="103"/>
      <c r="L75" s="80">
        <f>L$7*'Mkt share'!$D$83</f>
        <v>55.229747250000003</v>
      </c>
      <c r="M75" s="80">
        <f>L$8*'Mkt share'!$D$83</f>
        <v>54.125152305</v>
      </c>
      <c r="N75" s="80">
        <f>L$11*'Mkt share'!$D$83</f>
        <v>53.020557360000005</v>
      </c>
      <c r="O75" s="88">
        <f>L$14*'Mkt share'!$D$83</f>
        <v>50.811367470000008</v>
      </c>
      <c r="R75" s="87" t="s">
        <v>171</v>
      </c>
      <c r="S75" s="103"/>
      <c r="T75" s="80">
        <f>T$7*'Mkt share'!$D$84</f>
        <v>0</v>
      </c>
      <c r="U75" s="80">
        <f>T$8*'Mkt share'!$D$84</f>
        <v>0</v>
      </c>
      <c r="V75" s="80">
        <f>T$11*'Mkt share'!$D$84</f>
        <v>0</v>
      </c>
      <c r="W75" s="88">
        <f>T$14*'Mkt share'!$D$84</f>
        <v>0</v>
      </c>
      <c r="Z75" s="87" t="s">
        <v>171</v>
      </c>
      <c r="AA75" s="103"/>
      <c r="AB75" s="80">
        <f>AB$7*'Mkt share'!$D$85</f>
        <v>0</v>
      </c>
      <c r="AC75" s="80">
        <f>AB$8*'Mkt share'!$D$85</f>
        <v>0</v>
      </c>
      <c r="AD75" s="80">
        <f>AB$11*'Mkt share'!$D$85</f>
        <v>0</v>
      </c>
      <c r="AE75" s="88">
        <f>AB$14*'Mkt share'!$D$85</f>
        <v>0</v>
      </c>
      <c r="AH75" s="87" t="s">
        <v>171</v>
      </c>
      <c r="AI75" s="103"/>
      <c r="AJ75" s="80">
        <f>AJ$7*'Mkt share'!$D$86</f>
        <v>566.10490931250001</v>
      </c>
      <c r="AK75" s="80">
        <f>AJ$8*'Mkt share'!$D$86</f>
        <v>566.10490931250001</v>
      </c>
      <c r="AL75" s="80">
        <f>AJ$11*'Mkt share'!$D$86</f>
        <v>566.10490931250001</v>
      </c>
      <c r="AM75" s="88">
        <f>AJ$14*'Mkt share'!$D$86</f>
        <v>566.10490931250001</v>
      </c>
      <c r="AP75" s="87" t="s">
        <v>171</v>
      </c>
      <c r="AQ75" s="103"/>
      <c r="AR75" s="80">
        <f>AR$7*'Mkt share'!$D$87</f>
        <v>0</v>
      </c>
      <c r="AS75" s="80">
        <f>AR$8*'Mkt share'!$D$87</f>
        <v>0</v>
      </c>
      <c r="AT75" s="80">
        <f>AR$11*'Mkt share'!$D$87</f>
        <v>0</v>
      </c>
      <c r="AU75" s="88">
        <f>AR$14*'Mkt share'!$D$87</f>
        <v>0</v>
      </c>
      <c r="AX75" s="87" t="s">
        <v>171</v>
      </c>
      <c r="AY75" s="103"/>
      <c r="AZ75" s="80">
        <f>AZ$7*'Mkt share'!$D$88</f>
        <v>0</v>
      </c>
      <c r="BA75" s="80">
        <f>AZ$8*'Mkt share'!$D$88</f>
        <v>0</v>
      </c>
      <c r="BB75" s="80">
        <f>AZ$11*'Mkt share'!$D$88</f>
        <v>0</v>
      </c>
      <c r="BC75" s="88">
        <f>AZ$14*'Mkt share'!$D$88</f>
        <v>0</v>
      </c>
      <c r="BF75" s="87" t="s">
        <v>171</v>
      </c>
      <c r="BG75" s="103"/>
      <c r="BH75" s="80">
        <f>BH$7*'Mkt share'!$D$89</f>
        <v>0</v>
      </c>
      <c r="BI75" s="80">
        <f>BH$8*'Mkt share'!$D$89</f>
        <v>0</v>
      </c>
      <c r="BJ75" s="80">
        <f>BH$11*'Mkt share'!$D$89</f>
        <v>0</v>
      </c>
      <c r="BK75" s="88">
        <f>BH$14*'Mkt share'!$D$89</f>
        <v>0</v>
      </c>
      <c r="BN75" s="87" t="s">
        <v>171</v>
      </c>
      <c r="BO75" s="103"/>
      <c r="BP75" s="80">
        <f>BP$7*'Mkt share'!$D$90</f>
        <v>0</v>
      </c>
      <c r="BQ75" s="80">
        <f>BP$8*'Mkt share'!$D$90</f>
        <v>0</v>
      </c>
      <c r="BR75" s="80">
        <f>BP$11*'Mkt share'!$D$90</f>
        <v>0</v>
      </c>
      <c r="BS75" s="88">
        <f>BP$14*'Mkt share'!$D$90</f>
        <v>0</v>
      </c>
      <c r="BV75" s="87" t="s">
        <v>171</v>
      </c>
      <c r="BW75" s="103"/>
      <c r="BX75" s="80">
        <f>BX$7*'Mkt share'!$D$91</f>
        <v>0</v>
      </c>
      <c r="BY75" s="80">
        <f>BX$8*'Mkt share'!$D$91</f>
        <v>0</v>
      </c>
      <c r="BZ75" s="80">
        <f>BX$11*'Mkt share'!$D$91</f>
        <v>0</v>
      </c>
      <c r="CA75" s="88">
        <f>BX$14*'Mkt share'!$D$91</f>
        <v>0</v>
      </c>
      <c r="CD75" s="87" t="s">
        <v>171</v>
      </c>
      <c r="CE75" s="103"/>
      <c r="CF75" s="80">
        <f>CF$7*'Mkt share'!$D$92</f>
        <v>0</v>
      </c>
      <c r="CG75" s="80">
        <f>CF$8*'Mkt share'!$D$92</f>
        <v>0</v>
      </c>
      <c r="CH75" s="80">
        <f>CF$11*'Mkt share'!$D$92</f>
        <v>0</v>
      </c>
      <c r="CI75" s="88">
        <f>CF$14*'Mkt share'!$D$92</f>
        <v>0</v>
      </c>
      <c r="CL75" s="87" t="s">
        <v>171</v>
      </c>
      <c r="CM75" s="103"/>
      <c r="CN75" s="80">
        <f>CN$7*'Mkt share'!$D$93</f>
        <v>0</v>
      </c>
      <c r="CO75" s="80">
        <f>CN$8*'Mkt share'!$D$93</f>
        <v>0</v>
      </c>
      <c r="CP75" s="80">
        <f>CN$11*'Mkt share'!$D$93</f>
        <v>0</v>
      </c>
      <c r="CQ75" s="88">
        <f>CN$14*'Mkt share'!$D$93</f>
        <v>0</v>
      </c>
      <c r="CT75" s="87" t="s">
        <v>171</v>
      </c>
      <c r="CU75" s="103"/>
      <c r="CV75" s="80">
        <f>CV$7*'Mkt share'!$D$94</f>
        <v>0</v>
      </c>
      <c r="CW75" s="80">
        <f>CV$8*'Mkt share'!$D$94</f>
        <v>0</v>
      </c>
      <c r="CX75" s="80">
        <f>CV$11*'Mkt share'!$D$94</f>
        <v>0</v>
      </c>
      <c r="CY75" s="88">
        <f>CV$14*'Mkt share'!$D$94</f>
        <v>0</v>
      </c>
      <c r="DB75" s="87" t="s">
        <v>171</v>
      </c>
      <c r="DC75" s="103"/>
      <c r="DD75" s="80">
        <f>DD$7*'Mkt share'!$D$95</f>
        <v>0</v>
      </c>
      <c r="DE75" s="80">
        <f>DD$8*'Mkt share'!$D$95</f>
        <v>0</v>
      </c>
      <c r="DF75" s="80">
        <f>DD$11*'Mkt share'!$D$95</f>
        <v>0</v>
      </c>
      <c r="DG75" s="88">
        <f>DD$14*'Mkt share'!$D$95</f>
        <v>0</v>
      </c>
    </row>
    <row r="76" spans="2:111">
      <c r="B76" s="87" t="s">
        <v>176</v>
      </c>
      <c r="C76" s="103"/>
      <c r="D76" s="105">
        <v>0</v>
      </c>
      <c r="E76" s="80">
        <f>D$10*'Mkt share'!$D$82</f>
        <v>3.4518592031250024</v>
      </c>
      <c r="F76" s="80">
        <f>D$13*'Mkt share'!$D$82</f>
        <v>6.2133465656249927</v>
      </c>
      <c r="G76" s="88">
        <f>D$16*'Mkt share'!$D$82</f>
        <v>8.9748339281250065</v>
      </c>
      <c r="J76" s="87" t="s">
        <v>176</v>
      </c>
      <c r="K76" s="103"/>
      <c r="L76" s="105">
        <v>0</v>
      </c>
      <c r="M76" s="80">
        <f>L$10*'Mkt share'!$D$83</f>
        <v>1.104594944999999</v>
      </c>
      <c r="N76" s="80">
        <f>L$13*'Mkt share'!$D$83</f>
        <v>1.6568924174999973</v>
      </c>
      <c r="O76" s="88">
        <f>L$16*'Mkt share'!$D$83</f>
        <v>3.3137848349999945</v>
      </c>
      <c r="R76" s="87" t="s">
        <v>176</v>
      </c>
      <c r="S76" s="103"/>
      <c r="T76" s="105">
        <v>0</v>
      </c>
      <c r="U76" s="80">
        <f>T$10*'Mkt share'!$D$84</f>
        <v>0</v>
      </c>
      <c r="V76" s="80">
        <f>T$13*'Mkt share'!$D$84</f>
        <v>0</v>
      </c>
      <c r="W76" s="88">
        <f>T$16*'Mkt share'!$D$84</f>
        <v>0</v>
      </c>
      <c r="Z76" s="87" t="s">
        <v>176</v>
      </c>
      <c r="AA76" s="103"/>
      <c r="AB76" s="105">
        <v>0</v>
      </c>
      <c r="AC76" s="80">
        <f>AB$10*'Mkt share'!$D$85</f>
        <v>0</v>
      </c>
      <c r="AD76" s="80">
        <f>AB$13*'Mkt share'!$D$85</f>
        <v>0</v>
      </c>
      <c r="AE76" s="88">
        <f>AB$16*'Mkt share'!$D$85</f>
        <v>0</v>
      </c>
      <c r="AH76" s="87" t="s">
        <v>176</v>
      </c>
      <c r="AI76" s="103"/>
      <c r="AJ76" s="105">
        <v>0</v>
      </c>
      <c r="AK76" s="80">
        <f>AJ$10*'Mkt share'!$D$86</f>
        <v>0</v>
      </c>
      <c r="AL76" s="80">
        <f>AJ$13*'Mkt share'!$D$86</f>
        <v>0</v>
      </c>
      <c r="AM76" s="88">
        <f>AJ$16*'Mkt share'!$D$86</f>
        <v>0</v>
      </c>
      <c r="AP76" s="87" t="s">
        <v>176</v>
      </c>
      <c r="AQ76" s="103"/>
      <c r="AR76" s="105">
        <v>0</v>
      </c>
      <c r="AS76" s="80">
        <f>AR$10*'Mkt share'!$D$87</f>
        <v>0</v>
      </c>
      <c r="AT76" s="80">
        <f>AR$13*'Mkt share'!$D$87</f>
        <v>0</v>
      </c>
      <c r="AU76" s="88">
        <f>AR$16*'Mkt share'!$D$87</f>
        <v>0</v>
      </c>
      <c r="AX76" s="87" t="s">
        <v>176</v>
      </c>
      <c r="AY76" s="103"/>
      <c r="AZ76" s="105">
        <v>0</v>
      </c>
      <c r="BA76" s="80">
        <f>AZ$10*'Mkt share'!$D$88</f>
        <v>0</v>
      </c>
      <c r="BB76" s="80">
        <f>AZ$13*'Mkt share'!$D$88</f>
        <v>0</v>
      </c>
      <c r="BC76" s="88">
        <f>AZ$16*'Mkt share'!$D$88</f>
        <v>0</v>
      </c>
      <c r="BF76" s="87" t="s">
        <v>176</v>
      </c>
      <c r="BG76" s="103"/>
      <c r="BH76" s="105">
        <v>0</v>
      </c>
      <c r="BI76" s="80">
        <f>BH$10*'Mkt share'!$D$89</f>
        <v>0</v>
      </c>
      <c r="BJ76" s="80">
        <f>BH$13*'Mkt share'!$D$89</f>
        <v>0</v>
      </c>
      <c r="BK76" s="88">
        <f>BH$16*'Mkt share'!$D$89</f>
        <v>0</v>
      </c>
      <c r="BN76" s="87" t="s">
        <v>176</v>
      </c>
      <c r="BO76" s="103"/>
      <c r="BP76" s="105">
        <v>0</v>
      </c>
      <c r="BQ76" s="80">
        <f>BP$10*'Mkt share'!$D$90</f>
        <v>0</v>
      </c>
      <c r="BR76" s="80">
        <f>BP$13*'Mkt share'!$D$90</f>
        <v>0</v>
      </c>
      <c r="BS76" s="88">
        <f>BP$16*'Mkt share'!$D$90</f>
        <v>0</v>
      </c>
      <c r="BV76" s="87" t="s">
        <v>176</v>
      </c>
      <c r="BW76" s="103"/>
      <c r="BX76" s="105">
        <v>0</v>
      </c>
      <c r="BY76" s="80">
        <f>BX$10*'Mkt share'!$D$91</f>
        <v>0</v>
      </c>
      <c r="BZ76" s="80">
        <f>BX$13*'Mkt share'!$D$91</f>
        <v>0</v>
      </c>
      <c r="CA76" s="88">
        <f>BX$16*'Mkt share'!$D$91</f>
        <v>0</v>
      </c>
      <c r="CD76" s="87" t="s">
        <v>176</v>
      </c>
      <c r="CE76" s="103"/>
      <c r="CF76" s="105">
        <v>0</v>
      </c>
      <c r="CG76" s="80">
        <f>CF$10*'Mkt share'!$D$92</f>
        <v>0</v>
      </c>
      <c r="CH76" s="80">
        <f>CF$13*'Mkt share'!$D$92</f>
        <v>0</v>
      </c>
      <c r="CI76" s="88">
        <f>CF$16*'Mkt share'!$D$92</f>
        <v>0</v>
      </c>
      <c r="CL76" s="87" t="s">
        <v>176</v>
      </c>
      <c r="CM76" s="103"/>
      <c r="CN76" s="105">
        <v>0</v>
      </c>
      <c r="CO76" s="80">
        <f>CN$10*'Mkt share'!$D$93</f>
        <v>0</v>
      </c>
      <c r="CP76" s="80">
        <f>CN$13*'Mkt share'!$D$93</f>
        <v>0</v>
      </c>
      <c r="CQ76" s="88">
        <f>CN$16*'Mkt share'!$D$93</f>
        <v>0</v>
      </c>
      <c r="CT76" s="87" t="s">
        <v>176</v>
      </c>
      <c r="CU76" s="103"/>
      <c r="CV76" s="105">
        <v>0</v>
      </c>
      <c r="CW76" s="80">
        <f>CV$10*'Mkt share'!$D$94</f>
        <v>0</v>
      </c>
      <c r="CX76" s="80">
        <f>CV$13*'Mkt share'!$D$94</f>
        <v>0</v>
      </c>
      <c r="CY76" s="88">
        <f>CV$16*'Mkt share'!$D$94</f>
        <v>0</v>
      </c>
      <c r="DB76" s="87" t="s">
        <v>176</v>
      </c>
      <c r="DC76" s="103"/>
      <c r="DD76" s="105">
        <v>0</v>
      </c>
      <c r="DE76" s="80">
        <f>DD$10*'Mkt share'!$D$95</f>
        <v>0</v>
      </c>
      <c r="DF76" s="80">
        <f>DD$13*'Mkt share'!$D$95</f>
        <v>0</v>
      </c>
      <c r="DG76" s="88">
        <f>DD$16*'Mkt share'!$D$95</f>
        <v>0</v>
      </c>
    </row>
    <row r="77" spans="2:111">
      <c r="B77" s="87" t="s">
        <v>172</v>
      </c>
      <c r="C77" s="103"/>
      <c r="D77" s="103"/>
      <c r="E77" s="80">
        <f>E$7*'Mkt share'!$E$82</f>
        <v>139.11932232500001</v>
      </c>
      <c r="F77" s="80">
        <f>E$8*'Mkt share'!$E$82</f>
        <v>132.16335620875</v>
      </c>
      <c r="G77" s="88">
        <f>E$11*'Mkt share'!$E$82</f>
        <v>125.20739009250002</v>
      </c>
      <c r="J77" s="87" t="s">
        <v>172</v>
      </c>
      <c r="K77" s="103"/>
      <c r="L77" s="103"/>
      <c r="M77" s="80">
        <f>M$7*'Mkt share'!$E$83</f>
        <v>125.20739009250001</v>
      </c>
      <c r="N77" s="80">
        <f>M$8*'Mkt share'!$E$83</f>
        <v>122.70324229065</v>
      </c>
      <c r="O77" s="88">
        <f>M$11*'Mkt share'!$E$83</f>
        <v>120.1990944888</v>
      </c>
      <c r="R77" s="87" t="s">
        <v>172</v>
      </c>
      <c r="S77" s="103"/>
      <c r="T77" s="103"/>
      <c r="U77" s="80">
        <f>U$7*'Mkt share'!$E$84</f>
        <v>0</v>
      </c>
      <c r="V77" s="80">
        <f>U$8*'Mkt share'!$E$84</f>
        <v>0</v>
      </c>
      <c r="W77" s="88">
        <f>U$11*'Mkt share'!$E$84</f>
        <v>0</v>
      </c>
      <c r="Z77" s="87" t="s">
        <v>172</v>
      </c>
      <c r="AA77" s="103"/>
      <c r="AB77" s="103"/>
      <c r="AC77" s="80">
        <f>AC$7*'Mkt share'!$E$85</f>
        <v>0</v>
      </c>
      <c r="AD77" s="80">
        <f>AC$8*'Mkt share'!$E$85</f>
        <v>0</v>
      </c>
      <c r="AE77" s="88">
        <f>AC$11*'Mkt share'!$E$85</f>
        <v>0</v>
      </c>
      <c r="AH77" s="87" t="s">
        <v>172</v>
      </c>
      <c r="AI77" s="103"/>
      <c r="AJ77" s="103"/>
      <c r="AK77" s="80">
        <f>AK$7*'Mkt share'!$E$86</f>
        <v>431.26989920750003</v>
      </c>
      <c r="AL77" s="80">
        <f>AK$8*'Mkt share'!$E$86</f>
        <v>431.26989920750003</v>
      </c>
      <c r="AM77" s="88">
        <f>AK$11*'Mkt share'!$E$86</f>
        <v>431.26989920750003</v>
      </c>
      <c r="AP77" s="87" t="s">
        <v>172</v>
      </c>
      <c r="AQ77" s="103"/>
      <c r="AR77" s="103"/>
      <c r="AS77" s="80">
        <f>AS$7*'Mkt share'!$E$87</f>
        <v>0</v>
      </c>
      <c r="AT77" s="80">
        <f>AS$8*'Mkt share'!$E$87</f>
        <v>0</v>
      </c>
      <c r="AU77" s="88">
        <f>AS$11*'Mkt share'!$E$87</f>
        <v>0</v>
      </c>
      <c r="AX77" s="87" t="s">
        <v>172</v>
      </c>
      <c r="AY77" s="103"/>
      <c r="AZ77" s="103"/>
      <c r="BA77" s="80">
        <f>BA$7*'Mkt share'!$E$88</f>
        <v>0</v>
      </c>
      <c r="BB77" s="80">
        <f>BA$8*'Mkt share'!$E$88</f>
        <v>0</v>
      </c>
      <c r="BC77" s="88">
        <f>BA$11*'Mkt share'!$E$88</f>
        <v>0</v>
      </c>
      <c r="BF77" s="87" t="s">
        <v>172</v>
      </c>
      <c r="BG77" s="103"/>
      <c r="BH77" s="103"/>
      <c r="BI77" s="80">
        <f>BI$7*'Mkt share'!$E$89</f>
        <v>0</v>
      </c>
      <c r="BJ77" s="80">
        <f>BI$8*'Mkt share'!$E$89</f>
        <v>0</v>
      </c>
      <c r="BK77" s="88">
        <f>BI$11*'Mkt share'!$E$89</f>
        <v>0</v>
      </c>
      <c r="BN77" s="87" t="s">
        <v>172</v>
      </c>
      <c r="BO77" s="103"/>
      <c r="BP77" s="103"/>
      <c r="BQ77" s="80">
        <f>BQ$7*'Mkt share'!$E$90</f>
        <v>0</v>
      </c>
      <c r="BR77" s="80">
        <f>BQ$8*'Mkt share'!$E$90</f>
        <v>0</v>
      </c>
      <c r="BS77" s="88">
        <f>BQ$11*'Mkt share'!$E$90</f>
        <v>0</v>
      </c>
      <c r="BV77" s="87" t="s">
        <v>172</v>
      </c>
      <c r="BW77" s="103"/>
      <c r="BX77" s="103"/>
      <c r="BY77" s="80">
        <f>BY$7*'Mkt share'!$E$91</f>
        <v>0</v>
      </c>
      <c r="BZ77" s="80">
        <f>BY$8*'Mkt share'!$E$91</f>
        <v>0</v>
      </c>
      <c r="CA77" s="88">
        <f>BY$11*'Mkt share'!$E$91</f>
        <v>0</v>
      </c>
      <c r="CD77" s="87" t="s">
        <v>172</v>
      </c>
      <c r="CE77" s="103"/>
      <c r="CF77" s="103"/>
      <c r="CG77" s="80">
        <f>CG$7*'Mkt share'!$E$92</f>
        <v>0</v>
      </c>
      <c r="CH77" s="80">
        <f>CG$8*'Mkt share'!$E$92</f>
        <v>0</v>
      </c>
      <c r="CI77" s="88">
        <f>CG$11*'Mkt share'!$E$92</f>
        <v>0</v>
      </c>
      <c r="CL77" s="87" t="s">
        <v>172</v>
      </c>
      <c r="CM77" s="103"/>
      <c r="CN77" s="103"/>
      <c r="CO77" s="80">
        <f>CO$7*'Mkt share'!$E$93</f>
        <v>0</v>
      </c>
      <c r="CP77" s="80">
        <f>CO$8*'Mkt share'!$E$93</f>
        <v>0</v>
      </c>
      <c r="CQ77" s="88">
        <f>CO$11*'Mkt share'!$E$93</f>
        <v>0</v>
      </c>
      <c r="CT77" s="87" t="s">
        <v>172</v>
      </c>
      <c r="CU77" s="103"/>
      <c r="CV77" s="103"/>
      <c r="CW77" s="80">
        <f>CW$7*'Mkt share'!$E$94</f>
        <v>0</v>
      </c>
      <c r="CX77" s="80">
        <f>CW$8*'Mkt share'!$E$94</f>
        <v>0</v>
      </c>
      <c r="CY77" s="88">
        <f>CW$11*'Mkt share'!$E$94</f>
        <v>0</v>
      </c>
      <c r="DB77" s="87" t="s">
        <v>172</v>
      </c>
      <c r="DC77" s="103"/>
      <c r="DD77" s="103"/>
      <c r="DE77" s="80">
        <f>DE$7*'Mkt share'!$E$95</f>
        <v>0</v>
      </c>
      <c r="DF77" s="80">
        <f>DE$8*'Mkt share'!$E$95</f>
        <v>0</v>
      </c>
      <c r="DG77" s="88">
        <f>DE$11*'Mkt share'!$E$95</f>
        <v>0</v>
      </c>
    </row>
    <row r="78" spans="2:111">
      <c r="B78" s="87" t="s">
        <v>177</v>
      </c>
      <c r="C78" s="103"/>
      <c r="D78" s="103"/>
      <c r="E78" s="105">
        <v>0</v>
      </c>
      <c r="F78" s="80">
        <f>E$10*'Mkt share'!$E$82</f>
        <v>6.9559661162500106</v>
      </c>
      <c r="G78" s="88">
        <f>E$13*'Mkt share'!$E$82</f>
        <v>12.520739009249999</v>
      </c>
      <c r="J78" s="87" t="s">
        <v>177</v>
      </c>
      <c r="K78" s="103"/>
      <c r="L78" s="103"/>
      <c r="M78" s="105">
        <v>0</v>
      </c>
      <c r="N78" s="80">
        <f>M$10*'Mkt share'!$E$83</f>
        <v>2.5041478018500039</v>
      </c>
      <c r="O78" s="88">
        <f>M$13*'Mkt share'!$E$83</f>
        <v>3.7562217027750062</v>
      </c>
      <c r="R78" s="87" t="s">
        <v>177</v>
      </c>
      <c r="S78" s="103"/>
      <c r="T78" s="103"/>
      <c r="U78" s="105">
        <v>0</v>
      </c>
      <c r="V78" s="80">
        <f>U$10*'Mkt share'!$E$84</f>
        <v>0</v>
      </c>
      <c r="W78" s="88">
        <f>U$13*'Mkt share'!$E$84</f>
        <v>0</v>
      </c>
      <c r="Z78" s="87" t="s">
        <v>177</v>
      </c>
      <c r="AA78" s="103"/>
      <c r="AB78" s="103"/>
      <c r="AC78" s="105">
        <v>0</v>
      </c>
      <c r="AD78" s="80">
        <f>AC$10*'Mkt share'!$E$85</f>
        <v>0</v>
      </c>
      <c r="AE78" s="88">
        <f>AC$13*'Mkt share'!$E$85</f>
        <v>0</v>
      </c>
      <c r="AH78" s="87" t="s">
        <v>177</v>
      </c>
      <c r="AI78" s="103"/>
      <c r="AJ78" s="103"/>
      <c r="AK78" s="105">
        <v>0</v>
      </c>
      <c r="AL78" s="80">
        <f>AK$10*'Mkt share'!$E$86</f>
        <v>0</v>
      </c>
      <c r="AM78" s="88">
        <f>AK$13*'Mkt share'!$E$86</f>
        <v>0</v>
      </c>
      <c r="AP78" s="87" t="s">
        <v>177</v>
      </c>
      <c r="AQ78" s="103"/>
      <c r="AR78" s="103"/>
      <c r="AS78" s="105">
        <v>0</v>
      </c>
      <c r="AT78" s="80">
        <f>AS$10*'Mkt share'!$E$87</f>
        <v>0</v>
      </c>
      <c r="AU78" s="88">
        <f>AS$13*'Mkt share'!$E$87</f>
        <v>0</v>
      </c>
      <c r="AX78" s="87" t="s">
        <v>177</v>
      </c>
      <c r="AY78" s="103"/>
      <c r="AZ78" s="103"/>
      <c r="BA78" s="105">
        <v>0</v>
      </c>
      <c r="BB78" s="80">
        <f>BA$10*'Mkt share'!$E$88</f>
        <v>0</v>
      </c>
      <c r="BC78" s="88">
        <f>BA$13*'Mkt share'!$E$88</f>
        <v>0</v>
      </c>
      <c r="BF78" s="87" t="s">
        <v>177</v>
      </c>
      <c r="BG78" s="103"/>
      <c r="BH78" s="103"/>
      <c r="BI78" s="105">
        <v>0</v>
      </c>
      <c r="BJ78" s="80">
        <f>BI$10*'Mkt share'!$E$89</f>
        <v>0</v>
      </c>
      <c r="BK78" s="88">
        <f>BI$13*'Mkt share'!$E$89</f>
        <v>0</v>
      </c>
      <c r="BN78" s="87" t="s">
        <v>177</v>
      </c>
      <c r="BO78" s="103"/>
      <c r="BP78" s="103"/>
      <c r="BQ78" s="105">
        <v>0</v>
      </c>
      <c r="BR78" s="80">
        <f>BQ$10*'Mkt share'!$E$90</f>
        <v>0</v>
      </c>
      <c r="BS78" s="88">
        <f>BQ$13*'Mkt share'!$E$90</f>
        <v>0</v>
      </c>
      <c r="BV78" s="87" t="s">
        <v>177</v>
      </c>
      <c r="BW78" s="103"/>
      <c r="BX78" s="103"/>
      <c r="BY78" s="105">
        <v>0</v>
      </c>
      <c r="BZ78" s="80">
        <f>BY$10*'Mkt share'!$E$91</f>
        <v>0</v>
      </c>
      <c r="CA78" s="88">
        <f>BY$13*'Mkt share'!$E$91</f>
        <v>0</v>
      </c>
      <c r="CD78" s="87" t="s">
        <v>177</v>
      </c>
      <c r="CE78" s="103"/>
      <c r="CF78" s="103"/>
      <c r="CG78" s="105">
        <v>0</v>
      </c>
      <c r="CH78" s="80">
        <f>CG$10*'Mkt share'!$E$92</f>
        <v>0</v>
      </c>
      <c r="CI78" s="88">
        <f>CG$13*'Mkt share'!$E$92</f>
        <v>0</v>
      </c>
      <c r="CL78" s="87" t="s">
        <v>177</v>
      </c>
      <c r="CM78" s="103"/>
      <c r="CN78" s="103"/>
      <c r="CO78" s="105">
        <v>0</v>
      </c>
      <c r="CP78" s="80">
        <f>CO$10*'Mkt share'!$E$93</f>
        <v>0</v>
      </c>
      <c r="CQ78" s="88">
        <f>CO$13*'Mkt share'!$E$93</f>
        <v>0</v>
      </c>
      <c r="CT78" s="87" t="s">
        <v>177</v>
      </c>
      <c r="CU78" s="103"/>
      <c r="CV78" s="103"/>
      <c r="CW78" s="105">
        <v>0</v>
      </c>
      <c r="CX78" s="80">
        <f>CW$10*'Mkt share'!$E$94</f>
        <v>0</v>
      </c>
      <c r="CY78" s="88">
        <f>CW$13*'Mkt share'!$E$94</f>
        <v>0</v>
      </c>
      <c r="DB78" s="87" t="s">
        <v>177</v>
      </c>
      <c r="DC78" s="103"/>
      <c r="DD78" s="103"/>
      <c r="DE78" s="105">
        <v>0</v>
      </c>
      <c r="DF78" s="80">
        <f>DE$10*'Mkt share'!$E$95</f>
        <v>0</v>
      </c>
      <c r="DG78" s="88">
        <f>DE$13*'Mkt share'!$E$95</f>
        <v>0</v>
      </c>
    </row>
    <row r="79" spans="2:111">
      <c r="B79" s="87" t="s">
        <v>173</v>
      </c>
      <c r="C79" s="103"/>
      <c r="D79" s="103"/>
      <c r="E79" s="103"/>
      <c r="F79" s="80">
        <f>F$7*'Mkt share'!$F$82</f>
        <v>210.25333398750001</v>
      </c>
      <c r="G79" s="88">
        <f>F$8*'Mkt share'!$F$82</f>
        <v>199.740667288125</v>
      </c>
      <c r="J79" s="87" t="s">
        <v>173</v>
      </c>
      <c r="K79" s="103"/>
      <c r="L79" s="103"/>
      <c r="M79" s="103"/>
      <c r="N79" s="80">
        <f>N$7*'Mkt share'!$F$83</f>
        <v>161.19422272375002</v>
      </c>
      <c r="O79" s="88">
        <f>N$8*'Mkt share'!$F$83</f>
        <v>157.970338269275</v>
      </c>
      <c r="R79" s="87" t="s">
        <v>173</v>
      </c>
      <c r="S79" s="103"/>
      <c r="T79" s="103"/>
      <c r="U79" s="103"/>
      <c r="V79" s="80">
        <f>V$7*'Mkt share'!$F$84</f>
        <v>0</v>
      </c>
      <c r="W79" s="88">
        <f>V$8*'Mkt share'!$F$84</f>
        <v>0</v>
      </c>
      <c r="Z79" s="87" t="s">
        <v>173</v>
      </c>
      <c r="AA79" s="103"/>
      <c r="AB79" s="103"/>
      <c r="AC79" s="103"/>
      <c r="AD79" s="80">
        <f>AD$7*'Mkt share'!$F$85</f>
        <v>0</v>
      </c>
      <c r="AE79" s="88">
        <f>AD$8*'Mkt share'!$F$85</f>
        <v>0</v>
      </c>
      <c r="AH79" s="87" t="s">
        <v>173</v>
      </c>
      <c r="AI79" s="103"/>
      <c r="AJ79" s="103"/>
      <c r="AK79" s="103"/>
      <c r="AL79" s="80">
        <f>AL$7*'Mkt share'!$F$86</f>
        <v>329.39688991374999</v>
      </c>
      <c r="AM79" s="88">
        <f>AL$8*'Mkt share'!$F$86</f>
        <v>329.39688991374999</v>
      </c>
      <c r="AP79" s="87" t="s">
        <v>173</v>
      </c>
      <c r="AQ79" s="103"/>
      <c r="AR79" s="103"/>
      <c r="AS79" s="103"/>
      <c r="AT79" s="80">
        <f>AT$7*'Mkt share'!$F$87</f>
        <v>0</v>
      </c>
      <c r="AU79" s="88">
        <f>AT$8*'Mkt share'!$F$87</f>
        <v>0</v>
      </c>
      <c r="AX79" s="87" t="s">
        <v>173</v>
      </c>
      <c r="AY79" s="103"/>
      <c r="AZ79" s="103"/>
      <c r="BA79" s="103"/>
      <c r="BB79" s="80">
        <f>BB$7*'Mkt share'!$F$88</f>
        <v>0</v>
      </c>
      <c r="BC79" s="88">
        <f>BB$8*'Mkt share'!$F$88</f>
        <v>0</v>
      </c>
      <c r="BF79" s="87" t="s">
        <v>173</v>
      </c>
      <c r="BG79" s="103"/>
      <c r="BH79" s="103"/>
      <c r="BI79" s="103"/>
      <c r="BJ79" s="80">
        <f>BJ$7*'Mkt share'!$F$89</f>
        <v>0</v>
      </c>
      <c r="BK79" s="88">
        <f>BJ$8*'Mkt share'!$F$89</f>
        <v>0</v>
      </c>
      <c r="BN79" s="87" t="s">
        <v>173</v>
      </c>
      <c r="BO79" s="103"/>
      <c r="BP79" s="103"/>
      <c r="BQ79" s="103"/>
      <c r="BR79" s="80">
        <f>BR$7*'Mkt share'!$F$90</f>
        <v>0</v>
      </c>
      <c r="BS79" s="88">
        <f>BR$8*'Mkt share'!$F$90</f>
        <v>0</v>
      </c>
      <c r="BV79" s="87" t="s">
        <v>173</v>
      </c>
      <c r="BW79" s="103"/>
      <c r="BX79" s="103"/>
      <c r="BY79" s="103"/>
      <c r="BZ79" s="80">
        <f>BZ$7*'Mkt share'!$F$91</f>
        <v>0</v>
      </c>
      <c r="CA79" s="88">
        <f>BZ$8*'Mkt share'!$F$91</f>
        <v>0</v>
      </c>
      <c r="CD79" s="87" t="s">
        <v>173</v>
      </c>
      <c r="CE79" s="103"/>
      <c r="CF79" s="103"/>
      <c r="CG79" s="103"/>
      <c r="CH79" s="80">
        <f>CH$7*'Mkt share'!$F$92</f>
        <v>0</v>
      </c>
      <c r="CI79" s="88">
        <f>CH$8*'Mkt share'!$F$92</f>
        <v>0</v>
      </c>
      <c r="CL79" s="87" t="s">
        <v>173</v>
      </c>
      <c r="CM79" s="103"/>
      <c r="CN79" s="103"/>
      <c r="CO79" s="103"/>
      <c r="CP79" s="80">
        <f>CP$7*'Mkt share'!$F$93</f>
        <v>0</v>
      </c>
      <c r="CQ79" s="88">
        <f>CP$8*'Mkt share'!$F$93</f>
        <v>0</v>
      </c>
      <c r="CT79" s="87" t="s">
        <v>173</v>
      </c>
      <c r="CU79" s="103"/>
      <c r="CV79" s="103"/>
      <c r="CW79" s="103"/>
      <c r="CX79" s="80">
        <f>CX$7*'Mkt share'!$F$94</f>
        <v>0</v>
      </c>
      <c r="CY79" s="88">
        <f>CX$8*'Mkt share'!$F$94</f>
        <v>0</v>
      </c>
      <c r="DB79" s="87" t="s">
        <v>173</v>
      </c>
      <c r="DC79" s="103"/>
      <c r="DD79" s="103"/>
      <c r="DE79" s="103"/>
      <c r="DF79" s="80">
        <f>DF$7*'Mkt share'!$F$95</f>
        <v>0</v>
      </c>
      <c r="DG79" s="88">
        <f>DF$8*'Mkt share'!$F$95</f>
        <v>0</v>
      </c>
    </row>
    <row r="80" spans="2:111">
      <c r="B80" s="87" t="s">
        <v>178</v>
      </c>
      <c r="C80" s="103"/>
      <c r="D80" s="103"/>
      <c r="E80" s="103"/>
      <c r="F80" s="105">
        <v>0</v>
      </c>
      <c r="G80" s="88">
        <f>F$10*'Mkt share'!$F$82</f>
        <v>10.512666699375018</v>
      </c>
      <c r="J80" s="87" t="s">
        <v>178</v>
      </c>
      <c r="K80" s="103"/>
      <c r="L80" s="103"/>
      <c r="M80" s="103"/>
      <c r="N80" s="105">
        <v>0</v>
      </c>
      <c r="O80" s="88">
        <f>N$10*'Mkt share'!$F$83</f>
        <v>3.2238844544750056</v>
      </c>
      <c r="R80" s="87" t="s">
        <v>178</v>
      </c>
      <c r="S80" s="103"/>
      <c r="T80" s="103"/>
      <c r="U80" s="103"/>
      <c r="V80" s="105">
        <v>0</v>
      </c>
      <c r="W80" s="88">
        <f>V$10*'Mkt share'!$F$84</f>
        <v>0</v>
      </c>
      <c r="Z80" s="87" t="s">
        <v>178</v>
      </c>
      <c r="AA80" s="103"/>
      <c r="AB80" s="103"/>
      <c r="AC80" s="103"/>
      <c r="AD80" s="105">
        <v>0</v>
      </c>
      <c r="AE80" s="88">
        <f>AD$10*'Mkt share'!$F$85</f>
        <v>0</v>
      </c>
      <c r="AH80" s="87" t="s">
        <v>178</v>
      </c>
      <c r="AI80" s="103"/>
      <c r="AJ80" s="103"/>
      <c r="AK80" s="103"/>
      <c r="AL80" s="105">
        <v>0</v>
      </c>
      <c r="AM80" s="88">
        <f>AL$10*'Mkt share'!$F$86</f>
        <v>0</v>
      </c>
      <c r="AP80" s="87" t="s">
        <v>178</v>
      </c>
      <c r="AQ80" s="103"/>
      <c r="AR80" s="103"/>
      <c r="AS80" s="103"/>
      <c r="AT80" s="105">
        <v>0</v>
      </c>
      <c r="AU80" s="88">
        <f>AT$10*'Mkt share'!$F$87</f>
        <v>0</v>
      </c>
      <c r="AX80" s="87" t="s">
        <v>178</v>
      </c>
      <c r="AY80" s="103"/>
      <c r="AZ80" s="103"/>
      <c r="BA80" s="103"/>
      <c r="BB80" s="105">
        <v>0</v>
      </c>
      <c r="BC80" s="88">
        <f>BB$10*'Mkt share'!$F$88</f>
        <v>0</v>
      </c>
      <c r="BF80" s="87" t="s">
        <v>178</v>
      </c>
      <c r="BG80" s="103"/>
      <c r="BH80" s="103"/>
      <c r="BI80" s="103"/>
      <c r="BJ80" s="105">
        <v>0</v>
      </c>
      <c r="BK80" s="88">
        <f>BJ$10*'Mkt share'!$F$89</f>
        <v>0</v>
      </c>
      <c r="BN80" s="87" t="s">
        <v>178</v>
      </c>
      <c r="BO80" s="103"/>
      <c r="BP80" s="103"/>
      <c r="BQ80" s="103"/>
      <c r="BR80" s="105">
        <v>0</v>
      </c>
      <c r="BS80" s="88">
        <f>BR$10*'Mkt share'!$F$90</f>
        <v>0</v>
      </c>
      <c r="BV80" s="87" t="s">
        <v>178</v>
      </c>
      <c r="BW80" s="103"/>
      <c r="BX80" s="103"/>
      <c r="BY80" s="103"/>
      <c r="BZ80" s="105">
        <v>0</v>
      </c>
      <c r="CA80" s="88">
        <f>BZ$10*'Mkt share'!$F$91</f>
        <v>0</v>
      </c>
      <c r="CD80" s="87" t="s">
        <v>178</v>
      </c>
      <c r="CE80" s="103"/>
      <c r="CF80" s="103"/>
      <c r="CG80" s="103"/>
      <c r="CH80" s="105">
        <v>0</v>
      </c>
      <c r="CI80" s="88">
        <f>CH$10*'Mkt share'!$F$92</f>
        <v>0</v>
      </c>
      <c r="CL80" s="87" t="s">
        <v>178</v>
      </c>
      <c r="CM80" s="103"/>
      <c r="CN80" s="103"/>
      <c r="CO80" s="103"/>
      <c r="CP80" s="105">
        <v>0</v>
      </c>
      <c r="CQ80" s="88">
        <f>CP$10*'Mkt share'!$F$93</f>
        <v>0</v>
      </c>
      <c r="CT80" s="87" t="s">
        <v>178</v>
      </c>
      <c r="CU80" s="103"/>
      <c r="CV80" s="103"/>
      <c r="CW80" s="103"/>
      <c r="CX80" s="105">
        <v>0</v>
      </c>
      <c r="CY80" s="88">
        <f>CX$10*'Mkt share'!$F$94</f>
        <v>0</v>
      </c>
      <c r="DB80" s="87" t="s">
        <v>178</v>
      </c>
      <c r="DC80" s="103"/>
      <c r="DD80" s="103"/>
      <c r="DE80" s="103"/>
      <c r="DF80" s="105">
        <v>0</v>
      </c>
      <c r="DG80" s="88">
        <f>DF$10*'Mkt share'!$F$95</f>
        <v>0</v>
      </c>
    </row>
    <row r="81" spans="2:113">
      <c r="B81" s="87" t="s">
        <v>174</v>
      </c>
      <c r="C81" s="103"/>
      <c r="D81" s="103"/>
      <c r="E81" s="103"/>
      <c r="F81" s="103"/>
      <c r="G81" s="88">
        <f>G$7*'Mkt share'!$G$82</f>
        <v>211.85800597500003</v>
      </c>
      <c r="J81" s="87" t="s">
        <v>174</v>
      </c>
      <c r="K81" s="103"/>
      <c r="L81" s="103"/>
      <c r="M81" s="103"/>
      <c r="N81" s="103"/>
      <c r="O81" s="88">
        <f>O$7*'Mkt share'!$G$83</f>
        <v>176.54833831250002</v>
      </c>
      <c r="R81" s="87" t="s">
        <v>174</v>
      </c>
      <c r="S81" s="103"/>
      <c r="T81" s="103"/>
      <c r="U81" s="103"/>
      <c r="V81" s="103"/>
      <c r="W81" s="88">
        <f>W$7*'Mkt share'!$G$84</f>
        <v>0</v>
      </c>
      <c r="Z81" s="87" t="s">
        <v>174</v>
      </c>
      <c r="AA81" s="103"/>
      <c r="AB81" s="103"/>
      <c r="AC81" s="103"/>
      <c r="AD81" s="103"/>
      <c r="AE81" s="88">
        <f>AE$7*'Mkt share'!$G$85</f>
        <v>0</v>
      </c>
      <c r="AH81" s="87" t="s">
        <v>174</v>
      </c>
      <c r="AI81" s="103"/>
      <c r="AJ81" s="103"/>
      <c r="AK81" s="103"/>
      <c r="AL81" s="103"/>
      <c r="AM81" s="88">
        <f>AM$7*'Mkt share'!$G$86</f>
        <v>317.78700896250007</v>
      </c>
      <c r="AP81" s="87" t="s">
        <v>174</v>
      </c>
      <c r="AQ81" s="103"/>
      <c r="AR81" s="103"/>
      <c r="AS81" s="103"/>
      <c r="AT81" s="103"/>
      <c r="AU81" s="88">
        <f>AU$7*'Mkt share'!$G$87</f>
        <v>0</v>
      </c>
      <c r="AX81" s="87" t="s">
        <v>174</v>
      </c>
      <c r="AY81" s="103"/>
      <c r="AZ81" s="103"/>
      <c r="BA81" s="103"/>
      <c r="BB81" s="103"/>
      <c r="BC81" s="88">
        <f>BC$7*'Mkt share'!$G$88</f>
        <v>0</v>
      </c>
      <c r="BF81" s="87" t="s">
        <v>174</v>
      </c>
      <c r="BG81" s="103"/>
      <c r="BH81" s="103"/>
      <c r="BI81" s="103"/>
      <c r="BJ81" s="103"/>
      <c r="BK81" s="88">
        <f>BK$7*'Mkt share'!$G$89</f>
        <v>0</v>
      </c>
      <c r="BN81" s="87" t="s">
        <v>174</v>
      </c>
      <c r="BO81" s="103"/>
      <c r="BP81" s="103"/>
      <c r="BQ81" s="103"/>
      <c r="BR81" s="103"/>
      <c r="BS81" s="88">
        <f>BS$7*'Mkt share'!$G$90</f>
        <v>0</v>
      </c>
      <c r="BV81" s="87" t="s">
        <v>174</v>
      </c>
      <c r="BW81" s="103"/>
      <c r="BX81" s="103"/>
      <c r="BY81" s="103"/>
      <c r="BZ81" s="103"/>
      <c r="CA81" s="88">
        <f>CA$7*'Mkt share'!$G$91</f>
        <v>0</v>
      </c>
      <c r="CD81" s="87" t="s">
        <v>174</v>
      </c>
      <c r="CE81" s="103"/>
      <c r="CF81" s="103"/>
      <c r="CG81" s="103"/>
      <c r="CH81" s="103"/>
      <c r="CI81" s="88">
        <f>CI$7*'Mkt share'!$G$92</f>
        <v>0</v>
      </c>
      <c r="CL81" s="87" t="s">
        <v>174</v>
      </c>
      <c r="CM81" s="103"/>
      <c r="CN81" s="103"/>
      <c r="CO81" s="103"/>
      <c r="CP81" s="103"/>
      <c r="CQ81" s="88">
        <f>CQ$7*'Mkt share'!$G$93</f>
        <v>0</v>
      </c>
      <c r="CT81" s="87" t="s">
        <v>174</v>
      </c>
      <c r="CU81" s="103"/>
      <c r="CV81" s="103"/>
      <c r="CW81" s="103"/>
      <c r="CX81" s="103"/>
      <c r="CY81" s="88">
        <f>CY$7*'Mkt share'!$G$94</f>
        <v>0</v>
      </c>
      <c r="DB81" s="87" t="s">
        <v>174</v>
      </c>
      <c r="DC81" s="103"/>
      <c r="DD81" s="103"/>
      <c r="DE81" s="103"/>
      <c r="DF81" s="103"/>
      <c r="DG81" s="88">
        <f>DG$7*'Mkt share'!$G$95</f>
        <v>0</v>
      </c>
    </row>
    <row r="82" spans="2:113" ht="15" thickBot="1">
      <c r="B82" s="87" t="s">
        <v>179</v>
      </c>
      <c r="C82" s="103"/>
      <c r="D82" s="103"/>
      <c r="E82" s="103"/>
      <c r="F82" s="103"/>
      <c r="G82" s="106">
        <v>0</v>
      </c>
      <c r="J82" s="87" t="s">
        <v>179</v>
      </c>
      <c r="K82" s="103"/>
      <c r="L82" s="103"/>
      <c r="M82" s="103"/>
      <c r="N82" s="103"/>
      <c r="O82" s="106">
        <v>0</v>
      </c>
      <c r="R82" s="87" t="s">
        <v>179</v>
      </c>
      <c r="S82" s="103"/>
      <c r="T82" s="103"/>
      <c r="U82" s="103"/>
      <c r="V82" s="103"/>
      <c r="W82" s="106">
        <v>0</v>
      </c>
      <c r="Z82" s="87" t="s">
        <v>179</v>
      </c>
      <c r="AA82" s="103"/>
      <c r="AB82" s="103"/>
      <c r="AC82" s="103"/>
      <c r="AD82" s="103"/>
      <c r="AE82" s="106">
        <v>0</v>
      </c>
      <c r="AH82" s="87" t="s">
        <v>179</v>
      </c>
      <c r="AI82" s="103"/>
      <c r="AJ82" s="103"/>
      <c r="AK82" s="103"/>
      <c r="AL82" s="103"/>
      <c r="AM82" s="106">
        <v>0</v>
      </c>
      <c r="AP82" s="87" t="s">
        <v>179</v>
      </c>
      <c r="AQ82" s="103"/>
      <c r="AR82" s="103"/>
      <c r="AS82" s="103"/>
      <c r="AT82" s="103"/>
      <c r="AU82" s="106">
        <v>0</v>
      </c>
      <c r="AX82" s="87" t="s">
        <v>179</v>
      </c>
      <c r="AY82" s="103"/>
      <c r="AZ82" s="103"/>
      <c r="BA82" s="103"/>
      <c r="BB82" s="103"/>
      <c r="BC82" s="106">
        <v>0</v>
      </c>
      <c r="BF82" s="87" t="s">
        <v>179</v>
      </c>
      <c r="BG82" s="103"/>
      <c r="BH82" s="103"/>
      <c r="BI82" s="103"/>
      <c r="BJ82" s="103"/>
      <c r="BK82" s="106">
        <v>0</v>
      </c>
      <c r="BN82" s="87" t="s">
        <v>179</v>
      </c>
      <c r="BO82" s="103"/>
      <c r="BP82" s="103"/>
      <c r="BQ82" s="103"/>
      <c r="BR82" s="103"/>
      <c r="BS82" s="106">
        <v>0</v>
      </c>
      <c r="BV82" s="87" t="s">
        <v>179</v>
      </c>
      <c r="BW82" s="103"/>
      <c r="BX82" s="103"/>
      <c r="BY82" s="103"/>
      <c r="BZ82" s="103"/>
      <c r="CA82" s="106">
        <v>0</v>
      </c>
      <c r="CD82" s="87" t="s">
        <v>179</v>
      </c>
      <c r="CE82" s="103"/>
      <c r="CF82" s="103"/>
      <c r="CG82" s="103"/>
      <c r="CH82" s="103"/>
      <c r="CI82" s="106">
        <v>0</v>
      </c>
      <c r="CL82" s="87" t="s">
        <v>179</v>
      </c>
      <c r="CM82" s="103"/>
      <c r="CN82" s="103"/>
      <c r="CO82" s="103"/>
      <c r="CP82" s="103"/>
      <c r="CQ82" s="106">
        <v>0</v>
      </c>
      <c r="CT82" s="87" t="s">
        <v>179</v>
      </c>
      <c r="CU82" s="103"/>
      <c r="CV82" s="103"/>
      <c r="CW82" s="103"/>
      <c r="CX82" s="103"/>
      <c r="CY82" s="106">
        <v>0</v>
      </c>
      <c r="DB82" s="87" t="s">
        <v>179</v>
      </c>
      <c r="DC82" s="103"/>
      <c r="DD82" s="103"/>
      <c r="DE82" s="103"/>
      <c r="DF82" s="103"/>
      <c r="DG82" s="106">
        <v>0</v>
      </c>
    </row>
    <row r="83" spans="2:113" ht="15" thickBot="1">
      <c r="B83" s="89" t="s">
        <v>114</v>
      </c>
      <c r="C83" s="90">
        <f>SUM(C73:C82)</f>
        <v>20.549774295000002</v>
      </c>
      <c r="D83" s="90">
        <f>SUM(D73:D81)</f>
        <v>89.586958357500009</v>
      </c>
      <c r="E83" s="90">
        <f>SUM(E73:E81)</f>
        <v>228.50078293955002</v>
      </c>
      <c r="F83" s="90">
        <f>SUM(F73:F81)</f>
        <v>437.858247343475</v>
      </c>
      <c r="G83" s="91">
        <f>SUM(G73:G82)</f>
        <v>647.42919051165006</v>
      </c>
      <c r="J83" s="89" t="s">
        <v>114</v>
      </c>
      <c r="K83" s="90">
        <f>SUM(K73:K82)</f>
        <v>13.699849530000002</v>
      </c>
      <c r="L83" s="90">
        <f>SUM(L73:L81)</f>
        <v>68.929596779999997</v>
      </c>
      <c r="M83" s="90">
        <f>SUM(M73:M81)</f>
        <v>193.9999883772</v>
      </c>
      <c r="N83" s="90">
        <f>SUM(N73:N81)</f>
        <v>354.50491513315001</v>
      </c>
      <c r="O83" s="91">
        <f>SUM(O73:O82)</f>
        <v>529.11188357692504</v>
      </c>
      <c r="R83" s="89" t="s">
        <v>114</v>
      </c>
      <c r="S83" s="90">
        <f>SUM(S73:S82)</f>
        <v>0</v>
      </c>
      <c r="T83" s="90">
        <f>SUM(T73:T81)</f>
        <v>0</v>
      </c>
      <c r="U83" s="90">
        <f>SUM(U73:U81)</f>
        <v>0</v>
      </c>
      <c r="V83" s="90">
        <f>SUM(V73:V81)</f>
        <v>0</v>
      </c>
      <c r="W83" s="91">
        <f>SUM(W73:W82)</f>
        <v>0</v>
      </c>
      <c r="Z83" s="89" t="s">
        <v>114</v>
      </c>
      <c r="AA83" s="90">
        <f>SUM(AA73:AA82)</f>
        <v>0</v>
      </c>
      <c r="AB83" s="90">
        <f>SUM(AB73:AB81)</f>
        <v>0</v>
      </c>
      <c r="AC83" s="90">
        <f>SUM(AC73:AC81)</f>
        <v>0</v>
      </c>
      <c r="AD83" s="90">
        <f>SUM(AD73:AD81)</f>
        <v>0</v>
      </c>
      <c r="AE83" s="91">
        <f>SUM(AE73:AE82)</f>
        <v>0</v>
      </c>
      <c r="AH83" s="89" t="s">
        <v>114</v>
      </c>
      <c r="AI83" s="90">
        <f>SUM(AI73:AI82)</f>
        <v>650.74285267499999</v>
      </c>
      <c r="AJ83" s="90">
        <f>SUM(AJ73:AJ81)</f>
        <v>1216.8477619875</v>
      </c>
      <c r="AK83" s="90">
        <f>SUM(AK73:AK81)</f>
        <v>1648.117661195</v>
      </c>
      <c r="AL83" s="90">
        <f>SUM(AL73:AL81)</f>
        <v>1977.5145511087499</v>
      </c>
      <c r="AM83" s="91">
        <f>SUM(AM73:AM82)</f>
        <v>2295.3015600712497</v>
      </c>
      <c r="AP83" s="89" t="s">
        <v>114</v>
      </c>
      <c r="AQ83" s="90">
        <f>SUM(AQ73:AQ82)</f>
        <v>0</v>
      </c>
      <c r="AR83" s="90">
        <f>SUM(AR73:AR81)</f>
        <v>0</v>
      </c>
      <c r="AS83" s="90">
        <f>SUM(AS73:AS81)</f>
        <v>0</v>
      </c>
      <c r="AT83" s="90">
        <f>SUM(AT73:AT81)</f>
        <v>0</v>
      </c>
      <c r="AU83" s="91">
        <f>SUM(AU73:AU82)</f>
        <v>0</v>
      </c>
      <c r="AX83" s="89" t="s">
        <v>114</v>
      </c>
      <c r="AY83" s="90">
        <f>SUM(AY73:AY82)</f>
        <v>0</v>
      </c>
      <c r="AZ83" s="90">
        <f>SUM(AZ73:AZ81)</f>
        <v>0</v>
      </c>
      <c r="BA83" s="90">
        <f>SUM(BA73:BA81)</f>
        <v>0</v>
      </c>
      <c r="BB83" s="90">
        <f>SUM(BB73:BB81)</f>
        <v>0</v>
      </c>
      <c r="BC83" s="91">
        <f>SUM(BC73:BC82)</f>
        <v>0</v>
      </c>
      <c r="BF83" s="89" t="s">
        <v>114</v>
      </c>
      <c r="BG83" s="90">
        <f>SUM(BG73:BG82)</f>
        <v>0</v>
      </c>
      <c r="BH83" s="90">
        <f>SUM(BH73:BH81)</f>
        <v>0</v>
      </c>
      <c r="BI83" s="90">
        <f>SUM(BI73:BI81)</f>
        <v>0</v>
      </c>
      <c r="BJ83" s="90">
        <f>SUM(BJ73:BJ81)</f>
        <v>0</v>
      </c>
      <c r="BK83" s="91">
        <f>SUM(BK73:BK82)</f>
        <v>0</v>
      </c>
      <c r="BN83" s="89" t="s">
        <v>114</v>
      </c>
      <c r="BO83" s="90">
        <f>SUM(BO73:BO82)</f>
        <v>0</v>
      </c>
      <c r="BP83" s="90">
        <f>SUM(BP73:BP81)</f>
        <v>0</v>
      </c>
      <c r="BQ83" s="90">
        <f>SUM(BQ73:BQ81)</f>
        <v>0</v>
      </c>
      <c r="BR83" s="90">
        <f>SUM(BR73:BR81)</f>
        <v>0</v>
      </c>
      <c r="BS83" s="91">
        <f>SUM(BS73:BS82)</f>
        <v>0</v>
      </c>
      <c r="BV83" s="89" t="s">
        <v>114</v>
      </c>
      <c r="BW83" s="90">
        <f>SUM(BW73:BW82)</f>
        <v>0</v>
      </c>
      <c r="BX83" s="90">
        <f>SUM(BX73:BX81)</f>
        <v>0</v>
      </c>
      <c r="BY83" s="90">
        <f>SUM(BY73:BY81)</f>
        <v>0</v>
      </c>
      <c r="BZ83" s="90">
        <f>SUM(BZ73:BZ81)</f>
        <v>0</v>
      </c>
      <c r="CA83" s="91">
        <f>SUM(CA73:CA82)</f>
        <v>0</v>
      </c>
      <c r="CD83" s="89" t="s">
        <v>114</v>
      </c>
      <c r="CE83" s="90">
        <f>SUM(CE73:CE82)</f>
        <v>0</v>
      </c>
      <c r="CF83" s="90">
        <f>SUM(CF73:CF81)</f>
        <v>0</v>
      </c>
      <c r="CG83" s="90">
        <f>SUM(CG73:CG81)</f>
        <v>0</v>
      </c>
      <c r="CH83" s="90">
        <f>SUM(CH73:CH81)</f>
        <v>0</v>
      </c>
      <c r="CI83" s="91">
        <f>SUM(CI73:CI82)</f>
        <v>0</v>
      </c>
      <c r="CL83" s="89" t="s">
        <v>114</v>
      </c>
      <c r="CM83" s="90">
        <f>SUM(CM73:CM82)</f>
        <v>0</v>
      </c>
      <c r="CN83" s="90">
        <f>SUM(CN73:CN81)</f>
        <v>0</v>
      </c>
      <c r="CO83" s="90">
        <f>SUM(CO73:CO81)</f>
        <v>0</v>
      </c>
      <c r="CP83" s="90">
        <f>SUM(CP73:CP81)</f>
        <v>0</v>
      </c>
      <c r="CQ83" s="91">
        <f>SUM(CQ73:CQ82)</f>
        <v>0</v>
      </c>
      <c r="CT83" s="89" t="s">
        <v>114</v>
      </c>
      <c r="CU83" s="90">
        <f>SUM(CU73:CU82)</f>
        <v>0</v>
      </c>
      <c r="CV83" s="90">
        <f>SUM(CV73:CV81)</f>
        <v>0</v>
      </c>
      <c r="CW83" s="90">
        <f>SUM(CW73:CW81)</f>
        <v>0</v>
      </c>
      <c r="CX83" s="90">
        <f>SUM(CX73:CX81)</f>
        <v>0</v>
      </c>
      <c r="CY83" s="91">
        <f>SUM(CY73:CY82)</f>
        <v>0</v>
      </c>
      <c r="DB83" s="89" t="s">
        <v>114</v>
      </c>
      <c r="DC83" s="90">
        <f>SUM(DC73:DC82)</f>
        <v>0</v>
      </c>
      <c r="DD83" s="90">
        <f>SUM(DD73:DD81)</f>
        <v>0</v>
      </c>
      <c r="DE83" s="90">
        <f>SUM(DE73:DE81)</f>
        <v>0</v>
      </c>
      <c r="DF83" s="90">
        <f>SUM(DF73:DF81)</f>
        <v>0</v>
      </c>
      <c r="DG83" s="91">
        <f>SUM(DG73:DG82)</f>
        <v>0</v>
      </c>
    </row>
    <row r="84" spans="2:113">
      <c r="B84" s="80" t="s">
        <v>206</v>
      </c>
      <c r="C84" s="92">
        <f>C73+C75+C77+C79+C81</f>
        <v>20.549774295000002</v>
      </c>
      <c r="D84" s="92">
        <f t="shared" ref="D84:G84" si="244">D73+D75+D77+D79+D81</f>
        <v>88.559469642750003</v>
      </c>
      <c r="E84" s="92">
        <f t="shared" si="244"/>
        <v>223.19944404987501</v>
      </c>
      <c r="F84" s="92">
        <f t="shared" si="244"/>
        <v>422.01746400325004</v>
      </c>
      <c r="G84" s="92">
        <f t="shared" si="244"/>
        <v>611.92748924475006</v>
      </c>
      <c r="J84" s="80" t="s">
        <v>206</v>
      </c>
      <c r="K84" s="92">
        <f>K73+K75+K77+K79+K81</f>
        <v>13.699849530000002</v>
      </c>
      <c r="L84" s="92">
        <f t="shared" ref="L84:O84" si="245">L73+L75+L77+L79+L81</f>
        <v>68.6555997894</v>
      </c>
      <c r="M84" s="92">
        <f t="shared" si="245"/>
        <v>192.48439794630002</v>
      </c>
      <c r="N84" s="92">
        <f t="shared" si="245"/>
        <v>349.52188394200004</v>
      </c>
      <c r="O84" s="92">
        <f t="shared" si="245"/>
        <v>517.85900311757507</v>
      </c>
      <c r="R84" s="80" t="s">
        <v>206</v>
      </c>
      <c r="S84" s="92">
        <f>S73+S75+S77+S79+S81</f>
        <v>0</v>
      </c>
      <c r="T84" s="92">
        <f t="shared" ref="T84:W84" si="246">T73+T75+T77+T79+T81</f>
        <v>0</v>
      </c>
      <c r="U84" s="92">
        <f t="shared" si="246"/>
        <v>0</v>
      </c>
      <c r="V84" s="92">
        <f t="shared" si="246"/>
        <v>0</v>
      </c>
      <c r="W84" s="92">
        <f t="shared" si="246"/>
        <v>0</v>
      </c>
      <c r="Z84" s="80" t="s">
        <v>206</v>
      </c>
      <c r="AA84" s="92">
        <f>AA73+AA75+AA77+AA79+AA81</f>
        <v>0</v>
      </c>
      <c r="AB84" s="92">
        <f t="shared" ref="AB84:AE84" si="247">AB73+AB75+AB77+AB79+AB81</f>
        <v>0</v>
      </c>
      <c r="AC84" s="92">
        <f t="shared" si="247"/>
        <v>0</v>
      </c>
      <c r="AD84" s="92">
        <f t="shared" si="247"/>
        <v>0</v>
      </c>
      <c r="AE84" s="92">
        <f t="shared" si="247"/>
        <v>0</v>
      </c>
      <c r="AH84" s="80" t="s">
        <v>206</v>
      </c>
      <c r="AI84" s="92">
        <f>AI73+AI75+AI77+AI79+AI81</f>
        <v>650.74285267499999</v>
      </c>
      <c r="AJ84" s="92">
        <f t="shared" ref="AJ84:AM84" si="248">AJ73+AJ75+AJ77+AJ79+AJ81</f>
        <v>1216.8477619875</v>
      </c>
      <c r="AK84" s="92">
        <f t="shared" si="248"/>
        <v>1648.117661195</v>
      </c>
      <c r="AL84" s="92">
        <f t="shared" si="248"/>
        <v>1977.5145511087499</v>
      </c>
      <c r="AM84" s="92">
        <f t="shared" si="248"/>
        <v>2295.3015600712497</v>
      </c>
      <c r="AP84" s="80" t="s">
        <v>206</v>
      </c>
      <c r="AQ84" s="92">
        <f>AQ73+AQ75+AQ77+AQ79+AQ81</f>
        <v>0</v>
      </c>
      <c r="AR84" s="92">
        <f t="shared" ref="AR84:AU84" si="249">AR73+AR75+AR77+AR79+AR81</f>
        <v>0</v>
      </c>
      <c r="AS84" s="92">
        <f t="shared" si="249"/>
        <v>0</v>
      </c>
      <c r="AT84" s="92">
        <f t="shared" si="249"/>
        <v>0</v>
      </c>
      <c r="AU84" s="92">
        <f t="shared" si="249"/>
        <v>0</v>
      </c>
      <c r="AX84" s="80" t="s">
        <v>206</v>
      </c>
      <c r="AY84" s="92">
        <f>AY73+AY75+AY77+AY79+AY81</f>
        <v>0</v>
      </c>
      <c r="AZ84" s="92">
        <f t="shared" ref="AZ84:BC84" si="250">AZ73+AZ75+AZ77+AZ79+AZ81</f>
        <v>0</v>
      </c>
      <c r="BA84" s="92">
        <f t="shared" si="250"/>
        <v>0</v>
      </c>
      <c r="BB84" s="92">
        <f t="shared" si="250"/>
        <v>0</v>
      </c>
      <c r="BC84" s="92">
        <f t="shared" si="250"/>
        <v>0</v>
      </c>
      <c r="BF84" s="80" t="s">
        <v>206</v>
      </c>
      <c r="BG84" s="92">
        <f>BG73+BG75+BG77+BG79+BG81</f>
        <v>0</v>
      </c>
      <c r="BH84" s="92">
        <f t="shared" ref="BH84:BK84" si="251">BH73+BH75+BH77+BH79+BH81</f>
        <v>0</v>
      </c>
      <c r="BI84" s="92">
        <f t="shared" si="251"/>
        <v>0</v>
      </c>
      <c r="BJ84" s="92">
        <f t="shared" si="251"/>
        <v>0</v>
      </c>
      <c r="BK84" s="92">
        <f t="shared" si="251"/>
        <v>0</v>
      </c>
      <c r="BN84" s="80" t="s">
        <v>206</v>
      </c>
      <c r="BO84" s="92">
        <f>BO73+BO75+BO77+BO79+BO81</f>
        <v>0</v>
      </c>
      <c r="BP84" s="92">
        <f t="shared" ref="BP84:BS84" si="252">BP73+BP75+BP77+BP79+BP81</f>
        <v>0</v>
      </c>
      <c r="BQ84" s="92">
        <f t="shared" si="252"/>
        <v>0</v>
      </c>
      <c r="BR84" s="92">
        <f t="shared" si="252"/>
        <v>0</v>
      </c>
      <c r="BS84" s="92">
        <f t="shared" si="252"/>
        <v>0</v>
      </c>
      <c r="BV84" s="80" t="s">
        <v>206</v>
      </c>
      <c r="BW84" s="92">
        <f>BW73+BW75+BW77+BW79+BW81</f>
        <v>0</v>
      </c>
      <c r="BX84" s="92">
        <f t="shared" ref="BX84:CA84" si="253">BX73+BX75+BX77+BX79+BX81</f>
        <v>0</v>
      </c>
      <c r="BY84" s="92">
        <f t="shared" si="253"/>
        <v>0</v>
      </c>
      <c r="BZ84" s="92">
        <f t="shared" si="253"/>
        <v>0</v>
      </c>
      <c r="CA84" s="92">
        <f t="shared" si="253"/>
        <v>0</v>
      </c>
      <c r="CD84" s="80" t="s">
        <v>206</v>
      </c>
      <c r="CE84" s="92">
        <f>CE73+CE75+CE77+CE79+CE81</f>
        <v>0</v>
      </c>
      <c r="CF84" s="92">
        <f t="shared" ref="CF84:CI84" si="254">CF73+CF75+CF77+CF79+CF81</f>
        <v>0</v>
      </c>
      <c r="CG84" s="92">
        <f t="shared" si="254"/>
        <v>0</v>
      </c>
      <c r="CH84" s="92">
        <f t="shared" si="254"/>
        <v>0</v>
      </c>
      <c r="CI84" s="92">
        <f t="shared" si="254"/>
        <v>0</v>
      </c>
      <c r="CL84" s="80" t="s">
        <v>206</v>
      </c>
      <c r="CM84" s="92">
        <f>CM73+CM75+CM77+CM79+CM81</f>
        <v>0</v>
      </c>
      <c r="CN84" s="92">
        <f t="shared" ref="CN84:CQ84" si="255">CN73+CN75+CN77+CN79+CN81</f>
        <v>0</v>
      </c>
      <c r="CO84" s="92">
        <f t="shared" si="255"/>
        <v>0</v>
      </c>
      <c r="CP84" s="92">
        <f t="shared" si="255"/>
        <v>0</v>
      </c>
      <c r="CQ84" s="92">
        <f t="shared" si="255"/>
        <v>0</v>
      </c>
      <c r="CT84" s="80" t="s">
        <v>206</v>
      </c>
      <c r="CU84" s="92">
        <f>CU73+CU75+CU77+CU79+CU81</f>
        <v>0</v>
      </c>
      <c r="CV84" s="92">
        <f t="shared" ref="CV84:CY84" si="256">CV73+CV75+CV77+CV79+CV81</f>
        <v>0</v>
      </c>
      <c r="CW84" s="92">
        <f t="shared" si="256"/>
        <v>0</v>
      </c>
      <c r="CX84" s="92">
        <f t="shared" si="256"/>
        <v>0</v>
      </c>
      <c r="CY84" s="92">
        <f t="shared" si="256"/>
        <v>0</v>
      </c>
      <c r="DB84" s="80" t="s">
        <v>206</v>
      </c>
      <c r="DC84" s="92">
        <f>DC73+DC75+DC77+DC79+DC81</f>
        <v>0</v>
      </c>
      <c r="DD84" s="92">
        <f t="shared" ref="DD84:DG84" si="257">DD73+DD75+DD77+DD79+DD81</f>
        <v>0</v>
      </c>
      <c r="DE84" s="92">
        <f t="shared" si="257"/>
        <v>0</v>
      </c>
      <c r="DF84" s="92">
        <f t="shared" si="257"/>
        <v>0</v>
      </c>
      <c r="DG84" s="92">
        <f t="shared" si="257"/>
        <v>0</v>
      </c>
    </row>
    <row r="85" spans="2:113">
      <c r="B85" s="80" t="s">
        <v>208</v>
      </c>
      <c r="C85" s="92">
        <f>C74+C76+C78+C80+C82</f>
        <v>0</v>
      </c>
      <c r="D85" s="92">
        <f t="shared" ref="D85:G85" si="258">D74+D76+D78+D80+D82</f>
        <v>1.027488714750002</v>
      </c>
      <c r="E85" s="92">
        <f t="shared" si="258"/>
        <v>5.3013388896750033</v>
      </c>
      <c r="F85" s="92">
        <f t="shared" si="258"/>
        <v>15.840783340225002</v>
      </c>
      <c r="G85" s="92">
        <f t="shared" si="258"/>
        <v>35.501701266900021</v>
      </c>
      <c r="J85" s="80" t="s">
        <v>208</v>
      </c>
      <c r="K85" s="92">
        <f>K74+K76+K78+K80+K82</f>
        <v>0</v>
      </c>
      <c r="L85" s="92">
        <f t="shared" ref="L85:O85" si="259">L74+L76+L78+L80+L82</f>
        <v>0.27399699060000104</v>
      </c>
      <c r="M85" s="92">
        <f t="shared" si="259"/>
        <v>1.5155904308999986</v>
      </c>
      <c r="N85" s="92">
        <f t="shared" si="259"/>
        <v>4.9830311911500003</v>
      </c>
      <c r="O85" s="92">
        <f t="shared" si="259"/>
        <v>11.252880459350006</v>
      </c>
      <c r="R85" s="80" t="s">
        <v>208</v>
      </c>
      <c r="S85" s="92">
        <f>S74+S76+S78+S80+S82</f>
        <v>0</v>
      </c>
      <c r="T85" s="92">
        <f t="shared" ref="T85:W85" si="260">T74+T76+T78+T80+T82</f>
        <v>0</v>
      </c>
      <c r="U85" s="92">
        <f t="shared" si="260"/>
        <v>0</v>
      </c>
      <c r="V85" s="92">
        <f t="shared" si="260"/>
        <v>0</v>
      </c>
      <c r="W85" s="92">
        <f t="shared" si="260"/>
        <v>0</v>
      </c>
      <c r="Z85" s="80" t="s">
        <v>208</v>
      </c>
      <c r="AA85" s="92">
        <f>AA74+AA76+AA78+AA80+AA82</f>
        <v>0</v>
      </c>
      <c r="AB85" s="92">
        <f t="shared" ref="AB85:AE85" si="261">AB74+AB76+AB78+AB80+AB82</f>
        <v>0</v>
      </c>
      <c r="AC85" s="92">
        <f t="shared" si="261"/>
        <v>0</v>
      </c>
      <c r="AD85" s="92">
        <f t="shared" si="261"/>
        <v>0</v>
      </c>
      <c r="AE85" s="92">
        <f t="shared" si="261"/>
        <v>0</v>
      </c>
      <c r="AH85" s="80" t="s">
        <v>208</v>
      </c>
      <c r="AI85" s="92">
        <f>AI74+AI76+AI78+AI80+AI82</f>
        <v>0</v>
      </c>
      <c r="AJ85" s="92">
        <f t="shared" ref="AJ85:AM85" si="262">AJ74+AJ76+AJ78+AJ80+AJ82</f>
        <v>0</v>
      </c>
      <c r="AK85" s="92">
        <f t="shared" si="262"/>
        <v>0</v>
      </c>
      <c r="AL85" s="92">
        <f t="shared" si="262"/>
        <v>0</v>
      </c>
      <c r="AM85" s="92">
        <f t="shared" si="262"/>
        <v>0</v>
      </c>
      <c r="AP85" s="80" t="s">
        <v>208</v>
      </c>
      <c r="AQ85" s="92">
        <f>AQ74+AQ76+AQ78+AQ80+AQ82</f>
        <v>0</v>
      </c>
      <c r="AR85" s="92">
        <f t="shared" ref="AR85:AU85" si="263">AR74+AR76+AR78+AR80+AR82</f>
        <v>0</v>
      </c>
      <c r="AS85" s="92">
        <f t="shared" si="263"/>
        <v>0</v>
      </c>
      <c r="AT85" s="92">
        <f t="shared" si="263"/>
        <v>0</v>
      </c>
      <c r="AU85" s="92">
        <f t="shared" si="263"/>
        <v>0</v>
      </c>
      <c r="AX85" s="80" t="s">
        <v>208</v>
      </c>
      <c r="AY85" s="92">
        <f>AY74+AY76+AY78+AY80+AY82</f>
        <v>0</v>
      </c>
      <c r="AZ85" s="92">
        <f t="shared" ref="AZ85:BC85" si="264">AZ74+AZ76+AZ78+AZ80+AZ82</f>
        <v>0</v>
      </c>
      <c r="BA85" s="92">
        <f t="shared" si="264"/>
        <v>0</v>
      </c>
      <c r="BB85" s="92">
        <f t="shared" si="264"/>
        <v>0</v>
      </c>
      <c r="BC85" s="92">
        <f t="shared" si="264"/>
        <v>0</v>
      </c>
      <c r="BF85" s="80" t="s">
        <v>208</v>
      </c>
      <c r="BG85" s="92">
        <f>BG74+BG76+BG78+BG80+BG82</f>
        <v>0</v>
      </c>
      <c r="BH85" s="92">
        <f t="shared" ref="BH85:BK85" si="265">BH74+BH76+BH78+BH80+BH82</f>
        <v>0</v>
      </c>
      <c r="BI85" s="92">
        <f t="shared" si="265"/>
        <v>0</v>
      </c>
      <c r="BJ85" s="92">
        <f t="shared" si="265"/>
        <v>0</v>
      </c>
      <c r="BK85" s="92">
        <f t="shared" si="265"/>
        <v>0</v>
      </c>
      <c r="BN85" s="80" t="s">
        <v>208</v>
      </c>
      <c r="BO85" s="92">
        <f>BO74+BO76+BO78+BO80+BO82</f>
        <v>0</v>
      </c>
      <c r="BP85" s="92">
        <f t="shared" ref="BP85:BS85" si="266">BP74+BP76+BP78+BP80+BP82</f>
        <v>0</v>
      </c>
      <c r="BQ85" s="92">
        <f t="shared" si="266"/>
        <v>0</v>
      </c>
      <c r="BR85" s="92">
        <f t="shared" si="266"/>
        <v>0</v>
      </c>
      <c r="BS85" s="92">
        <f t="shared" si="266"/>
        <v>0</v>
      </c>
      <c r="BV85" s="80" t="s">
        <v>208</v>
      </c>
      <c r="BW85" s="92">
        <f>BW74+BW76+BW78+BW80+BW82</f>
        <v>0</v>
      </c>
      <c r="BX85" s="92">
        <f t="shared" ref="BX85:CA85" si="267">BX74+BX76+BX78+BX80+BX82</f>
        <v>0</v>
      </c>
      <c r="BY85" s="92">
        <f t="shared" si="267"/>
        <v>0</v>
      </c>
      <c r="BZ85" s="92">
        <f t="shared" si="267"/>
        <v>0</v>
      </c>
      <c r="CA85" s="92">
        <f t="shared" si="267"/>
        <v>0</v>
      </c>
      <c r="CD85" s="80" t="s">
        <v>208</v>
      </c>
      <c r="CE85" s="92">
        <f>CE74+CE76+CE78+CE80+CE82</f>
        <v>0</v>
      </c>
      <c r="CF85" s="92">
        <f t="shared" ref="CF85:CI85" si="268">CF74+CF76+CF78+CF80+CF82</f>
        <v>0</v>
      </c>
      <c r="CG85" s="92">
        <f t="shared" si="268"/>
        <v>0</v>
      </c>
      <c r="CH85" s="92">
        <f t="shared" si="268"/>
        <v>0</v>
      </c>
      <c r="CI85" s="92">
        <f t="shared" si="268"/>
        <v>0</v>
      </c>
      <c r="CL85" s="80" t="s">
        <v>208</v>
      </c>
      <c r="CM85" s="92">
        <f>CM74+CM76+CM78+CM80+CM82</f>
        <v>0</v>
      </c>
      <c r="CN85" s="92">
        <f t="shared" ref="CN85:CQ85" si="269">CN74+CN76+CN78+CN80+CN82</f>
        <v>0</v>
      </c>
      <c r="CO85" s="92">
        <f t="shared" si="269"/>
        <v>0</v>
      </c>
      <c r="CP85" s="92">
        <f t="shared" si="269"/>
        <v>0</v>
      </c>
      <c r="CQ85" s="92">
        <f t="shared" si="269"/>
        <v>0</v>
      </c>
      <c r="CT85" s="80" t="s">
        <v>208</v>
      </c>
      <c r="CU85" s="92">
        <f>CU74+CU76+CU78+CU80+CU82</f>
        <v>0</v>
      </c>
      <c r="CV85" s="92">
        <f t="shared" ref="CV85:CY85" si="270">CV74+CV76+CV78+CV80+CV82</f>
        <v>0</v>
      </c>
      <c r="CW85" s="92">
        <f t="shared" si="270"/>
        <v>0</v>
      </c>
      <c r="CX85" s="92">
        <f t="shared" si="270"/>
        <v>0</v>
      </c>
      <c r="CY85" s="92">
        <f t="shared" si="270"/>
        <v>0</v>
      </c>
      <c r="DB85" s="80" t="s">
        <v>208</v>
      </c>
      <c r="DC85" s="92">
        <f>DC74+DC76+DC78+DC80+DC82</f>
        <v>0</v>
      </c>
      <c r="DD85" s="92">
        <f t="shared" ref="DD85:DG85" si="271">DD74+DD76+DD78+DD80+DD82</f>
        <v>0</v>
      </c>
      <c r="DE85" s="92">
        <f t="shared" si="271"/>
        <v>0</v>
      </c>
      <c r="DF85" s="92">
        <f t="shared" si="271"/>
        <v>0</v>
      </c>
      <c r="DG85" s="92">
        <f t="shared" si="271"/>
        <v>0</v>
      </c>
    </row>
    <row r="87" spans="2:113" s="81" customFormat="1">
      <c r="B87" s="120"/>
      <c r="C87" s="120"/>
      <c r="D87" s="120"/>
      <c r="E87" s="120"/>
      <c r="F87" s="120"/>
      <c r="G87" s="120"/>
      <c r="H87" s="82"/>
      <c r="I87" s="82"/>
      <c r="J87" s="120"/>
      <c r="K87" s="120"/>
      <c r="L87" s="120"/>
      <c r="M87" s="120"/>
      <c r="N87" s="120"/>
      <c r="O87" s="120"/>
      <c r="P87" s="82"/>
      <c r="Q87" s="82"/>
      <c r="R87" s="120"/>
      <c r="S87" s="120"/>
      <c r="T87" s="120"/>
      <c r="U87" s="120"/>
      <c r="V87" s="120"/>
      <c r="W87" s="120"/>
      <c r="X87" s="82"/>
      <c r="Y87" s="82"/>
      <c r="Z87" s="120"/>
      <c r="AA87" s="120"/>
      <c r="AB87" s="120"/>
      <c r="AC87" s="120"/>
      <c r="AD87" s="120"/>
      <c r="AE87" s="120"/>
      <c r="AF87" s="82"/>
      <c r="AG87" s="82"/>
      <c r="AH87" s="120"/>
      <c r="AI87" s="120"/>
      <c r="AJ87" s="120"/>
      <c r="AK87" s="120"/>
      <c r="AL87" s="120"/>
      <c r="AM87" s="120"/>
      <c r="AN87" s="82"/>
      <c r="AO87" s="82"/>
      <c r="AP87" s="120"/>
      <c r="AQ87" s="120"/>
      <c r="AR87" s="120"/>
      <c r="AS87" s="120"/>
      <c r="AT87" s="120"/>
      <c r="AU87" s="120"/>
      <c r="AV87" s="82"/>
      <c r="AW87" s="82"/>
      <c r="AX87" s="120"/>
      <c r="AY87" s="120"/>
      <c r="AZ87" s="120"/>
      <c r="BA87" s="120"/>
      <c r="BB87" s="120"/>
      <c r="BC87" s="120"/>
      <c r="BD87" s="82"/>
      <c r="BE87" s="82"/>
      <c r="BF87" s="120"/>
      <c r="BG87" s="120"/>
      <c r="BH87" s="120"/>
      <c r="BI87" s="120"/>
      <c r="BJ87" s="120"/>
      <c r="BK87" s="120"/>
      <c r="BL87" s="82"/>
      <c r="BM87" s="82"/>
      <c r="BN87" s="120"/>
      <c r="BO87" s="120"/>
      <c r="BP87" s="120"/>
      <c r="BQ87" s="120"/>
      <c r="BR87" s="120"/>
      <c r="BS87" s="120"/>
      <c r="BT87" s="82"/>
      <c r="BU87" s="82"/>
      <c r="BV87" s="120"/>
      <c r="BW87" s="120"/>
      <c r="BX87" s="120"/>
      <c r="BY87" s="120"/>
      <c r="BZ87" s="120"/>
      <c r="CA87" s="120"/>
      <c r="CB87" s="82"/>
      <c r="CC87" s="82"/>
      <c r="CD87" s="120"/>
      <c r="CE87" s="120"/>
      <c r="CF87" s="120"/>
      <c r="CG87" s="120"/>
      <c r="CH87" s="120"/>
      <c r="CI87" s="120"/>
      <c r="CJ87" s="82"/>
      <c r="CK87" s="82"/>
      <c r="CL87" s="120"/>
      <c r="CM87" s="120"/>
      <c r="CN87" s="120"/>
      <c r="CO87" s="120"/>
      <c r="CP87" s="120"/>
      <c r="CQ87" s="120"/>
      <c r="CR87" s="82"/>
      <c r="CS87" s="82"/>
      <c r="CT87" s="120"/>
      <c r="CU87" s="120"/>
      <c r="CV87" s="120"/>
      <c r="CW87" s="120"/>
      <c r="CX87" s="120"/>
      <c r="CY87" s="120"/>
      <c r="CZ87" s="82"/>
      <c r="DA87" s="82"/>
      <c r="DB87" s="120"/>
      <c r="DC87" s="120"/>
      <c r="DD87" s="120"/>
      <c r="DE87" s="120"/>
      <c r="DF87" s="120"/>
      <c r="DG87" s="120"/>
      <c r="DH87" s="82"/>
      <c r="DI87" s="82"/>
    </row>
    <row r="88" spans="2:113" s="76" customFormat="1" ht="21">
      <c r="B88" s="503" t="str">
        <f>intervencao1</f>
        <v>Drug 1</v>
      </c>
      <c r="C88" s="503"/>
      <c r="D88" s="503"/>
      <c r="E88" s="503"/>
      <c r="F88" s="503"/>
      <c r="G88" s="503"/>
      <c r="H88" s="503"/>
      <c r="I88" s="77"/>
      <c r="J88" s="503" t="str">
        <f>intervencao2</f>
        <v>Drug 2</v>
      </c>
      <c r="K88" s="503"/>
      <c r="L88" s="503"/>
      <c r="M88" s="503"/>
      <c r="N88" s="503"/>
      <c r="O88" s="503"/>
      <c r="P88" s="503"/>
      <c r="Q88" s="77"/>
      <c r="R88" s="503">
        <f>intervencao3</f>
        <v>0</v>
      </c>
      <c r="S88" s="503"/>
      <c r="T88" s="503"/>
      <c r="U88" s="503"/>
      <c r="V88" s="503"/>
      <c r="W88" s="503"/>
      <c r="X88" s="503"/>
      <c r="Y88" s="77"/>
      <c r="Z88" s="503">
        <f>intervencao4</f>
        <v>0</v>
      </c>
      <c r="AA88" s="503"/>
      <c r="AB88" s="503"/>
      <c r="AC88" s="503"/>
      <c r="AD88" s="503"/>
      <c r="AE88" s="503"/>
      <c r="AF88" s="503"/>
      <c r="AG88" s="77"/>
      <c r="AH88" s="503" t="str">
        <f>comparador1</f>
        <v>BSC</v>
      </c>
      <c r="AI88" s="503"/>
      <c r="AJ88" s="503"/>
      <c r="AK88" s="503"/>
      <c r="AL88" s="503"/>
      <c r="AM88" s="503"/>
      <c r="AN88" s="503"/>
      <c r="AO88" s="77"/>
      <c r="AP88" s="503">
        <f>comparador2</f>
        <v>0</v>
      </c>
      <c r="AQ88" s="503"/>
      <c r="AR88" s="503"/>
      <c r="AS88" s="503"/>
      <c r="AT88" s="503"/>
      <c r="AU88" s="503"/>
      <c r="AV88" s="503"/>
      <c r="AW88" s="77"/>
      <c r="AX88" s="503">
        <f>comparador3</f>
        <v>0</v>
      </c>
      <c r="AY88" s="503"/>
      <c r="AZ88" s="503"/>
      <c r="BA88" s="503"/>
      <c r="BB88" s="503"/>
      <c r="BC88" s="503"/>
      <c r="BD88" s="503"/>
      <c r="BE88" s="77"/>
      <c r="BF88" s="503">
        <f>comparador4</f>
        <v>0</v>
      </c>
      <c r="BG88" s="503"/>
      <c r="BH88" s="503"/>
      <c r="BI88" s="503"/>
      <c r="BJ88" s="503"/>
      <c r="BK88" s="503"/>
      <c r="BL88" s="503"/>
      <c r="BM88" s="77"/>
      <c r="BN88" s="503">
        <f>comparador5</f>
        <v>0</v>
      </c>
      <c r="BO88" s="503"/>
      <c r="BP88" s="503"/>
      <c r="BQ88" s="503"/>
      <c r="BR88" s="503"/>
      <c r="BS88" s="503"/>
      <c r="BT88" s="503"/>
      <c r="BU88" s="77"/>
      <c r="BV88" s="503">
        <f>comparador6</f>
        <v>0</v>
      </c>
      <c r="BW88" s="503"/>
      <c r="BX88" s="503"/>
      <c r="BY88" s="503"/>
      <c r="BZ88" s="503"/>
      <c r="CA88" s="503"/>
      <c r="CB88" s="503"/>
      <c r="CC88" s="77"/>
      <c r="CD88" s="503">
        <f>comparador7</f>
        <v>0</v>
      </c>
      <c r="CE88" s="503"/>
      <c r="CF88" s="503"/>
      <c r="CG88" s="503"/>
      <c r="CH88" s="503"/>
      <c r="CI88" s="503"/>
      <c r="CJ88" s="503"/>
      <c r="CK88" s="77"/>
      <c r="CL88" s="503">
        <f>comparador8</f>
        <v>0</v>
      </c>
      <c r="CM88" s="503"/>
      <c r="CN88" s="503"/>
      <c r="CO88" s="503"/>
      <c r="CP88" s="503"/>
      <c r="CQ88" s="503"/>
      <c r="CR88" s="503"/>
      <c r="CS88" s="77"/>
      <c r="CT88" s="503">
        <f>comparador9</f>
        <v>0</v>
      </c>
      <c r="CU88" s="503"/>
      <c r="CV88" s="503"/>
      <c r="CW88" s="503"/>
      <c r="CX88" s="503"/>
      <c r="CY88" s="503"/>
      <c r="CZ88" s="503"/>
      <c r="DA88" s="77"/>
      <c r="DB88" s="503">
        <f>comparador10</f>
        <v>0</v>
      </c>
      <c r="DC88" s="503"/>
      <c r="DD88" s="503"/>
      <c r="DE88" s="503"/>
      <c r="DF88" s="503"/>
      <c r="DG88" s="503"/>
      <c r="DH88" s="503"/>
      <c r="DI88" s="77"/>
    </row>
    <row r="89" spans="2:113" ht="18">
      <c r="B89" s="504" t="s">
        <v>181</v>
      </c>
      <c r="C89" s="504"/>
      <c r="D89" s="504"/>
      <c r="E89" s="504"/>
      <c r="F89" s="504"/>
      <c r="G89" s="504"/>
      <c r="H89" s="71"/>
      <c r="I89" s="71"/>
      <c r="J89" s="504" t="s">
        <v>181</v>
      </c>
      <c r="K89" s="504"/>
      <c r="L89" s="504"/>
      <c r="M89" s="504"/>
      <c r="N89" s="504"/>
      <c r="O89" s="504"/>
      <c r="P89" s="71"/>
      <c r="Q89" s="71"/>
      <c r="R89" s="504" t="s">
        <v>181</v>
      </c>
      <c r="S89" s="504"/>
      <c r="T89" s="504"/>
      <c r="U89" s="504"/>
      <c r="V89" s="504"/>
      <c r="W89" s="504"/>
      <c r="X89" s="71"/>
      <c r="Y89" s="71"/>
      <c r="Z89" s="504" t="s">
        <v>181</v>
      </c>
      <c r="AA89" s="504"/>
      <c r="AB89" s="504"/>
      <c r="AC89" s="504"/>
      <c r="AD89" s="504"/>
      <c r="AE89" s="504"/>
      <c r="AF89" s="71"/>
      <c r="AG89" s="71"/>
      <c r="AH89" s="504" t="s">
        <v>181</v>
      </c>
      <c r="AI89" s="504"/>
      <c r="AJ89" s="504"/>
      <c r="AK89" s="504"/>
      <c r="AL89" s="504"/>
      <c r="AM89" s="504"/>
      <c r="AN89" s="71"/>
      <c r="AO89" s="71"/>
      <c r="AP89" s="504" t="s">
        <v>181</v>
      </c>
      <c r="AQ89" s="504"/>
      <c r="AR89" s="504"/>
      <c r="AS89" s="504"/>
      <c r="AT89" s="504"/>
      <c r="AU89" s="504"/>
      <c r="AV89" s="71"/>
      <c r="AW89" s="71"/>
      <c r="AX89" s="504" t="s">
        <v>181</v>
      </c>
      <c r="AY89" s="504"/>
      <c r="AZ89" s="504"/>
      <c r="BA89" s="504"/>
      <c r="BB89" s="504"/>
      <c r="BC89" s="504"/>
      <c r="BD89" s="71"/>
      <c r="BE89" s="71"/>
      <c r="BF89" s="504" t="s">
        <v>181</v>
      </c>
      <c r="BG89" s="504"/>
      <c r="BH89" s="504"/>
      <c r="BI89" s="504"/>
      <c r="BJ89" s="504"/>
      <c r="BK89" s="504"/>
      <c r="BL89" s="71"/>
      <c r="BM89" s="71"/>
      <c r="BN89" s="504" t="s">
        <v>181</v>
      </c>
      <c r="BO89" s="504"/>
      <c r="BP89" s="504"/>
      <c r="BQ89" s="504"/>
      <c r="BR89" s="504"/>
      <c r="BS89" s="504"/>
      <c r="BT89" s="71"/>
      <c r="BU89" s="71"/>
      <c r="BV89" s="504" t="s">
        <v>181</v>
      </c>
      <c r="BW89" s="504"/>
      <c r="BX89" s="504"/>
      <c r="BY89" s="504"/>
      <c r="BZ89" s="504"/>
      <c r="CA89" s="504"/>
      <c r="CB89" s="71"/>
      <c r="CC89" s="71"/>
      <c r="CD89" s="504" t="s">
        <v>181</v>
      </c>
      <c r="CE89" s="504"/>
      <c r="CF89" s="504"/>
      <c r="CG89" s="504"/>
      <c r="CH89" s="504"/>
      <c r="CI89" s="504"/>
      <c r="CJ89" s="71"/>
      <c r="CK89" s="71"/>
      <c r="CL89" s="504" t="s">
        <v>181</v>
      </c>
      <c r="CM89" s="504"/>
      <c r="CN89" s="504"/>
      <c r="CO89" s="504"/>
      <c r="CP89" s="504"/>
      <c r="CQ89" s="504"/>
      <c r="CR89" s="71"/>
      <c r="CS89" s="71"/>
      <c r="CT89" s="504" t="s">
        <v>181</v>
      </c>
      <c r="CU89" s="504"/>
      <c r="CV89" s="504"/>
      <c r="CW89" s="504"/>
      <c r="CX89" s="504"/>
      <c r="CY89" s="504"/>
      <c r="CZ89" s="71"/>
      <c r="DA89" s="71"/>
      <c r="DB89" s="504" t="s">
        <v>181</v>
      </c>
      <c r="DC89" s="504"/>
      <c r="DD89" s="504"/>
      <c r="DE89" s="504"/>
      <c r="DF89" s="504"/>
      <c r="DG89" s="504"/>
      <c r="DH89" s="71"/>
      <c r="DI89" s="71"/>
    </row>
    <row r="90" spans="2:113" ht="15" thickBot="1">
      <c r="B90" s="83"/>
      <c r="C90" s="83"/>
      <c r="D90" s="83"/>
      <c r="E90" s="83"/>
      <c r="F90" s="83"/>
      <c r="G90" s="83"/>
      <c r="J90" s="83"/>
      <c r="K90" s="83"/>
      <c r="L90" s="83"/>
      <c r="M90" s="83"/>
      <c r="N90" s="83"/>
      <c r="O90" s="83"/>
      <c r="R90" s="83"/>
      <c r="S90" s="83"/>
      <c r="T90" s="83"/>
      <c r="U90" s="83"/>
      <c r="V90" s="83"/>
      <c r="W90" s="83"/>
      <c r="Z90" s="83"/>
      <c r="AA90" s="83"/>
      <c r="AB90" s="83"/>
      <c r="AC90" s="83"/>
      <c r="AD90" s="83"/>
      <c r="AE90" s="83"/>
      <c r="AH90" s="83"/>
      <c r="AI90" s="83"/>
      <c r="AJ90" s="83"/>
      <c r="AK90" s="83"/>
      <c r="AL90" s="83"/>
      <c r="AM90" s="83"/>
      <c r="AP90" s="83"/>
      <c r="AQ90" s="83"/>
      <c r="AR90" s="83"/>
      <c r="AS90" s="83"/>
      <c r="AT90" s="83"/>
      <c r="AU90" s="83"/>
      <c r="AX90" s="83"/>
      <c r="AY90" s="83"/>
      <c r="AZ90" s="83"/>
      <c r="BA90" s="83"/>
      <c r="BB90" s="83"/>
      <c r="BC90" s="83"/>
      <c r="BF90" s="83"/>
      <c r="BG90" s="83"/>
      <c r="BH90" s="83"/>
      <c r="BI90" s="83"/>
      <c r="BJ90" s="83"/>
      <c r="BK90" s="83"/>
      <c r="BN90" s="83"/>
      <c r="BO90" s="83"/>
      <c r="BP90" s="83"/>
      <c r="BQ90" s="83"/>
      <c r="BR90" s="83"/>
      <c r="BS90" s="83"/>
      <c r="BV90" s="83"/>
      <c r="BW90" s="83"/>
      <c r="BX90" s="83"/>
      <c r="BY90" s="83"/>
      <c r="BZ90" s="83"/>
      <c r="CA90" s="83"/>
      <c r="CD90" s="83"/>
      <c r="CE90" s="83"/>
      <c r="CF90" s="83"/>
      <c r="CG90" s="83"/>
      <c r="CH90" s="83"/>
      <c r="CI90" s="83"/>
      <c r="CL90" s="83"/>
      <c r="CM90" s="83"/>
      <c r="CN90" s="83"/>
      <c r="CO90" s="83"/>
      <c r="CP90" s="83"/>
      <c r="CQ90" s="83"/>
      <c r="CT90" s="83"/>
      <c r="CU90" s="83"/>
      <c r="CV90" s="83"/>
      <c r="CW90" s="83"/>
      <c r="CX90" s="83"/>
      <c r="CY90" s="83"/>
      <c r="DB90" s="83"/>
      <c r="DC90" s="83"/>
      <c r="DD90" s="83"/>
      <c r="DE90" s="83"/>
      <c r="DF90" s="83"/>
      <c r="DG90" s="83"/>
    </row>
    <row r="91" spans="2:113" ht="15" thickBot="1">
      <c r="B91" s="505" t="str">
        <f>B26</f>
        <v>BSC only</v>
      </c>
      <c r="C91" s="506"/>
      <c r="D91" s="506"/>
      <c r="E91" s="506"/>
      <c r="F91" s="506"/>
      <c r="G91" s="507"/>
      <c r="J91" s="505" t="str">
        <f>J26</f>
        <v>BSC only</v>
      </c>
      <c r="K91" s="506"/>
      <c r="L91" s="506"/>
      <c r="M91" s="506"/>
      <c r="N91" s="506"/>
      <c r="O91" s="507"/>
      <c r="R91" s="505" t="str">
        <f>R26</f>
        <v>BSC only</v>
      </c>
      <c r="S91" s="506"/>
      <c r="T91" s="506"/>
      <c r="U91" s="506"/>
      <c r="V91" s="506"/>
      <c r="W91" s="507"/>
      <c r="Z91" s="505" t="str">
        <f>Z26</f>
        <v>BSC only</v>
      </c>
      <c r="AA91" s="506"/>
      <c r="AB91" s="506"/>
      <c r="AC91" s="506"/>
      <c r="AD91" s="506"/>
      <c r="AE91" s="507"/>
      <c r="AH91" s="505" t="str">
        <f>AH26</f>
        <v>BSC only</v>
      </c>
      <c r="AI91" s="506"/>
      <c r="AJ91" s="506"/>
      <c r="AK91" s="506"/>
      <c r="AL91" s="506"/>
      <c r="AM91" s="507"/>
      <c r="AP91" s="505" t="str">
        <f>AP26</f>
        <v>BSC only</v>
      </c>
      <c r="AQ91" s="506"/>
      <c r="AR91" s="506"/>
      <c r="AS91" s="506"/>
      <c r="AT91" s="506"/>
      <c r="AU91" s="507"/>
      <c r="AX91" s="505" t="str">
        <f>AX26</f>
        <v>BSC only</v>
      </c>
      <c r="AY91" s="506"/>
      <c r="AZ91" s="506"/>
      <c r="BA91" s="506"/>
      <c r="BB91" s="506"/>
      <c r="BC91" s="507"/>
      <c r="BF91" s="505" t="str">
        <f>BF26</f>
        <v>BSC only</v>
      </c>
      <c r="BG91" s="506"/>
      <c r="BH91" s="506"/>
      <c r="BI91" s="506"/>
      <c r="BJ91" s="506"/>
      <c r="BK91" s="507"/>
      <c r="BN91" s="505" t="str">
        <f>BN26</f>
        <v>BSC only</v>
      </c>
      <c r="BO91" s="506"/>
      <c r="BP91" s="506"/>
      <c r="BQ91" s="506"/>
      <c r="BR91" s="506"/>
      <c r="BS91" s="507"/>
      <c r="BV91" s="505" t="str">
        <f>BV26</f>
        <v>BSC only</v>
      </c>
      <c r="BW91" s="506"/>
      <c r="BX91" s="506"/>
      <c r="BY91" s="506"/>
      <c r="BZ91" s="506"/>
      <c r="CA91" s="507"/>
      <c r="CD91" s="505" t="str">
        <f>CD26</f>
        <v>BSC only</v>
      </c>
      <c r="CE91" s="506"/>
      <c r="CF91" s="506"/>
      <c r="CG91" s="506"/>
      <c r="CH91" s="506"/>
      <c r="CI91" s="507"/>
      <c r="CL91" s="505" t="str">
        <f>CL26</f>
        <v>BSC only</v>
      </c>
      <c r="CM91" s="506"/>
      <c r="CN91" s="506"/>
      <c r="CO91" s="506"/>
      <c r="CP91" s="506"/>
      <c r="CQ91" s="507"/>
      <c r="CT91" s="505" t="str">
        <f>CT26</f>
        <v>BSC only</v>
      </c>
      <c r="CU91" s="506"/>
      <c r="CV91" s="506"/>
      <c r="CW91" s="506"/>
      <c r="CX91" s="506"/>
      <c r="CY91" s="507"/>
      <c r="DB91" s="505" t="str">
        <f>DB26</f>
        <v>BSC only</v>
      </c>
      <c r="DC91" s="506"/>
      <c r="DD91" s="506"/>
      <c r="DE91" s="506"/>
      <c r="DF91" s="506"/>
      <c r="DG91" s="507"/>
    </row>
    <row r="92" spans="2:113">
      <c r="B92" s="84"/>
      <c r="C92" s="101">
        <f>C27</f>
        <v>2026</v>
      </c>
      <c r="D92" s="101">
        <f t="shared" ref="D92:F92" si="272">D27</f>
        <v>2027</v>
      </c>
      <c r="E92" s="101">
        <f t="shared" si="272"/>
        <v>2028</v>
      </c>
      <c r="F92" s="101">
        <f t="shared" si="272"/>
        <v>2029</v>
      </c>
      <c r="G92" s="102">
        <f>G27</f>
        <v>2030</v>
      </c>
      <c r="J92" s="84"/>
      <c r="K92" s="101">
        <f>K27</f>
        <v>2026</v>
      </c>
      <c r="L92" s="101">
        <f t="shared" ref="L92:N92" si="273">L27</f>
        <v>2027</v>
      </c>
      <c r="M92" s="101">
        <f t="shared" si="273"/>
        <v>2028</v>
      </c>
      <c r="N92" s="101">
        <f t="shared" si="273"/>
        <v>2029</v>
      </c>
      <c r="O92" s="102">
        <f>O27</f>
        <v>2030</v>
      </c>
      <c r="R92" s="84"/>
      <c r="S92" s="101">
        <f>S27</f>
        <v>2026</v>
      </c>
      <c r="T92" s="101">
        <f t="shared" ref="T92:V92" si="274">T27</f>
        <v>2027</v>
      </c>
      <c r="U92" s="101">
        <f t="shared" si="274"/>
        <v>2028</v>
      </c>
      <c r="V92" s="101">
        <f t="shared" si="274"/>
        <v>2029</v>
      </c>
      <c r="W92" s="102">
        <f>W27</f>
        <v>2030</v>
      </c>
      <c r="Z92" s="84"/>
      <c r="AA92" s="101">
        <f>AA27</f>
        <v>2026</v>
      </c>
      <c r="AB92" s="101">
        <f t="shared" ref="AB92:AD92" si="275">AB27</f>
        <v>2027</v>
      </c>
      <c r="AC92" s="101">
        <f t="shared" si="275"/>
        <v>2028</v>
      </c>
      <c r="AD92" s="101">
        <f t="shared" si="275"/>
        <v>2029</v>
      </c>
      <c r="AE92" s="102">
        <f>AE27</f>
        <v>2030</v>
      </c>
      <c r="AH92" s="84"/>
      <c r="AI92" s="101">
        <f>AI27</f>
        <v>2026</v>
      </c>
      <c r="AJ92" s="101">
        <f t="shared" ref="AJ92:AL92" si="276">AJ27</f>
        <v>2027</v>
      </c>
      <c r="AK92" s="101">
        <f t="shared" si="276"/>
        <v>2028</v>
      </c>
      <c r="AL92" s="101">
        <f t="shared" si="276"/>
        <v>2029</v>
      </c>
      <c r="AM92" s="102">
        <f>AM27</f>
        <v>2030</v>
      </c>
      <c r="AP92" s="84"/>
      <c r="AQ92" s="101">
        <f>AQ27</f>
        <v>2026</v>
      </c>
      <c r="AR92" s="101">
        <f t="shared" ref="AR92:AT92" si="277">AR27</f>
        <v>2027</v>
      </c>
      <c r="AS92" s="101">
        <f t="shared" si="277"/>
        <v>2028</v>
      </c>
      <c r="AT92" s="101">
        <f t="shared" si="277"/>
        <v>2029</v>
      </c>
      <c r="AU92" s="102">
        <f>AU27</f>
        <v>2030</v>
      </c>
      <c r="AX92" s="84"/>
      <c r="AY92" s="101">
        <f>AY27</f>
        <v>2026</v>
      </c>
      <c r="AZ92" s="101">
        <f t="shared" ref="AZ92:BB92" si="278">AZ27</f>
        <v>2027</v>
      </c>
      <c r="BA92" s="101">
        <f t="shared" si="278"/>
        <v>2028</v>
      </c>
      <c r="BB92" s="101">
        <f t="shared" si="278"/>
        <v>2029</v>
      </c>
      <c r="BC92" s="102">
        <f>BC27</f>
        <v>2030</v>
      </c>
      <c r="BF92" s="84"/>
      <c r="BG92" s="101">
        <f>BG27</f>
        <v>2026</v>
      </c>
      <c r="BH92" s="101">
        <f t="shared" ref="BH92:BJ92" si="279">BH27</f>
        <v>2027</v>
      </c>
      <c r="BI92" s="101">
        <f t="shared" si="279"/>
        <v>2028</v>
      </c>
      <c r="BJ92" s="101">
        <f t="shared" si="279"/>
        <v>2029</v>
      </c>
      <c r="BK92" s="102">
        <f>BK27</f>
        <v>2030</v>
      </c>
      <c r="BN92" s="84"/>
      <c r="BO92" s="101">
        <f>BO27</f>
        <v>2026</v>
      </c>
      <c r="BP92" s="101">
        <f t="shared" ref="BP92:BR92" si="280">BP27</f>
        <v>2027</v>
      </c>
      <c r="BQ92" s="101">
        <f t="shared" si="280"/>
        <v>2028</v>
      </c>
      <c r="BR92" s="101">
        <f t="shared" si="280"/>
        <v>2029</v>
      </c>
      <c r="BS92" s="102">
        <f>BS27</f>
        <v>2030</v>
      </c>
      <c r="BV92" s="84"/>
      <c r="BW92" s="101">
        <f>BW27</f>
        <v>2026</v>
      </c>
      <c r="BX92" s="101">
        <f t="shared" ref="BX92:BZ92" si="281">BX27</f>
        <v>2027</v>
      </c>
      <c r="BY92" s="101">
        <f t="shared" si="281"/>
        <v>2028</v>
      </c>
      <c r="BZ92" s="101">
        <f t="shared" si="281"/>
        <v>2029</v>
      </c>
      <c r="CA92" s="102">
        <f>CA27</f>
        <v>2030</v>
      </c>
      <c r="CD92" s="84"/>
      <c r="CE92" s="101">
        <f>CE27</f>
        <v>2026</v>
      </c>
      <c r="CF92" s="101">
        <f t="shared" ref="CF92:CH92" si="282">CF27</f>
        <v>2027</v>
      </c>
      <c r="CG92" s="101">
        <f t="shared" si="282"/>
        <v>2028</v>
      </c>
      <c r="CH92" s="101">
        <f t="shared" si="282"/>
        <v>2029</v>
      </c>
      <c r="CI92" s="102">
        <f>CI27</f>
        <v>2030</v>
      </c>
      <c r="CL92" s="84"/>
      <c r="CM92" s="101">
        <f>CM27</f>
        <v>2026</v>
      </c>
      <c r="CN92" s="101">
        <f t="shared" ref="CN92:CP92" si="283">CN27</f>
        <v>2027</v>
      </c>
      <c r="CO92" s="101">
        <f t="shared" si="283"/>
        <v>2028</v>
      </c>
      <c r="CP92" s="101">
        <f t="shared" si="283"/>
        <v>2029</v>
      </c>
      <c r="CQ92" s="102">
        <f>CQ27</f>
        <v>2030</v>
      </c>
      <c r="CT92" s="84"/>
      <c r="CU92" s="101">
        <f>CU27</f>
        <v>2026</v>
      </c>
      <c r="CV92" s="101">
        <f t="shared" ref="CV92:CX92" si="284">CV27</f>
        <v>2027</v>
      </c>
      <c r="CW92" s="101">
        <f t="shared" si="284"/>
        <v>2028</v>
      </c>
      <c r="CX92" s="101">
        <f t="shared" si="284"/>
        <v>2029</v>
      </c>
      <c r="CY92" s="102">
        <f>CY27</f>
        <v>2030</v>
      </c>
      <c r="DB92" s="84"/>
      <c r="DC92" s="101">
        <f>DC27</f>
        <v>2026</v>
      </c>
      <c r="DD92" s="101">
        <f t="shared" ref="DD92:DF92" si="285">DD27</f>
        <v>2027</v>
      </c>
      <c r="DE92" s="101">
        <f t="shared" si="285"/>
        <v>2028</v>
      </c>
      <c r="DF92" s="101">
        <f t="shared" si="285"/>
        <v>2029</v>
      </c>
      <c r="DG92" s="102">
        <f>DG27</f>
        <v>2030</v>
      </c>
    </row>
    <row r="93" spans="2:113">
      <c r="B93" s="87" t="s">
        <v>170</v>
      </c>
      <c r="C93" s="109">
        <f ca="1">(C28*c_inicial)+(C28*c_on*12)+(C28*ci_int1)+(C28*(ct_int1+ca_int1)*'Time on treatment'!$D$12)</f>
        <v>0</v>
      </c>
      <c r="D93" s="109">
        <f ca="1">(D28*c_on*12)+(D28*(ct_int1+ca_int1)*'Time on treatment'!$E$12)</f>
        <v>0</v>
      </c>
      <c r="E93" s="109">
        <f ca="1">(E28*c_on*12)+(E28*(ct_int1+ca_int1)*'Time on treatment'!$F$12)</f>
        <v>0</v>
      </c>
      <c r="F93" s="109">
        <f ca="1">(F28*c_on*12)+(F28*(ct_int1+ca_int1)*'Time on treatment'!$G$12)</f>
        <v>0</v>
      </c>
      <c r="G93" s="110">
        <f ca="1">(G28*c_on*12)+(G28*(ct_int1+ca_int1)*'Time on treatment'!$H$12)</f>
        <v>0</v>
      </c>
      <c r="J93" s="87" t="s">
        <v>170</v>
      </c>
      <c r="K93" s="109">
        <f ca="1">(K28*c_inicial)+(K28*c_on*12)+(K28*ci_int2)+(K28*(ct_int2+ca_int2)*'Time on treatment'!$D$13)</f>
        <v>0</v>
      </c>
      <c r="L93" s="109">
        <f ca="1">(L28*c_on*12)+(L28*(ct_int2+ca_int2)*'Time on treatment'!$E$13)</f>
        <v>0</v>
      </c>
      <c r="M93" s="109">
        <f ca="1">(M28*c_on*12)+(M28*(ct_int2+ca_int2)*'Time on treatment'!$F$13)</f>
        <v>0</v>
      </c>
      <c r="N93" s="109">
        <f ca="1">(N28*c_on*12)+(N28*(ct_int2+ca_int2)*'Time on treatment'!$G$13)</f>
        <v>0</v>
      </c>
      <c r="O93" s="110">
        <f ca="1">(O28*c_on*12)+(O28*(ct_int2+ca_int2)*'Time on treatment'!$H$13)</f>
        <v>0</v>
      </c>
      <c r="R93" s="87" t="s">
        <v>170</v>
      </c>
      <c r="S93" s="109">
        <f ca="1">(S28*c_inicial)+(S28*c_on*12)+(S28*ci_int3)+(S28*(ct_int3+ca_int3)*'Time on treatment'!$D$14)</f>
        <v>0</v>
      </c>
      <c r="T93" s="109">
        <f ca="1">(T28*c_on*12)+(T28*(ct_int3+ca_int3)*'Time on treatment'!$E$14)</f>
        <v>0</v>
      </c>
      <c r="U93" s="109">
        <f ca="1">(U28*c_on*12)+(U28*(ct_int3+ca_int3)*'Time on treatment'!$F$14)</f>
        <v>0</v>
      </c>
      <c r="V93" s="109">
        <f ca="1">(V28*c_on*12)+(V28*(ct_int3+ca_int3)*'Time on treatment'!$G$14)</f>
        <v>0</v>
      </c>
      <c r="W93" s="110">
        <f ca="1">(W28*c_on*12)+(W28*(ct_int3+ca_int3)*'Time on treatment'!$H$14)</f>
        <v>0</v>
      </c>
      <c r="Z93" s="87" t="s">
        <v>170</v>
      </c>
      <c r="AA93" s="109">
        <f ca="1">(AA28*c_inicial)+(AA28*c_on*12)+(AA28*ci_int4)+(AA28*(ct_int4+ca_int4)*'Time on treatment'!$D$15)</f>
        <v>0</v>
      </c>
      <c r="AB93" s="109">
        <f ca="1">(AB28*c_on*12)+(AB28*(ct_int4+ca_int4)*'Time on treatment'!$E$15)</f>
        <v>0</v>
      </c>
      <c r="AC93" s="109">
        <f ca="1">(AC28*c_on*12)+(AC28*(ct_int4+ca_int4)*'Time on treatment'!$F$15)</f>
        <v>0</v>
      </c>
      <c r="AD93" s="109">
        <f ca="1">(AD28*c_on*12)+(AD28*(ct_int4+ca_int4)*'Time on treatment'!$G$15)</f>
        <v>0</v>
      </c>
      <c r="AE93" s="110">
        <f ca="1">(AE28*c_on*12)+(AE28*(ct_int4+ca_int4)*'Time on treatment'!$H$15)</f>
        <v>0</v>
      </c>
      <c r="AH93" s="87" t="s">
        <v>170</v>
      </c>
      <c r="AI93" s="109">
        <f ca="1">(AI28*c_inicial)+(AI28*c_on*12)+(AI28*ci_comp1)+(AI28*(ct_comp1+ca_comp1)*'Time on treatment'!$D$19)</f>
        <v>8174700.2145509999</v>
      </c>
      <c r="AJ93" s="109">
        <f ca="1">(AJ28*c_on*12)+(AJ28*(ct_comp1+ca_comp1)*'Time on treatment'!$E$19)</f>
        <v>7147211.4998010006</v>
      </c>
      <c r="AK93" s="109">
        <f ca="1">(AK28*c_on*12)+(AK28*(ct_comp1+ca_comp1)*'Time on treatment'!$F$19)</f>
        <v>7147211.4998010006</v>
      </c>
      <c r="AL93" s="109">
        <f ca="1">(AL28*c_on*12)+(AL28*(ct_comp1+ca_comp1)*'Time on treatment'!$G$19)</f>
        <v>7147211.4998010006</v>
      </c>
      <c r="AM93" s="110">
        <f ca="1">(AM28*c_on*12)+(AM28*(ct_comp1+ca_comp1)*'Time on treatment'!$H$19)</f>
        <v>7147211.4998010006</v>
      </c>
      <c r="AP93" s="87" t="s">
        <v>170</v>
      </c>
      <c r="AQ93" s="109">
        <f ca="1">(AQ28*c_inicial)+(AQ28*c_on*12)+(AQ28*ci_comp2)+(AQ28*(ct_comp2+ca_comp2)*'Time on treatment'!$D$20)</f>
        <v>0</v>
      </c>
      <c r="AR93" s="109">
        <f ca="1">(AR28*c_on*12)+(AR28*(ct_comp2+ca_comp2)*'Time on treatment'!$E$20)</f>
        <v>0</v>
      </c>
      <c r="AS93" s="109">
        <f ca="1">(AS28*c_on*12)+(AS28*(ct_comp2+ca_comp2)*'Time on treatment'!$F$20)</f>
        <v>0</v>
      </c>
      <c r="AT93" s="109">
        <f ca="1">(AT28*c_on*12)+(AT28*(ct_comp2+ca_comp2)*'Time on treatment'!$G$20)</f>
        <v>0</v>
      </c>
      <c r="AU93" s="110">
        <f ca="1">(AU28*c_on*12)+(AU28*(ct_comp2+ca_comp2)*'Time on treatment'!$H$20)</f>
        <v>0</v>
      </c>
      <c r="AX93" s="87" t="s">
        <v>170</v>
      </c>
      <c r="AY93" s="109">
        <f ca="1">(AY28*c_inicial)+(AY28*c_on*12)+(AY28*ci_comp3)+(AY28*(ct_comp3+ca_comp3)*'Time on treatment'!$D$21)</f>
        <v>0</v>
      </c>
      <c r="AZ93" s="109">
        <f ca="1">(AZ28*c_on*12)+(AZ28*(ct_comp3+ca_comp3)*'Time on treatment'!$E$21)</f>
        <v>0</v>
      </c>
      <c r="BA93" s="109">
        <f ca="1">(BA28*c_on*12)+(BA28*(ct_comp3+ca_comp3)*'Time on treatment'!$F$21)</f>
        <v>0</v>
      </c>
      <c r="BB93" s="109">
        <f ca="1">(BB28*c_on*12)+(BB28*(ct_comp3+ca_comp3)*'Time on treatment'!$G$21)</f>
        <v>0</v>
      </c>
      <c r="BC93" s="110">
        <f ca="1">(BC28*c_on*12)+(BC28*(ct_comp3+ca_comp3)*'Time on treatment'!$H$21)</f>
        <v>0</v>
      </c>
      <c r="BF93" s="87" t="s">
        <v>170</v>
      </c>
      <c r="BG93" s="109">
        <f ca="1">(BG28*c_inicial)+(BG28*c_on*12)+(BG28*ci_comp4)+(BG28*(ct_comp4+ca_comp4)*'Time on treatment'!$D$22)</f>
        <v>0</v>
      </c>
      <c r="BH93" s="109">
        <f ca="1">(BH28*c_on*12)+(BH28*(ct_comp4+ca_comp4)*'Time on treatment'!$E$22)</f>
        <v>0</v>
      </c>
      <c r="BI93" s="109">
        <f ca="1">(BI28*c_on*12)+(BI28*(ct_comp4+ca_comp4)*'Time on treatment'!$F$22)</f>
        <v>0</v>
      </c>
      <c r="BJ93" s="109">
        <f ca="1">(BJ28*c_on*12)+(BJ28*(ct_comp4+ca_comp4)*'Time on treatment'!$G$22)</f>
        <v>0</v>
      </c>
      <c r="BK93" s="110">
        <f ca="1">(BK28*c_on*12)+(BK28*(ct_comp4+ca_comp4)*'Time on treatment'!$H$22)</f>
        <v>0</v>
      </c>
      <c r="BN93" s="87" t="s">
        <v>170</v>
      </c>
      <c r="BO93" s="109">
        <f ca="1">(BO28*c_inicial)+(BO28*c_on*12)+(BO28*ci_comp5)+(BO28*(ct_comp5+ca_comp5)*'Time on treatment'!$D$23)</f>
        <v>0</v>
      </c>
      <c r="BP93" s="109">
        <f ca="1">(BP28*c_on*12)+(BP28*(ct_comp5+ca_comp5)*'Time on treatment'!$E$23)</f>
        <v>0</v>
      </c>
      <c r="BQ93" s="109">
        <f ca="1">(BQ28*c_on*12)+(BQ28*(ct_comp5+ca_comp5)*'Time on treatment'!$F$23)</f>
        <v>0</v>
      </c>
      <c r="BR93" s="109">
        <f ca="1">(BR28*c_on*12)+(BR28*(ct_comp5+ca_comp5)*'Time on treatment'!$G$23)</f>
        <v>0</v>
      </c>
      <c r="BS93" s="110">
        <f ca="1">(BS28*c_on*12)+(BS28*(ct_comp5+ca_comp5)*'Time on treatment'!$H$23)</f>
        <v>0</v>
      </c>
      <c r="BV93" s="87" t="s">
        <v>170</v>
      </c>
      <c r="BW93" s="109">
        <f ca="1">(BW28*c_inicial)+(BW28*c_on*12)+(BW28*ci_comp6)+(BW28*(ct_comp6+ca_comp6)*'Time on treatment'!$D$24)</f>
        <v>0</v>
      </c>
      <c r="BX93" s="109">
        <f ca="1">(BX28*c_on*12)+(BX28*(ct_comp6+ca_comp6)*'Time on treatment'!$E$24)</f>
        <v>0</v>
      </c>
      <c r="BY93" s="109">
        <f ca="1">(BY28*c_on*12)+(BY28*(ct_comp6+ca_comp6)*'Time on treatment'!$F$24)</f>
        <v>0</v>
      </c>
      <c r="BZ93" s="109">
        <f ca="1">(BZ28*c_on*12)+(BZ28*(ct_comp6+ca_comp6)*'Time on treatment'!$G$24)</f>
        <v>0</v>
      </c>
      <c r="CA93" s="110">
        <f ca="1">(CA28*c_on*12)+(CA28*(ct_comp6+ca_comp6)*'Time on treatment'!$H$24)</f>
        <v>0</v>
      </c>
      <c r="CD93" s="87" t="s">
        <v>170</v>
      </c>
      <c r="CE93" s="109">
        <f ca="1">(CE28*c_inicial)+(CE28*c_on*12)+(CE28*ci_comp7)+(CE28*(ct_comp7+ca_comp7)*'Time on treatment'!$D$25)</f>
        <v>0</v>
      </c>
      <c r="CF93" s="109">
        <f ca="1">(CF28*c_on*12)+(CF28*(ct_comp7+ca_comp7)*'Time on treatment'!$E$25)</f>
        <v>0</v>
      </c>
      <c r="CG93" s="109">
        <f ca="1">(CG28*c_on*12)+(CG28*(ct_comp7+ca_comp7)*'Time on treatment'!$F$25)</f>
        <v>0</v>
      </c>
      <c r="CH93" s="109">
        <f ca="1">(CH28*c_on*12)+(CH28*(ct_comp7+ca_comp7)*'Time on treatment'!$G$25)</f>
        <v>0</v>
      </c>
      <c r="CI93" s="110">
        <f ca="1">(CI28*c_on*12)+(CI28*(ct_comp7+ca_comp7)*'Time on treatment'!$H$25)</f>
        <v>0</v>
      </c>
      <c r="CL93" s="87" t="s">
        <v>170</v>
      </c>
      <c r="CM93" s="109">
        <f ca="1">(CM28*c_inicial)+(CM28*c_on*12)+(CM28*ci_comp8)+(CM28*(ct_comp8+ca_comp8)*'Time on treatment'!$D$26)</f>
        <v>0</v>
      </c>
      <c r="CN93" s="109">
        <f ca="1">(CN28*c_on*12)+(CN28*(ct_comp8+ca_comp8)*'Time on treatment'!$E$26)</f>
        <v>0</v>
      </c>
      <c r="CO93" s="109">
        <f ca="1">(CO28*c_on*12)+(CO28*(ct_comp8+ca_comp8)*'Time on treatment'!$F$26)</f>
        <v>0</v>
      </c>
      <c r="CP93" s="109">
        <f ca="1">(CP28*c_on*12)+(CP28*(ct_comp8+ca_comp8)*'Time on treatment'!$G$26)</f>
        <v>0</v>
      </c>
      <c r="CQ93" s="110">
        <f ca="1">(CQ28*c_on*12)+(CQ28*(ct_comp8+ca_comp8)*'Time on treatment'!$H$26)</f>
        <v>0</v>
      </c>
      <c r="CT93" s="87" t="s">
        <v>170</v>
      </c>
      <c r="CU93" s="109">
        <f ca="1">(CU28*c_inicial)+(CU28*c_on*12)+(CU28*ci_comp9)+(CU28*(ct_comp9+ca_comp9)*'Time on treatment'!$D$27)</f>
        <v>0</v>
      </c>
      <c r="CV93" s="109">
        <f ca="1">(CV28*c_on*12)+(CV28*(ct_comp9+ca_comp9)*'Time on treatment'!$E$27)</f>
        <v>0</v>
      </c>
      <c r="CW93" s="109">
        <f ca="1">(CW28*c_on*12)+(CW28*(ct_comp9+ca_comp9)*'Time on treatment'!$F$27)</f>
        <v>0</v>
      </c>
      <c r="CX93" s="109">
        <f ca="1">(CX28*c_on*12)+(CX28*(ct_comp9+ca_comp9)*'Time on treatment'!$G$27)</f>
        <v>0</v>
      </c>
      <c r="CY93" s="110">
        <f ca="1">(CY28*c_on*12)+(CY28*(ct_comp9+ca_comp9)*'Time on treatment'!$H$27)</f>
        <v>0</v>
      </c>
      <c r="DB93" s="87" t="s">
        <v>170</v>
      </c>
      <c r="DC93" s="109">
        <f ca="1">(DC28*c_inicial)+(DC28*c_on*12)+(DC28*ci_comp10)+(DC28*(ct_comp10+ca_comp10)*'Time on treatment'!$D$28)</f>
        <v>0</v>
      </c>
      <c r="DD93" s="109">
        <f ca="1">(DD28*c_on*12)+(DD28*(ct_comp10+ca_comp10)*'Time on treatment'!$E$28)</f>
        <v>0</v>
      </c>
      <c r="DE93" s="109">
        <f ca="1">(DE28*c_on*12)+(DE28*(ct_comp10+ca_comp10)*'Time on treatment'!$F$28)</f>
        <v>0</v>
      </c>
      <c r="DF93" s="109">
        <f ca="1">(DF28*c_on*12)+(DF28*(ct_comp10+ca_comp10)*'Time on treatment'!$G$28)</f>
        <v>0</v>
      </c>
      <c r="DG93" s="110">
        <f ca="1">(DG28*c_on*12)+(DG28*(ct_comp10+ca_comp10)*'Time on treatment'!$H$28)</f>
        <v>0</v>
      </c>
    </row>
    <row r="94" spans="2:113">
      <c r="B94" s="87" t="s">
        <v>175</v>
      </c>
      <c r="C94" s="109">
        <f>C29*c_off</f>
        <v>0</v>
      </c>
      <c r="D94" s="109">
        <f>D29*c_off</f>
        <v>0</v>
      </c>
      <c r="E94" s="109">
        <f>E29*c_off</f>
        <v>0</v>
      </c>
      <c r="F94" s="109">
        <f>F29*c_off</f>
        <v>0</v>
      </c>
      <c r="G94" s="110">
        <f>G29*c_off</f>
        <v>0</v>
      </c>
      <c r="J94" s="87" t="s">
        <v>175</v>
      </c>
      <c r="K94" s="109">
        <f>K29*c_off</f>
        <v>0</v>
      </c>
      <c r="L94" s="109">
        <f>L29*c_off</f>
        <v>0</v>
      </c>
      <c r="M94" s="109">
        <f>M29*c_off</f>
        <v>0</v>
      </c>
      <c r="N94" s="109">
        <f>N29*c_off</f>
        <v>0</v>
      </c>
      <c r="O94" s="110">
        <f>O29*c_off</f>
        <v>0</v>
      </c>
      <c r="R94" s="87" t="s">
        <v>175</v>
      </c>
      <c r="S94" s="109">
        <f>S29*c_off</f>
        <v>0</v>
      </c>
      <c r="T94" s="109">
        <f>T29*c_off</f>
        <v>0</v>
      </c>
      <c r="U94" s="109">
        <f>U29*c_off</f>
        <v>0</v>
      </c>
      <c r="V94" s="109">
        <f>V29*c_off</f>
        <v>0</v>
      </c>
      <c r="W94" s="110">
        <f>W29*c_off</f>
        <v>0</v>
      </c>
      <c r="Z94" s="87" t="s">
        <v>175</v>
      </c>
      <c r="AA94" s="109">
        <f>AA29*c_off</f>
        <v>0</v>
      </c>
      <c r="AB94" s="109">
        <f>AB29*c_off</f>
        <v>0</v>
      </c>
      <c r="AC94" s="109">
        <f>AC29*c_off</f>
        <v>0</v>
      </c>
      <c r="AD94" s="109">
        <f>AD29*c_off</f>
        <v>0</v>
      </c>
      <c r="AE94" s="110">
        <f>AE29*c_off</f>
        <v>0</v>
      </c>
      <c r="AH94" s="87" t="s">
        <v>175</v>
      </c>
      <c r="AI94" s="109">
        <f>AI29*c_off</f>
        <v>0</v>
      </c>
      <c r="AJ94" s="109">
        <f>AJ29*c_off</f>
        <v>0</v>
      </c>
      <c r="AK94" s="109">
        <f>AK29*c_off</f>
        <v>0</v>
      </c>
      <c r="AL94" s="109">
        <f>AL29*c_off</f>
        <v>0</v>
      </c>
      <c r="AM94" s="110">
        <f>AM29*c_off</f>
        <v>0</v>
      </c>
      <c r="AP94" s="87" t="s">
        <v>175</v>
      </c>
      <c r="AQ94" s="109">
        <f>AQ29*c_off</f>
        <v>0</v>
      </c>
      <c r="AR94" s="109">
        <f>AR29*c_off</f>
        <v>0</v>
      </c>
      <c r="AS94" s="109">
        <f>AS29*c_off</f>
        <v>0</v>
      </c>
      <c r="AT94" s="109">
        <f>AT29*c_off</f>
        <v>0</v>
      </c>
      <c r="AU94" s="110">
        <f>AU29*c_off</f>
        <v>0</v>
      </c>
      <c r="AX94" s="87" t="s">
        <v>175</v>
      </c>
      <c r="AY94" s="109">
        <f>AY29*c_off</f>
        <v>0</v>
      </c>
      <c r="AZ94" s="109">
        <f>AZ29*c_off</f>
        <v>0</v>
      </c>
      <c r="BA94" s="109">
        <f>BA29*c_off</f>
        <v>0</v>
      </c>
      <c r="BB94" s="109">
        <f>BB29*c_off</f>
        <v>0</v>
      </c>
      <c r="BC94" s="110">
        <f>BC29*c_off</f>
        <v>0</v>
      </c>
      <c r="BF94" s="87" t="s">
        <v>175</v>
      </c>
      <c r="BG94" s="109">
        <f>BG29*c_off</f>
        <v>0</v>
      </c>
      <c r="BH94" s="109">
        <f>BH29*c_off</f>
        <v>0</v>
      </c>
      <c r="BI94" s="109">
        <f>BI29*c_off</f>
        <v>0</v>
      </c>
      <c r="BJ94" s="109">
        <f>BJ29*c_off</f>
        <v>0</v>
      </c>
      <c r="BK94" s="110">
        <f>BK29*c_off</f>
        <v>0</v>
      </c>
      <c r="BN94" s="87" t="s">
        <v>175</v>
      </c>
      <c r="BO94" s="109">
        <f>BO29*c_off</f>
        <v>0</v>
      </c>
      <c r="BP94" s="109">
        <f>BP29*c_off</f>
        <v>0</v>
      </c>
      <c r="BQ94" s="109">
        <f>BQ29*c_off</f>
        <v>0</v>
      </c>
      <c r="BR94" s="109">
        <f>BR29*c_off</f>
        <v>0</v>
      </c>
      <c r="BS94" s="110">
        <f>BS29*c_off</f>
        <v>0</v>
      </c>
      <c r="BV94" s="87" t="s">
        <v>175</v>
      </c>
      <c r="BW94" s="109">
        <f>BW29*c_off</f>
        <v>0</v>
      </c>
      <c r="BX94" s="109">
        <f>BX29*c_off</f>
        <v>0</v>
      </c>
      <c r="BY94" s="109">
        <f>BY29*c_off</f>
        <v>0</v>
      </c>
      <c r="BZ94" s="109">
        <f>BZ29*c_off</f>
        <v>0</v>
      </c>
      <c r="CA94" s="110">
        <f>CA29*c_off</f>
        <v>0</v>
      </c>
      <c r="CD94" s="87" t="s">
        <v>175</v>
      </c>
      <c r="CE94" s="109">
        <f>CE29*c_off</f>
        <v>0</v>
      </c>
      <c r="CF94" s="109">
        <f>CF29*c_off</f>
        <v>0</v>
      </c>
      <c r="CG94" s="109">
        <f>CG29*c_off</f>
        <v>0</v>
      </c>
      <c r="CH94" s="109">
        <f>CH29*c_off</f>
        <v>0</v>
      </c>
      <c r="CI94" s="110">
        <f>CI29*c_off</f>
        <v>0</v>
      </c>
      <c r="CL94" s="87" t="s">
        <v>175</v>
      </c>
      <c r="CM94" s="109">
        <f>CM29*c_off</f>
        <v>0</v>
      </c>
      <c r="CN94" s="109">
        <f>CN29*c_off</f>
        <v>0</v>
      </c>
      <c r="CO94" s="109">
        <f>CO29*c_off</f>
        <v>0</v>
      </c>
      <c r="CP94" s="109">
        <f>CP29*c_off</f>
        <v>0</v>
      </c>
      <c r="CQ94" s="110">
        <f>CQ29*c_off</f>
        <v>0</v>
      </c>
      <c r="CT94" s="87" t="s">
        <v>175</v>
      </c>
      <c r="CU94" s="109">
        <f>CU29*c_off</f>
        <v>0</v>
      </c>
      <c r="CV94" s="109">
        <f>CV29*c_off</f>
        <v>0</v>
      </c>
      <c r="CW94" s="109">
        <f>CW29*c_off</f>
        <v>0</v>
      </c>
      <c r="CX94" s="109">
        <f>CX29*c_off</f>
        <v>0</v>
      </c>
      <c r="CY94" s="110">
        <f>CY29*c_off</f>
        <v>0</v>
      </c>
      <c r="DB94" s="87" t="s">
        <v>175</v>
      </c>
      <c r="DC94" s="109">
        <f>DC29*c_off</f>
        <v>0</v>
      </c>
      <c r="DD94" s="109">
        <f>DD29*c_off</f>
        <v>0</v>
      </c>
      <c r="DE94" s="109">
        <f>DE29*c_off</f>
        <v>0</v>
      </c>
      <c r="DF94" s="109">
        <f>DF29*c_off</f>
        <v>0</v>
      </c>
      <c r="DG94" s="110">
        <f>DG29*c_off</f>
        <v>0</v>
      </c>
    </row>
    <row r="95" spans="2:113">
      <c r="B95" s="87" t="s">
        <v>171</v>
      </c>
      <c r="C95" s="111"/>
      <c r="D95" s="109">
        <f ca="1">(D30*c_inicial)+(D30*c_on*12)+(D30*ci_int1)+(D30*(ct_int1+ca_int1)*'Time on treatment'!$D$12)</f>
        <v>0</v>
      </c>
      <c r="E95" s="109">
        <f ca="1">(E30*c_on*12)+(E30*(ct_int1+ca_int1)*'Time on treatment'!$E$12)</f>
        <v>0</v>
      </c>
      <c r="F95" s="109">
        <f ca="1">(F30*c_on*12)+(F30*(ct_int1+ca_int1)*'Time on treatment'!$F$12)</f>
        <v>0</v>
      </c>
      <c r="G95" s="110">
        <f ca="1">(G30*c_on*12)+(G30*(ct_int1+ca_int1)*'Time on treatment'!$G$12)</f>
        <v>0</v>
      </c>
      <c r="J95" s="87" t="s">
        <v>171</v>
      </c>
      <c r="K95" s="111"/>
      <c r="L95" s="109">
        <f ca="1">(L30*c_inicial)+(L30*c_on*12)+(L30*ci_int2)+(L30*(ct_int2+ca_int2)*'Time on treatment'!$D$13)</f>
        <v>0</v>
      </c>
      <c r="M95" s="109">
        <f ca="1">(M30*c_on*12)+(M30*(ct_int2+ca_int2)*'Time on treatment'!$E$13)</f>
        <v>0</v>
      </c>
      <c r="N95" s="109">
        <f ca="1">(N30*c_on*12)+(N30*(ct_int2+ca_int2)*'Time on treatment'!$F$13)</f>
        <v>0</v>
      </c>
      <c r="O95" s="110">
        <f ca="1">(O30*c_on*12)+(O30*(ct_int2+ca_int2)*'Time on treatment'!$G$13)</f>
        <v>0</v>
      </c>
      <c r="R95" s="87" t="s">
        <v>171</v>
      </c>
      <c r="S95" s="111"/>
      <c r="T95" s="109">
        <f ca="1">(T30*c_inicial)+(T30*c_on*12)+(T30*ci_int3)+(T30*(ct_int3+ca_int3)*'Time on treatment'!$D$14)</f>
        <v>0</v>
      </c>
      <c r="U95" s="109">
        <f ca="1">(U30*c_on*12)+(U30*(ct_int3+ca_int3)*'Time on treatment'!$E$14)</f>
        <v>0</v>
      </c>
      <c r="V95" s="109">
        <f ca="1">(V30*c_on*12)+(V30*(ct_int3+ca_int3)*'Time on treatment'!$F$14)</f>
        <v>0</v>
      </c>
      <c r="W95" s="110">
        <f ca="1">(W30*c_on*12)+(W30*(ct_int3+ca_int3)*'Time on treatment'!$G$14)</f>
        <v>0</v>
      </c>
      <c r="Z95" s="87" t="s">
        <v>171</v>
      </c>
      <c r="AA95" s="111"/>
      <c r="AB95" s="109">
        <f ca="1">(AB30*c_inicial)+(AB30*c_on*12)+(AB30*ci_int4)+(AB30*(ct_int4+ca_int4)*'Time on treatment'!$D$15)</f>
        <v>0</v>
      </c>
      <c r="AC95" s="109">
        <f ca="1">(AC30*c_on*12)+(AC30*(ct_int4+ca_int4)*'Time on treatment'!$E$15)</f>
        <v>0</v>
      </c>
      <c r="AD95" s="109">
        <f ca="1">(AD30*c_on*12)+(AD30*(ct_int4+ca_int4)*'Time on treatment'!$F$15)</f>
        <v>0</v>
      </c>
      <c r="AE95" s="110">
        <f ca="1">(AE30*c_on*12)+(AE30*(ct_int4+ca_int4)*'Time on treatment'!$G$15)</f>
        <v>0</v>
      </c>
      <c r="AH95" s="87" t="s">
        <v>171</v>
      </c>
      <c r="AI95" s="111"/>
      <c r="AJ95" s="109">
        <f ca="1">(AJ30*c_inicial)+(AJ30*c_on*12)+(AJ30*ci_comp1)+(AJ30*(ct_comp1+ca_comp1)*'Time on treatment'!$D$19)</f>
        <v>8238897.5460187504</v>
      </c>
      <c r="AK95" s="109">
        <f ca="1">(AK30*c_on*12)+(AK30*(ct_comp1+ca_comp1)*'Time on treatment'!$E$19)</f>
        <v>7203339.7850812506</v>
      </c>
      <c r="AL95" s="109">
        <f ca="1">(AL30*c_on*12)+(AL30*(ct_comp1+ca_comp1)*'Time on treatment'!$F$19)</f>
        <v>7203339.7850812506</v>
      </c>
      <c r="AM95" s="110">
        <f ca="1">(AM30*c_on*12)+(AM30*(ct_comp1+ca_comp1)*'Time on treatment'!$G$19)</f>
        <v>7203339.7850812506</v>
      </c>
      <c r="AP95" s="87" t="s">
        <v>171</v>
      </c>
      <c r="AQ95" s="111"/>
      <c r="AR95" s="109">
        <f ca="1">(AR30*c_inicial)+(AR30*c_on*12)+(AR30*ci_comp2)+(AR30*(ct_comp2+ca_comp2)*'Time on treatment'!$D$20)</f>
        <v>0</v>
      </c>
      <c r="AS95" s="109">
        <f ca="1">(AS30*c_on*12)+(AS30*(ct_comp2+ca_comp2)*'Time on treatment'!$E$20)</f>
        <v>0</v>
      </c>
      <c r="AT95" s="109">
        <f ca="1">(AT30*c_on*12)+(AT30*(ct_comp2+ca_comp2)*'Time on treatment'!$F$20)</f>
        <v>0</v>
      </c>
      <c r="AU95" s="110">
        <f ca="1">(AU30*c_on*12)+(AU30*(ct_comp2+ca_comp2)*'Time on treatment'!$G$20)</f>
        <v>0</v>
      </c>
      <c r="AX95" s="87" t="s">
        <v>171</v>
      </c>
      <c r="AY95" s="111"/>
      <c r="AZ95" s="109">
        <f ca="1">(AZ30*c_inicial)+(AZ30*c_on*12)+(AZ30*ci_comp3)+(AZ30*(ct_comp3+ca_comp3)*'Time on treatment'!$D$21)</f>
        <v>0</v>
      </c>
      <c r="BA95" s="109">
        <f ca="1">(BA30*c_on*12)+(BA30*(ct_comp3+ca_comp3)*'Time on treatment'!$E$21)</f>
        <v>0</v>
      </c>
      <c r="BB95" s="109">
        <f ca="1">(BB30*c_on*12)+(BB30*(ct_comp3+ca_comp3)*'Time on treatment'!$F$21)</f>
        <v>0</v>
      </c>
      <c r="BC95" s="110">
        <f ca="1">(BC30*c_on*12)+(BC30*(ct_comp3+ca_comp3)*'Time on treatment'!$G$21)</f>
        <v>0</v>
      </c>
      <c r="BF95" s="87" t="s">
        <v>171</v>
      </c>
      <c r="BG95" s="111"/>
      <c r="BH95" s="109">
        <f ca="1">(BH30*c_inicial)+(BH30*c_on*12)+(BH30*ci_comp4)+(BH30*(ct_comp4+ca_comp4)*'Time on treatment'!$D$22)</f>
        <v>0</v>
      </c>
      <c r="BI95" s="109">
        <f ca="1">(BI30*c_on*12)+(BI30*(ct_comp4+ca_comp4)*'Time on treatment'!$E$22)</f>
        <v>0</v>
      </c>
      <c r="BJ95" s="109">
        <f ca="1">(BJ30*c_on*12)+(BJ30*(ct_comp4+ca_comp4)*'Time on treatment'!$F$22)</f>
        <v>0</v>
      </c>
      <c r="BK95" s="110">
        <f ca="1">(BK30*c_on*12)+(BK30*(ct_comp4+ca_comp4)*'Time on treatment'!$G$22)</f>
        <v>0</v>
      </c>
      <c r="BN95" s="87" t="s">
        <v>171</v>
      </c>
      <c r="BO95" s="111"/>
      <c r="BP95" s="109">
        <f ca="1">(BP30*c_inicial)+(BP30*c_on*12)+(BP30*ci_comp5)+(BP30*(ct_comp5+ca_comp5)*'Time on treatment'!$D$23)</f>
        <v>0</v>
      </c>
      <c r="BQ95" s="109">
        <f ca="1">(BQ30*c_on*12)+(BQ30*(ct_comp5+ca_comp5)*'Time on treatment'!$E$23)</f>
        <v>0</v>
      </c>
      <c r="BR95" s="109">
        <f ca="1">(BR30*c_on*12)+(BR30*(ct_comp5+ca_comp5)*'Time on treatment'!$F$23)</f>
        <v>0</v>
      </c>
      <c r="BS95" s="110">
        <f ca="1">(BS30*c_on*12)+(BS30*(ct_comp5+ca_comp5)*'Time on treatment'!$G$23)</f>
        <v>0</v>
      </c>
      <c r="BV95" s="87" t="s">
        <v>171</v>
      </c>
      <c r="BW95" s="111"/>
      <c r="BX95" s="109">
        <f ca="1">(BX30*c_inicial)+(BX30*c_on*12)+(BX30*ci_comp6)+(BX30*(ct_comp6+ca_comp6)*'Time on treatment'!$D$24)</f>
        <v>0</v>
      </c>
      <c r="BY95" s="109">
        <f ca="1">(BY30*c_on*12)+(BY30*(ct_comp6+ca_comp6)*'Time on treatment'!$E$24)</f>
        <v>0</v>
      </c>
      <c r="BZ95" s="109">
        <f ca="1">(BZ30*c_on*12)+(BZ30*(ct_comp6+ca_comp6)*'Time on treatment'!$F$24)</f>
        <v>0</v>
      </c>
      <c r="CA95" s="110">
        <f ca="1">(CA30*c_on*12)+(CA30*(ct_comp6+ca_comp6)*'Time on treatment'!$G$24)</f>
        <v>0</v>
      </c>
      <c r="CD95" s="87" t="s">
        <v>171</v>
      </c>
      <c r="CE95" s="111"/>
      <c r="CF95" s="109">
        <f ca="1">(CF30*c_inicial)+(CF30*c_on*12)+(CF30*ci_comp7)+(CF30*(ct_comp7+ca_comp7)*'Time on treatment'!$D$25)</f>
        <v>0</v>
      </c>
      <c r="CG95" s="109">
        <f ca="1">(CG30*c_on*12)+(CG30*(ct_comp7+ca_comp7)*'Time on treatment'!$E$25)</f>
        <v>0</v>
      </c>
      <c r="CH95" s="109">
        <f ca="1">(CH30*c_on*12)+(CH30*(ct_comp7+ca_comp7)*'Time on treatment'!$F$25)</f>
        <v>0</v>
      </c>
      <c r="CI95" s="110">
        <f ca="1">(CI30*c_on*12)+(CI30*(ct_comp7+ca_comp7)*'Time on treatment'!$G$25)</f>
        <v>0</v>
      </c>
      <c r="CL95" s="87" t="s">
        <v>171</v>
      </c>
      <c r="CM95" s="111"/>
      <c r="CN95" s="109">
        <f ca="1">(CN30*c_inicial)+(CN30*c_on*12)+(CN30*ci_comp8)+(CN30*(ct_comp8+ca_comp8)*'Time on treatment'!$D$26)</f>
        <v>0</v>
      </c>
      <c r="CO95" s="109">
        <f ca="1">(CO30*c_on*12)+(CO30*(ct_comp8+ca_comp8)*'Time on treatment'!$E$26)</f>
        <v>0</v>
      </c>
      <c r="CP95" s="109">
        <f ca="1">(CP30*c_on*12)+(CP30*(ct_comp8+ca_comp8)*'Time on treatment'!$F$26)</f>
        <v>0</v>
      </c>
      <c r="CQ95" s="110">
        <f ca="1">(CQ30*c_on*12)+(CQ30*(ct_comp8+ca_comp8)*'Time on treatment'!$G$26)</f>
        <v>0</v>
      </c>
      <c r="CT95" s="87" t="s">
        <v>171</v>
      </c>
      <c r="CU95" s="111"/>
      <c r="CV95" s="109">
        <f ca="1">(CV30*c_inicial)+(CV30*c_on*12)+(CV30*ci_comp9)+(CV30*(ct_comp9+ca_comp9)*'Time on treatment'!$D$27)</f>
        <v>0</v>
      </c>
      <c r="CW95" s="109">
        <f ca="1">(CW30*c_on*12)+(CW30*(ct_comp9+ca_comp9)*'Time on treatment'!$E$27)</f>
        <v>0</v>
      </c>
      <c r="CX95" s="109">
        <f ca="1">(CX30*c_on*12)+(CX30*(ct_comp9+ca_comp9)*'Time on treatment'!$F$27)</f>
        <v>0</v>
      </c>
      <c r="CY95" s="110">
        <f ca="1">(CY30*c_on*12)+(CY30*(ct_comp9+ca_comp9)*'Time on treatment'!$G$27)</f>
        <v>0</v>
      </c>
      <c r="DB95" s="87" t="s">
        <v>171</v>
      </c>
      <c r="DC95" s="111"/>
      <c r="DD95" s="109">
        <f ca="1">(DD30*c_inicial)+(DD30*c_on*12)+(DD30*ci_comp10)+(DD30*(ct_comp10+ca_comp10)*'Time on treatment'!$D$28)</f>
        <v>0</v>
      </c>
      <c r="DE95" s="109">
        <f ca="1">(DE30*c_on*12)+(DE30*(ct_comp10+ca_comp10)*'Time on treatment'!$E$28)</f>
        <v>0</v>
      </c>
      <c r="DF95" s="109">
        <f ca="1">(DF30*c_on*12)+(DF30*(ct_comp10+ca_comp10)*'Time on treatment'!$F$28)</f>
        <v>0</v>
      </c>
      <c r="DG95" s="110">
        <f ca="1">(DG30*c_on*12)+(DG30*(ct_comp10+ca_comp10)*'Time on treatment'!$G$28)</f>
        <v>0</v>
      </c>
    </row>
    <row r="96" spans="2:113">
      <c r="B96" s="87" t="s">
        <v>176</v>
      </c>
      <c r="C96" s="111"/>
      <c r="D96" s="109">
        <f>D31*c_off</f>
        <v>0</v>
      </c>
      <c r="E96" s="109">
        <f>E31*c_off</f>
        <v>0</v>
      </c>
      <c r="F96" s="109">
        <f>F31*c_off</f>
        <v>0</v>
      </c>
      <c r="G96" s="110">
        <f>G31*c_off</f>
        <v>0</v>
      </c>
      <c r="J96" s="87" t="s">
        <v>176</v>
      </c>
      <c r="K96" s="111"/>
      <c r="L96" s="109">
        <f>L31*c_off</f>
        <v>0</v>
      </c>
      <c r="M96" s="109">
        <f>M31*c_off</f>
        <v>0</v>
      </c>
      <c r="N96" s="109">
        <f>N31*c_off</f>
        <v>0</v>
      </c>
      <c r="O96" s="110">
        <f>O31*c_off</f>
        <v>0</v>
      </c>
      <c r="R96" s="87" t="s">
        <v>176</v>
      </c>
      <c r="S96" s="111"/>
      <c r="T96" s="109">
        <f>T31*c_off</f>
        <v>0</v>
      </c>
      <c r="U96" s="109">
        <f>U31*c_off</f>
        <v>0</v>
      </c>
      <c r="V96" s="109">
        <f>V31*c_off</f>
        <v>0</v>
      </c>
      <c r="W96" s="110">
        <f>W31*c_off</f>
        <v>0</v>
      </c>
      <c r="Z96" s="87" t="s">
        <v>176</v>
      </c>
      <c r="AA96" s="111"/>
      <c r="AB96" s="109">
        <f>AB31*c_off</f>
        <v>0</v>
      </c>
      <c r="AC96" s="109">
        <f>AC31*c_off</f>
        <v>0</v>
      </c>
      <c r="AD96" s="109">
        <f>AD31*c_off</f>
        <v>0</v>
      </c>
      <c r="AE96" s="110">
        <f>AE31*c_off</f>
        <v>0</v>
      </c>
      <c r="AH96" s="87" t="s">
        <v>176</v>
      </c>
      <c r="AI96" s="111"/>
      <c r="AJ96" s="109">
        <f>AJ31*c_off</f>
        <v>0</v>
      </c>
      <c r="AK96" s="109">
        <f>AK31*c_off</f>
        <v>0</v>
      </c>
      <c r="AL96" s="109">
        <f>AL31*c_off</f>
        <v>0</v>
      </c>
      <c r="AM96" s="110">
        <f>AM31*c_off</f>
        <v>0</v>
      </c>
      <c r="AP96" s="87" t="s">
        <v>176</v>
      </c>
      <c r="AQ96" s="111"/>
      <c r="AR96" s="109">
        <f>AR31*c_off</f>
        <v>0</v>
      </c>
      <c r="AS96" s="109">
        <f>AS31*c_off</f>
        <v>0</v>
      </c>
      <c r="AT96" s="109">
        <f>AT31*c_off</f>
        <v>0</v>
      </c>
      <c r="AU96" s="110">
        <f>AU31*c_off</f>
        <v>0</v>
      </c>
      <c r="AX96" s="87" t="s">
        <v>176</v>
      </c>
      <c r="AY96" s="111"/>
      <c r="AZ96" s="109">
        <f>AZ31*c_off</f>
        <v>0</v>
      </c>
      <c r="BA96" s="109">
        <f>BA31*c_off</f>
        <v>0</v>
      </c>
      <c r="BB96" s="109">
        <f>BB31*c_off</f>
        <v>0</v>
      </c>
      <c r="BC96" s="110">
        <f>BC31*c_off</f>
        <v>0</v>
      </c>
      <c r="BF96" s="87" t="s">
        <v>176</v>
      </c>
      <c r="BG96" s="111"/>
      <c r="BH96" s="109">
        <f>BH31*c_off</f>
        <v>0</v>
      </c>
      <c r="BI96" s="109">
        <f>BI31*c_off</f>
        <v>0</v>
      </c>
      <c r="BJ96" s="109">
        <f>BJ31*c_off</f>
        <v>0</v>
      </c>
      <c r="BK96" s="110">
        <f>BK31*c_off</f>
        <v>0</v>
      </c>
      <c r="BN96" s="87" t="s">
        <v>176</v>
      </c>
      <c r="BO96" s="111"/>
      <c r="BP96" s="109">
        <f>BP31*c_off</f>
        <v>0</v>
      </c>
      <c r="BQ96" s="109">
        <f>BQ31*c_off</f>
        <v>0</v>
      </c>
      <c r="BR96" s="109">
        <f>BR31*c_off</f>
        <v>0</v>
      </c>
      <c r="BS96" s="110">
        <f>BS31*c_off</f>
        <v>0</v>
      </c>
      <c r="BV96" s="87" t="s">
        <v>176</v>
      </c>
      <c r="BW96" s="111"/>
      <c r="BX96" s="109">
        <f>BX31*c_off</f>
        <v>0</v>
      </c>
      <c r="BY96" s="109">
        <f>BY31*c_off</f>
        <v>0</v>
      </c>
      <c r="BZ96" s="109">
        <f>BZ31*c_off</f>
        <v>0</v>
      </c>
      <c r="CA96" s="110">
        <f>CA31*c_off</f>
        <v>0</v>
      </c>
      <c r="CD96" s="87" t="s">
        <v>176</v>
      </c>
      <c r="CE96" s="111"/>
      <c r="CF96" s="109">
        <f>CF31*c_off</f>
        <v>0</v>
      </c>
      <c r="CG96" s="109">
        <f>CG31*c_off</f>
        <v>0</v>
      </c>
      <c r="CH96" s="109">
        <f>CH31*c_off</f>
        <v>0</v>
      </c>
      <c r="CI96" s="110">
        <f>CI31*c_off</f>
        <v>0</v>
      </c>
      <c r="CL96" s="87" t="s">
        <v>176</v>
      </c>
      <c r="CM96" s="111"/>
      <c r="CN96" s="109">
        <f>CN31*c_off</f>
        <v>0</v>
      </c>
      <c r="CO96" s="109">
        <f>CO31*c_off</f>
        <v>0</v>
      </c>
      <c r="CP96" s="109">
        <f>CP31*c_off</f>
        <v>0</v>
      </c>
      <c r="CQ96" s="110">
        <f>CQ31*c_off</f>
        <v>0</v>
      </c>
      <c r="CT96" s="87" t="s">
        <v>176</v>
      </c>
      <c r="CU96" s="111"/>
      <c r="CV96" s="109">
        <f>CV31*c_off</f>
        <v>0</v>
      </c>
      <c r="CW96" s="109">
        <f>CW31*c_off</f>
        <v>0</v>
      </c>
      <c r="CX96" s="109">
        <f>CX31*c_off</f>
        <v>0</v>
      </c>
      <c r="CY96" s="110">
        <f>CY31*c_off</f>
        <v>0</v>
      </c>
      <c r="DB96" s="87" t="s">
        <v>176</v>
      </c>
      <c r="DC96" s="111"/>
      <c r="DD96" s="109">
        <f>DD31*c_off</f>
        <v>0</v>
      </c>
      <c r="DE96" s="109">
        <f>DE31*c_off</f>
        <v>0</v>
      </c>
      <c r="DF96" s="109">
        <f>DF31*c_off</f>
        <v>0</v>
      </c>
      <c r="DG96" s="110">
        <f>DG31*c_off</f>
        <v>0</v>
      </c>
    </row>
    <row r="97" spans="2:111">
      <c r="B97" s="87" t="s">
        <v>172</v>
      </c>
      <c r="C97" s="111"/>
      <c r="D97" s="111"/>
      <c r="E97" s="109">
        <f ca="1">(E32*c_inicial)+(E32*c_on*12)+(E32*ci_int1)+(E32*(ct_int1+ca_int1)*'Time on treatment'!$D$12)</f>
        <v>0</v>
      </c>
      <c r="F97" s="109">
        <f ca="1">(F32*c_on*12)+(F32*(ct_int1+ca_int1)*'Time on treatment'!$E$12)</f>
        <v>0</v>
      </c>
      <c r="G97" s="110">
        <f ca="1">(G32*c_on*12)+(G32*(ct_int1+ca_int1)*'Time on treatment'!$F$12)</f>
        <v>0</v>
      </c>
      <c r="J97" s="87" t="s">
        <v>172</v>
      </c>
      <c r="K97" s="111"/>
      <c r="L97" s="111"/>
      <c r="M97" s="109">
        <f ca="1">(M32*c_inicial)+(M32*c_on*12)+(M32*ci_int2)+(M32*(ct_int2+ca_int2)*'Time on treatment'!$D$13)</f>
        <v>0</v>
      </c>
      <c r="N97" s="109">
        <f ca="1">(N32*c_on*12)+(N32*(ct_int2+ca_int2)*'Time on treatment'!$E$13)</f>
        <v>0</v>
      </c>
      <c r="O97" s="110">
        <f ca="1">(O32*c_on*12)+(O32*(ct_int2+ca_int2)*'Time on treatment'!$F$13)</f>
        <v>0</v>
      </c>
      <c r="R97" s="87" t="s">
        <v>172</v>
      </c>
      <c r="S97" s="111"/>
      <c r="T97" s="111"/>
      <c r="U97" s="109">
        <f ca="1">(U32*c_inicial)+(U32*c_on*12)+(U32*ci_int3)+(U32*(ct_int3+ca_int3)*'Time on treatment'!$D$14)</f>
        <v>0</v>
      </c>
      <c r="V97" s="109">
        <f ca="1">(V32*c_on*12)+(V32*(ct_int3+ca_int3)*'Time on treatment'!$E$14)</f>
        <v>0</v>
      </c>
      <c r="W97" s="110">
        <f ca="1">(W32*c_on*12)+(W32*(ct_int3+ca_int3)*'Time on treatment'!$F$14)</f>
        <v>0</v>
      </c>
      <c r="Z97" s="87" t="s">
        <v>172</v>
      </c>
      <c r="AA97" s="111"/>
      <c r="AB97" s="111"/>
      <c r="AC97" s="109">
        <f ca="1">(AC32*c_inicial)+(AC32*c_on*12)+(AC32*ci_int4)+(AC32*(ct_int4+ca_int4)*'Time on treatment'!$D$15)</f>
        <v>0</v>
      </c>
      <c r="AD97" s="109">
        <f ca="1">(AD32*c_on*12)+(AD32*(ct_int4+ca_int4)*'Time on treatment'!$E$15)</f>
        <v>0</v>
      </c>
      <c r="AE97" s="110">
        <f ca="1">(AE32*c_on*12)+(AE32*(ct_int4+ca_int4)*'Time on treatment'!$F$15)</f>
        <v>0</v>
      </c>
      <c r="AH97" s="87" t="s">
        <v>172</v>
      </c>
      <c r="AI97" s="111"/>
      <c r="AJ97" s="111"/>
      <c r="AK97" s="109">
        <f ca="1">(AK32*c_inicial)+(AK32*c_on*12)+(AK32*ci_comp1)+(AK32*(ct_comp1+ca_comp1)*'Time on treatment'!$D$19)</f>
        <v>8301249.9631327502</v>
      </c>
      <c r="AL97" s="109">
        <f ca="1">(AL32*c_on*12)+(AL32*(ct_comp1+ca_comp1)*'Time on treatment'!$E$19)</f>
        <v>7257855.0456952509</v>
      </c>
      <c r="AM97" s="110">
        <f ca="1">(AM32*c_on*12)+(AM32*(ct_comp1+ca_comp1)*'Time on treatment'!$F$19)</f>
        <v>7257855.0456952509</v>
      </c>
      <c r="AP97" s="87" t="s">
        <v>172</v>
      </c>
      <c r="AQ97" s="111"/>
      <c r="AR97" s="111"/>
      <c r="AS97" s="109">
        <f ca="1">(AS32*c_inicial)+(AS32*c_on*12)+(AS32*ci_comp2)+(AS32*(ct_comp2+ca_comp2)*'Time on treatment'!$D$20)</f>
        <v>0</v>
      </c>
      <c r="AT97" s="109">
        <f ca="1">(AT32*c_on*12)+(AT32*(ct_comp2+ca_comp2)*'Time on treatment'!$E$20)</f>
        <v>0</v>
      </c>
      <c r="AU97" s="110">
        <f ca="1">(AU32*c_on*12)+(AU32*(ct_comp2+ca_comp2)*'Time on treatment'!$F$20)</f>
        <v>0</v>
      </c>
      <c r="AX97" s="87" t="s">
        <v>172</v>
      </c>
      <c r="AY97" s="111"/>
      <c r="AZ97" s="111"/>
      <c r="BA97" s="109">
        <f ca="1">(BA32*c_inicial)+(BA32*c_on*12)+(BA32*ci_comp3)+(BA32*(ct_comp3+ca_comp3)*'Time on treatment'!$D$21)</f>
        <v>0</v>
      </c>
      <c r="BB97" s="109">
        <f ca="1">(BB32*c_on*12)+(BB32*(ct_comp3+ca_comp3)*'Time on treatment'!$E$21)</f>
        <v>0</v>
      </c>
      <c r="BC97" s="110">
        <f ca="1">(BC32*c_on*12)+(BC32*(ct_comp3+ca_comp3)*'Time on treatment'!$F$21)</f>
        <v>0</v>
      </c>
      <c r="BF97" s="87" t="s">
        <v>172</v>
      </c>
      <c r="BG97" s="111"/>
      <c r="BH97" s="111"/>
      <c r="BI97" s="109">
        <f ca="1">(BI32*c_inicial)+(BI32*c_on*12)+(BI32*ci_comp4)+(BI32*(ct_comp4+ca_comp4)*'Time on treatment'!$D$22)</f>
        <v>0</v>
      </c>
      <c r="BJ97" s="109">
        <f ca="1">(BJ32*c_on*12)+(BJ32*(ct_comp4+ca_comp4)*'Time on treatment'!$E$22)</f>
        <v>0</v>
      </c>
      <c r="BK97" s="110">
        <f ca="1">(BK32*c_on*12)+(BK32*(ct_comp4+ca_comp4)*'Time on treatment'!$F$22)</f>
        <v>0</v>
      </c>
      <c r="BN97" s="87" t="s">
        <v>172</v>
      </c>
      <c r="BO97" s="111"/>
      <c r="BP97" s="111"/>
      <c r="BQ97" s="109">
        <f ca="1">(BQ32*c_inicial)+(BQ32*c_on*12)+(BQ32*ci_comp5)+(BQ32*(ct_comp5+ca_comp5)*'Time on treatment'!$D$23)</f>
        <v>0</v>
      </c>
      <c r="BR97" s="109">
        <f ca="1">(BR32*c_on*12)+(BR32*(ct_comp5+ca_comp5)*'Time on treatment'!$E$23)</f>
        <v>0</v>
      </c>
      <c r="BS97" s="110">
        <f ca="1">(BS32*c_on*12)+(BS32*(ct_comp5+ca_comp5)*'Time on treatment'!$F$23)</f>
        <v>0</v>
      </c>
      <c r="BV97" s="87" t="s">
        <v>172</v>
      </c>
      <c r="BW97" s="111"/>
      <c r="BX97" s="111"/>
      <c r="BY97" s="109">
        <f ca="1">(BY32*c_inicial)+(BY32*c_on*12)+(BY32*ci_comp6)+(BY32*(ct_comp6+ca_comp6)*'Time on treatment'!$D$24)</f>
        <v>0</v>
      </c>
      <c r="BZ97" s="109">
        <f ca="1">(BZ32*c_on*12)+(BZ32*(ct_comp6+ca_comp6)*'Time on treatment'!$E$24)</f>
        <v>0</v>
      </c>
      <c r="CA97" s="110">
        <f ca="1">(CA32*c_on*12)+(CA32*(ct_comp6+ca_comp6)*'Time on treatment'!$F$24)</f>
        <v>0</v>
      </c>
      <c r="CD97" s="87" t="s">
        <v>172</v>
      </c>
      <c r="CE97" s="111"/>
      <c r="CF97" s="111"/>
      <c r="CG97" s="109">
        <f ca="1">(CG32*c_inicial)+(CG32*c_on*12)+(CG32*ci_comp7)+(CG32*(ct_comp7+ca_comp7)*'Time on treatment'!$D$25)</f>
        <v>0</v>
      </c>
      <c r="CH97" s="109">
        <f ca="1">(CH32*c_on*12)+(CH32*(ct_comp7+ca_comp7)*'Time on treatment'!$E$25)</f>
        <v>0</v>
      </c>
      <c r="CI97" s="110">
        <f ca="1">(CI32*c_on*12)+(CI32*(ct_comp7+ca_comp7)*'Time on treatment'!$F$25)</f>
        <v>0</v>
      </c>
      <c r="CL97" s="87" t="s">
        <v>172</v>
      </c>
      <c r="CM97" s="111"/>
      <c r="CN97" s="111"/>
      <c r="CO97" s="109">
        <f ca="1">(CO32*c_inicial)+(CO32*c_on*12)+(CO32*ci_comp8)+(CO32*(ct_comp8+ca_comp8)*'Time on treatment'!$D$26)</f>
        <v>0</v>
      </c>
      <c r="CP97" s="109">
        <f ca="1">(CP32*c_on*12)+(CP32*(ct_comp8+ca_comp8)*'Time on treatment'!$E$26)</f>
        <v>0</v>
      </c>
      <c r="CQ97" s="110">
        <f ca="1">(CQ32*c_on*12)+(CQ32*(ct_comp8+ca_comp8)*'Time on treatment'!$F$26)</f>
        <v>0</v>
      </c>
      <c r="CT97" s="87" t="s">
        <v>172</v>
      </c>
      <c r="CU97" s="111"/>
      <c r="CV97" s="111"/>
      <c r="CW97" s="109">
        <f ca="1">(CW32*c_inicial)+(CW32*c_on*12)+(CW32*ci_comp9)+(CW32*(ct_comp9+ca_comp9)*'Time on treatment'!$D$27)</f>
        <v>0</v>
      </c>
      <c r="CX97" s="109">
        <f ca="1">(CX32*c_on*12)+(CX32*(ct_comp9+ca_comp9)*'Time on treatment'!$E$27)</f>
        <v>0</v>
      </c>
      <c r="CY97" s="110">
        <f ca="1">(CY32*c_on*12)+(CY32*(ct_comp9+ca_comp9)*'Time on treatment'!$F$27)</f>
        <v>0</v>
      </c>
      <c r="DB97" s="87" t="s">
        <v>172</v>
      </c>
      <c r="DC97" s="111"/>
      <c r="DD97" s="111"/>
      <c r="DE97" s="109">
        <f ca="1">(DE32*c_inicial)+(DE32*c_on*12)+(DE32*ci_comp10)+(DE32*(ct_comp10+ca_comp10)*'Time on treatment'!$D$28)</f>
        <v>0</v>
      </c>
      <c r="DF97" s="109">
        <f ca="1">(DF32*c_on*12)+(DF32*(ct_comp10+ca_comp10)*'Time on treatment'!$E$28)</f>
        <v>0</v>
      </c>
      <c r="DG97" s="110">
        <f ca="1">(DG32*c_on*12)+(DG32*(ct_comp10+ca_comp10)*'Time on treatment'!$F$28)</f>
        <v>0</v>
      </c>
    </row>
    <row r="98" spans="2:111">
      <c r="B98" s="87" t="s">
        <v>177</v>
      </c>
      <c r="C98" s="111"/>
      <c r="D98" s="111"/>
      <c r="E98" s="109">
        <f>E33*c_off</f>
        <v>0</v>
      </c>
      <c r="F98" s="109">
        <f>F33*c_off</f>
        <v>0</v>
      </c>
      <c r="G98" s="110">
        <f>G33*c_off</f>
        <v>0</v>
      </c>
      <c r="J98" s="87" t="s">
        <v>177</v>
      </c>
      <c r="K98" s="111"/>
      <c r="L98" s="111"/>
      <c r="M98" s="109">
        <f>M33*c_off</f>
        <v>0</v>
      </c>
      <c r="N98" s="109">
        <f>N33*c_off</f>
        <v>0</v>
      </c>
      <c r="O98" s="110">
        <f>O33*c_off</f>
        <v>0</v>
      </c>
      <c r="R98" s="87" t="s">
        <v>177</v>
      </c>
      <c r="S98" s="111"/>
      <c r="T98" s="111"/>
      <c r="U98" s="109">
        <f>U33*c_off</f>
        <v>0</v>
      </c>
      <c r="V98" s="109">
        <f>V33*c_off</f>
        <v>0</v>
      </c>
      <c r="W98" s="110">
        <f>W33*c_off</f>
        <v>0</v>
      </c>
      <c r="Z98" s="87" t="s">
        <v>177</v>
      </c>
      <c r="AA98" s="111"/>
      <c r="AB98" s="111"/>
      <c r="AC98" s="109">
        <f>AC33*c_off</f>
        <v>0</v>
      </c>
      <c r="AD98" s="109">
        <f>AD33*c_off</f>
        <v>0</v>
      </c>
      <c r="AE98" s="110">
        <f>AE33*c_off</f>
        <v>0</v>
      </c>
      <c r="AH98" s="87" t="s">
        <v>177</v>
      </c>
      <c r="AI98" s="111"/>
      <c r="AJ98" s="111"/>
      <c r="AK98" s="109">
        <f>AK33*c_off</f>
        <v>0</v>
      </c>
      <c r="AL98" s="109">
        <f>AL33*c_off</f>
        <v>0</v>
      </c>
      <c r="AM98" s="110">
        <f>AM33*c_off</f>
        <v>0</v>
      </c>
      <c r="AP98" s="87" t="s">
        <v>177</v>
      </c>
      <c r="AQ98" s="111"/>
      <c r="AR98" s="111"/>
      <c r="AS98" s="109">
        <f>AS33*c_off</f>
        <v>0</v>
      </c>
      <c r="AT98" s="109">
        <f>AT33*c_off</f>
        <v>0</v>
      </c>
      <c r="AU98" s="110">
        <f>AU33*c_off</f>
        <v>0</v>
      </c>
      <c r="AX98" s="87" t="s">
        <v>177</v>
      </c>
      <c r="AY98" s="111"/>
      <c r="AZ98" s="111"/>
      <c r="BA98" s="109">
        <f>BA33*c_off</f>
        <v>0</v>
      </c>
      <c r="BB98" s="109">
        <f>BB33*c_off</f>
        <v>0</v>
      </c>
      <c r="BC98" s="110">
        <f>BC33*c_off</f>
        <v>0</v>
      </c>
      <c r="BF98" s="87" t="s">
        <v>177</v>
      </c>
      <c r="BG98" s="111"/>
      <c r="BH98" s="111"/>
      <c r="BI98" s="109">
        <f>BI33*c_off</f>
        <v>0</v>
      </c>
      <c r="BJ98" s="109">
        <f>BJ33*c_off</f>
        <v>0</v>
      </c>
      <c r="BK98" s="110">
        <f>BK33*c_off</f>
        <v>0</v>
      </c>
      <c r="BN98" s="87" t="s">
        <v>177</v>
      </c>
      <c r="BO98" s="111"/>
      <c r="BP98" s="111"/>
      <c r="BQ98" s="109">
        <f>BQ33*c_off</f>
        <v>0</v>
      </c>
      <c r="BR98" s="109">
        <f>BR33*c_off</f>
        <v>0</v>
      </c>
      <c r="BS98" s="110">
        <f>BS33*c_off</f>
        <v>0</v>
      </c>
      <c r="BV98" s="87" t="s">
        <v>177</v>
      </c>
      <c r="BW98" s="111"/>
      <c r="BX98" s="111"/>
      <c r="BY98" s="109">
        <f>BY33*c_off</f>
        <v>0</v>
      </c>
      <c r="BZ98" s="109">
        <f>BZ33*c_off</f>
        <v>0</v>
      </c>
      <c r="CA98" s="110">
        <f>CA33*c_off</f>
        <v>0</v>
      </c>
      <c r="CD98" s="87" t="s">
        <v>177</v>
      </c>
      <c r="CE98" s="111"/>
      <c r="CF98" s="111"/>
      <c r="CG98" s="109">
        <f>CG33*c_off</f>
        <v>0</v>
      </c>
      <c r="CH98" s="109">
        <f>CH33*c_off</f>
        <v>0</v>
      </c>
      <c r="CI98" s="110">
        <f>CI33*c_off</f>
        <v>0</v>
      </c>
      <c r="CL98" s="87" t="s">
        <v>177</v>
      </c>
      <c r="CM98" s="111"/>
      <c r="CN98" s="111"/>
      <c r="CO98" s="109">
        <f>CO33*c_off</f>
        <v>0</v>
      </c>
      <c r="CP98" s="109">
        <f>CP33*c_off</f>
        <v>0</v>
      </c>
      <c r="CQ98" s="110">
        <f>CQ33*c_off</f>
        <v>0</v>
      </c>
      <c r="CT98" s="87" t="s">
        <v>177</v>
      </c>
      <c r="CU98" s="111"/>
      <c r="CV98" s="111"/>
      <c r="CW98" s="109">
        <f>CW33*c_off</f>
        <v>0</v>
      </c>
      <c r="CX98" s="109">
        <f>CX33*c_off</f>
        <v>0</v>
      </c>
      <c r="CY98" s="110">
        <f>CY33*c_off</f>
        <v>0</v>
      </c>
      <c r="DB98" s="87" t="s">
        <v>177</v>
      </c>
      <c r="DC98" s="111"/>
      <c r="DD98" s="111"/>
      <c r="DE98" s="109">
        <f>DE33*c_off</f>
        <v>0</v>
      </c>
      <c r="DF98" s="109">
        <f>DF33*c_off</f>
        <v>0</v>
      </c>
      <c r="DG98" s="110">
        <f>DG33*c_off</f>
        <v>0</v>
      </c>
    </row>
    <row r="99" spans="2:111">
      <c r="B99" s="87" t="s">
        <v>173</v>
      </c>
      <c r="C99" s="111"/>
      <c r="D99" s="111"/>
      <c r="E99" s="111"/>
      <c r="F99" s="109">
        <f ca="1">(F34*c_inicial)+(F34*c_on*12)+(F34*ci_int1)+(F34*(ct_int1+ca_int1)*'Time on treatment'!$D$12)</f>
        <v>0</v>
      </c>
      <c r="G99" s="110">
        <f ca="1">(G34*c_on*12)+(G34*(ct_int1+ca_int1)*'Time on treatment'!$E$12)</f>
        <v>0</v>
      </c>
      <c r="J99" s="87" t="s">
        <v>173</v>
      </c>
      <c r="K99" s="111"/>
      <c r="L99" s="111"/>
      <c r="M99" s="111"/>
      <c r="N99" s="109">
        <f ca="1">(N34*c_inicial)+(N34*c_on*12)+(N34*ci_int2)+(N34*(ct_int2+ca_int2)*'Time on treatment'!$D$13)</f>
        <v>0</v>
      </c>
      <c r="O99" s="110">
        <f ca="1">(O34*c_on*12)+(O34*(ct_int2+ca_int2)*'Time on treatment'!$E$13)</f>
        <v>0</v>
      </c>
      <c r="R99" s="87" t="s">
        <v>173</v>
      </c>
      <c r="S99" s="111"/>
      <c r="T99" s="111"/>
      <c r="U99" s="111"/>
      <c r="V99" s="109">
        <f ca="1">(V34*c_inicial)+(V34*c_on*12)+(V34*ci_int3)+(V34*(ct_int3+ca_int3)*'Time on treatment'!$D$14)</f>
        <v>0</v>
      </c>
      <c r="W99" s="110">
        <f ca="1">(W34*c_on*12)+(W34*(ct_int3+ca_int3)*'Time on treatment'!$E$14)</f>
        <v>0</v>
      </c>
      <c r="Z99" s="87" t="s">
        <v>173</v>
      </c>
      <c r="AA99" s="111"/>
      <c r="AB99" s="111"/>
      <c r="AC99" s="111"/>
      <c r="AD99" s="109">
        <f ca="1">(AD34*c_inicial)+(AD34*c_on*12)+(AD34*ci_int4)+(AD34*(ct_int4+ca_int4)*'Time on treatment'!$D$15)</f>
        <v>0</v>
      </c>
      <c r="AE99" s="110">
        <f ca="1">(AE34*c_on*12)+(AE34*(ct_int4+ca_int4)*'Time on treatment'!$E$15)</f>
        <v>0</v>
      </c>
      <c r="AH99" s="87" t="s">
        <v>173</v>
      </c>
      <c r="AI99" s="111"/>
      <c r="AJ99" s="111"/>
      <c r="AK99" s="111"/>
      <c r="AL99" s="109">
        <f ca="1">(AL34*c_inicial)+(AL34*c_on*12)+(AL34*ci_comp1)+(AL34*(ct_comp1+ca_comp1)*'Time on treatment'!$D$19)</f>
        <v>8363877.6260227505</v>
      </c>
      <c r="AM99" s="110">
        <f ca="1">(AM34*c_on*12)+(AM34*(ct_comp1+ca_comp1)*'Time on treatment'!$E$19)</f>
        <v>7312610.9560852498</v>
      </c>
      <c r="AP99" s="87" t="s">
        <v>173</v>
      </c>
      <c r="AQ99" s="111"/>
      <c r="AR99" s="111"/>
      <c r="AS99" s="111"/>
      <c r="AT99" s="109">
        <f ca="1">(AT34*c_inicial)+(AT34*c_on*12)+(AT34*ci_comp2)+(AT34*(ct_comp2+ca_comp2)*'Time on treatment'!$D$20)</f>
        <v>0</v>
      </c>
      <c r="AU99" s="110">
        <f ca="1">(AU34*c_on*12)+(AU34*(ct_comp2+ca_comp2)*'Time on treatment'!$E$20)</f>
        <v>0</v>
      </c>
      <c r="AX99" s="87" t="s">
        <v>173</v>
      </c>
      <c r="AY99" s="111"/>
      <c r="AZ99" s="111"/>
      <c r="BA99" s="111"/>
      <c r="BB99" s="109">
        <f ca="1">(BB34*c_inicial)+(BB34*c_on*12)+(BB34*ci_comp3)+(BB34*(ct_comp3+ca_comp3)*'Time on treatment'!$D$21)</f>
        <v>0</v>
      </c>
      <c r="BC99" s="110">
        <f ca="1">(BC34*c_on*12)+(BC34*(ct_comp3+ca_comp3)*'Time on treatment'!$E$21)</f>
        <v>0</v>
      </c>
      <c r="BF99" s="87" t="s">
        <v>173</v>
      </c>
      <c r="BG99" s="111"/>
      <c r="BH99" s="111"/>
      <c r="BI99" s="111"/>
      <c r="BJ99" s="109">
        <f ca="1">(BJ34*c_inicial)+(BJ34*c_on*12)+(BJ34*ci_comp4)+(BJ34*(ct_comp4+ca_comp4)*'Time on treatment'!$D$22)</f>
        <v>0</v>
      </c>
      <c r="BK99" s="110">
        <f ca="1">(BK34*c_on*12)+(BK34*(ct_comp4+ca_comp4)*'Time on treatment'!$E$22)</f>
        <v>0</v>
      </c>
      <c r="BN99" s="87" t="s">
        <v>173</v>
      </c>
      <c r="BO99" s="111"/>
      <c r="BP99" s="111"/>
      <c r="BQ99" s="111"/>
      <c r="BR99" s="109">
        <f ca="1">(BR34*c_inicial)+(BR34*c_on*12)+(BR34*ci_comp5)+(BR34*(ct_comp5+ca_comp5)*'Time on treatment'!$D$23)</f>
        <v>0</v>
      </c>
      <c r="BS99" s="110">
        <f ca="1">(BS34*c_on*12)+(BS34*(ct_comp5+ca_comp5)*'Time on treatment'!$E$23)</f>
        <v>0</v>
      </c>
      <c r="BV99" s="87" t="s">
        <v>173</v>
      </c>
      <c r="BW99" s="111"/>
      <c r="BX99" s="111"/>
      <c r="BY99" s="111"/>
      <c r="BZ99" s="109">
        <f ca="1">(BZ34*c_inicial)+(BZ34*c_on*12)+(BZ34*ci_comp6)+(BZ34*(ct_comp6+ca_comp6)*'Time on treatment'!$D$24)</f>
        <v>0</v>
      </c>
      <c r="CA99" s="110">
        <f ca="1">(CA34*c_on*12)+(CA34*(ct_comp6+ca_comp6)*'Time on treatment'!$E$24)</f>
        <v>0</v>
      </c>
      <c r="CD99" s="87" t="s">
        <v>173</v>
      </c>
      <c r="CE99" s="111"/>
      <c r="CF99" s="111"/>
      <c r="CG99" s="111"/>
      <c r="CH99" s="109">
        <f ca="1">(CH34*c_inicial)+(CH34*c_on*12)+(CH34*ci_comp7)+(CH34*(ct_comp7+ca_comp7)*'Time on treatment'!$D$25)</f>
        <v>0</v>
      </c>
      <c r="CI99" s="110">
        <f ca="1">(CI34*c_on*12)+(CI34*(ct_comp7+ca_comp7)*'Time on treatment'!$E$25)</f>
        <v>0</v>
      </c>
      <c r="CL99" s="87" t="s">
        <v>173</v>
      </c>
      <c r="CM99" s="111"/>
      <c r="CN99" s="111"/>
      <c r="CO99" s="111"/>
      <c r="CP99" s="109">
        <f ca="1">(CP34*c_inicial)+(CP34*c_on*12)+(CP34*ci_comp8)+(CP34*(ct_comp8+ca_comp8)*'Time on treatment'!$D$26)</f>
        <v>0</v>
      </c>
      <c r="CQ99" s="110">
        <f ca="1">(CQ34*c_on*12)+(CQ34*(ct_comp8+ca_comp8)*'Time on treatment'!$E$26)</f>
        <v>0</v>
      </c>
      <c r="CT99" s="87" t="s">
        <v>173</v>
      </c>
      <c r="CU99" s="111"/>
      <c r="CV99" s="111"/>
      <c r="CW99" s="111"/>
      <c r="CX99" s="109">
        <f ca="1">(CX34*c_inicial)+(CX34*c_on*12)+(CX34*ci_comp9)+(CX34*(ct_comp9+ca_comp9)*'Time on treatment'!$D$27)</f>
        <v>0</v>
      </c>
      <c r="CY99" s="110">
        <f ca="1">(CY34*c_on*12)+(CY34*(ct_comp9+ca_comp9)*'Time on treatment'!$E$27)</f>
        <v>0</v>
      </c>
      <c r="DB99" s="87" t="s">
        <v>173</v>
      </c>
      <c r="DC99" s="111"/>
      <c r="DD99" s="111"/>
      <c r="DE99" s="111"/>
      <c r="DF99" s="109">
        <f ca="1">(DF34*c_inicial)+(DF34*c_on*12)+(DF34*ci_comp10)+(DF34*(ct_comp10+ca_comp10)*'Time on treatment'!$D$28)</f>
        <v>0</v>
      </c>
      <c r="DG99" s="110">
        <f ca="1">(DG34*c_on*12)+(DG34*(ct_comp10+ca_comp10)*'Time on treatment'!$E$28)</f>
        <v>0</v>
      </c>
    </row>
    <row r="100" spans="2:111">
      <c r="B100" s="87" t="s">
        <v>178</v>
      </c>
      <c r="C100" s="111"/>
      <c r="D100" s="111"/>
      <c r="E100" s="111"/>
      <c r="F100" s="109">
        <f>F35*c_off</f>
        <v>0</v>
      </c>
      <c r="G100" s="110">
        <f>G35*c_off</f>
        <v>0</v>
      </c>
      <c r="J100" s="87" t="s">
        <v>178</v>
      </c>
      <c r="K100" s="111"/>
      <c r="L100" s="111"/>
      <c r="M100" s="111"/>
      <c r="N100" s="109">
        <f>N35*c_off</f>
        <v>0</v>
      </c>
      <c r="O100" s="110">
        <f>O35*c_off</f>
        <v>0</v>
      </c>
      <c r="R100" s="87" t="s">
        <v>178</v>
      </c>
      <c r="S100" s="111"/>
      <c r="T100" s="111"/>
      <c r="U100" s="111"/>
      <c r="V100" s="109">
        <f>V35*c_off</f>
        <v>0</v>
      </c>
      <c r="W100" s="110">
        <f>W35*c_off</f>
        <v>0</v>
      </c>
      <c r="Z100" s="87" t="s">
        <v>178</v>
      </c>
      <c r="AA100" s="111"/>
      <c r="AB100" s="111"/>
      <c r="AC100" s="111"/>
      <c r="AD100" s="109">
        <f>AD35*c_off</f>
        <v>0</v>
      </c>
      <c r="AE100" s="110">
        <f>AE35*c_off</f>
        <v>0</v>
      </c>
      <c r="AH100" s="87" t="s">
        <v>178</v>
      </c>
      <c r="AI100" s="111"/>
      <c r="AJ100" s="111"/>
      <c r="AK100" s="111"/>
      <c r="AL100" s="109">
        <f>AL35*c_off</f>
        <v>0</v>
      </c>
      <c r="AM100" s="110">
        <f>AM35*c_off</f>
        <v>0</v>
      </c>
      <c r="AP100" s="87" t="s">
        <v>178</v>
      </c>
      <c r="AQ100" s="111"/>
      <c r="AR100" s="111"/>
      <c r="AS100" s="111"/>
      <c r="AT100" s="109">
        <f>AT35*c_off</f>
        <v>0</v>
      </c>
      <c r="AU100" s="110">
        <f>AU35*c_off</f>
        <v>0</v>
      </c>
      <c r="AX100" s="87" t="s">
        <v>178</v>
      </c>
      <c r="AY100" s="111"/>
      <c r="AZ100" s="111"/>
      <c r="BA100" s="111"/>
      <c r="BB100" s="109">
        <f>BB35*c_off</f>
        <v>0</v>
      </c>
      <c r="BC100" s="110">
        <f>BC35*c_off</f>
        <v>0</v>
      </c>
      <c r="BF100" s="87" t="s">
        <v>178</v>
      </c>
      <c r="BG100" s="111"/>
      <c r="BH100" s="111"/>
      <c r="BI100" s="111"/>
      <c r="BJ100" s="109">
        <f>BJ35*c_off</f>
        <v>0</v>
      </c>
      <c r="BK100" s="110">
        <f>BK35*c_off</f>
        <v>0</v>
      </c>
      <c r="BN100" s="87" t="s">
        <v>178</v>
      </c>
      <c r="BO100" s="111"/>
      <c r="BP100" s="111"/>
      <c r="BQ100" s="111"/>
      <c r="BR100" s="109">
        <f>BR35*c_off</f>
        <v>0</v>
      </c>
      <c r="BS100" s="110">
        <f>BS35*c_off</f>
        <v>0</v>
      </c>
      <c r="BV100" s="87" t="s">
        <v>178</v>
      </c>
      <c r="BW100" s="111"/>
      <c r="BX100" s="111"/>
      <c r="BY100" s="111"/>
      <c r="BZ100" s="109">
        <f>BZ35*c_off</f>
        <v>0</v>
      </c>
      <c r="CA100" s="110">
        <f>CA35*c_off</f>
        <v>0</v>
      </c>
      <c r="CD100" s="87" t="s">
        <v>178</v>
      </c>
      <c r="CE100" s="111"/>
      <c r="CF100" s="111"/>
      <c r="CG100" s="111"/>
      <c r="CH100" s="109">
        <f>CH35*c_off</f>
        <v>0</v>
      </c>
      <c r="CI100" s="110">
        <f>CI35*c_off</f>
        <v>0</v>
      </c>
      <c r="CL100" s="87" t="s">
        <v>178</v>
      </c>
      <c r="CM100" s="111"/>
      <c r="CN100" s="111"/>
      <c r="CO100" s="111"/>
      <c r="CP100" s="109">
        <f>CP35*c_off</f>
        <v>0</v>
      </c>
      <c r="CQ100" s="110">
        <f>CQ35*c_off</f>
        <v>0</v>
      </c>
      <c r="CT100" s="87" t="s">
        <v>178</v>
      </c>
      <c r="CU100" s="111"/>
      <c r="CV100" s="111"/>
      <c r="CW100" s="111"/>
      <c r="CX100" s="109">
        <f>CX35*c_off</f>
        <v>0</v>
      </c>
      <c r="CY100" s="110">
        <f>CY35*c_off</f>
        <v>0</v>
      </c>
      <c r="DB100" s="87" t="s">
        <v>178</v>
      </c>
      <c r="DC100" s="111"/>
      <c r="DD100" s="111"/>
      <c r="DE100" s="111"/>
      <c r="DF100" s="109">
        <f>DF35*c_off</f>
        <v>0</v>
      </c>
      <c r="DG100" s="110">
        <f>DG35*c_off</f>
        <v>0</v>
      </c>
    </row>
    <row r="101" spans="2:111">
      <c r="B101" s="87" t="s">
        <v>174</v>
      </c>
      <c r="C101" s="111"/>
      <c r="D101" s="111"/>
      <c r="E101" s="111"/>
      <c r="F101" s="111"/>
      <c r="G101" s="110">
        <f ca="1">(G36*c_inicial)+(G36*c_on*12)+(G36*ci_int1)+(G36*(ct_int1+ca_int1)*'Time on treatment'!$D$12)</f>
        <v>0</v>
      </c>
      <c r="J101" s="87" t="s">
        <v>174</v>
      </c>
      <c r="K101" s="111"/>
      <c r="L101" s="111"/>
      <c r="M101" s="111"/>
      <c r="N101" s="111"/>
      <c r="O101" s="110">
        <f ca="1">(O36*c_inicial)+(O36*c_on*12)+(O36*ci_int2)+(O36*(ct_int2+ca_int2)*'Time on treatment'!$D$13)</f>
        <v>0</v>
      </c>
      <c r="R101" s="87" t="s">
        <v>174</v>
      </c>
      <c r="S101" s="111"/>
      <c r="T101" s="111"/>
      <c r="U101" s="111"/>
      <c r="V101" s="111"/>
      <c r="W101" s="110">
        <f ca="1">(W36*c_inicial)+(W36*c_on*12)+(W36*ci_int3)+(W36*(ct_int3+ca_int3)*'Time on treatment'!$D$14)</f>
        <v>0</v>
      </c>
      <c r="Z101" s="87" t="s">
        <v>174</v>
      </c>
      <c r="AA101" s="111"/>
      <c r="AB101" s="111"/>
      <c r="AC101" s="111"/>
      <c r="AD101" s="111"/>
      <c r="AE101" s="110">
        <f ca="1">(AE36*c_inicial)+(AE36*c_on*12)+(AE36*ci_int4)+(AE36*(ct_int4+ca_int4)*'Time on treatment'!$D$15)</f>
        <v>0</v>
      </c>
      <c r="AH101" s="87" t="s">
        <v>174</v>
      </c>
      <c r="AI101" s="111"/>
      <c r="AJ101" s="111"/>
      <c r="AK101" s="111"/>
      <c r="AL101" s="111"/>
      <c r="AM101" s="110">
        <f ca="1">(AM36*c_inicial)+(AM36*c_on*12)+(AM36*ci_comp1)+(AM36*(ct_comp1+ca_comp1)*'Time on treatment'!$D$19)</f>
        <v>8427711.4776855018</v>
      </c>
      <c r="AP101" s="87" t="s">
        <v>174</v>
      </c>
      <c r="AQ101" s="111"/>
      <c r="AR101" s="111"/>
      <c r="AS101" s="111"/>
      <c r="AT101" s="111"/>
      <c r="AU101" s="110">
        <f ca="1">(AU36*c_inicial)+(AU36*c_on*12)+(AU36*ci_comp2)+(AU36*(ct_comp2+ca_comp2)*'Time on treatment'!$D$20)</f>
        <v>0</v>
      </c>
      <c r="AX101" s="87" t="s">
        <v>174</v>
      </c>
      <c r="AY101" s="111"/>
      <c r="AZ101" s="111"/>
      <c r="BA101" s="111"/>
      <c r="BB101" s="111"/>
      <c r="BC101" s="110">
        <f ca="1">(BC36*c_inicial)+(BC36*c_on*12)+(BC36*ci_comp3)+(BC36*(ct_comp3+ca_comp3)*'Time on treatment'!$D$21)</f>
        <v>0</v>
      </c>
      <c r="BF101" s="87" t="s">
        <v>174</v>
      </c>
      <c r="BG101" s="111"/>
      <c r="BH101" s="111"/>
      <c r="BI101" s="111"/>
      <c r="BJ101" s="111"/>
      <c r="BK101" s="110">
        <f ca="1">(BK36*c_inicial)+(BK36*c_on*12)+(BK36*ci_comp4)+(BK36*(ct_comp4+ca_comp4)*'Time on treatment'!$D$22)</f>
        <v>0</v>
      </c>
      <c r="BN101" s="87" t="s">
        <v>174</v>
      </c>
      <c r="BO101" s="111"/>
      <c r="BP101" s="111"/>
      <c r="BQ101" s="111"/>
      <c r="BR101" s="111"/>
      <c r="BS101" s="110">
        <f ca="1">(BS36*c_inicial)+(BS36*c_on*12)+(BS36*ci_comp5)+(BS36*(ct_comp5+ca_comp5)*'Time on treatment'!$D$23)</f>
        <v>0</v>
      </c>
      <c r="BV101" s="87" t="s">
        <v>174</v>
      </c>
      <c r="BW101" s="111"/>
      <c r="BX101" s="111"/>
      <c r="BY101" s="111"/>
      <c r="BZ101" s="111"/>
      <c r="CA101" s="110">
        <f ca="1">(CA36*c_inicial)+(CA36*c_on*12)+(CA36*ci_comp6)+(CA36*(ct_comp6+ca_comp6)*'Time on treatment'!$D$24)</f>
        <v>0</v>
      </c>
      <c r="CD101" s="87" t="s">
        <v>174</v>
      </c>
      <c r="CE101" s="111"/>
      <c r="CF101" s="111"/>
      <c r="CG101" s="111"/>
      <c r="CH101" s="111"/>
      <c r="CI101" s="110">
        <f ca="1">(CI36*c_inicial)+(CI36*c_on*12)+(CI36*ci_comp7)+(CI36*(ct_comp7+ca_comp7)*'Time on treatment'!$D$25)</f>
        <v>0</v>
      </c>
      <c r="CL101" s="87" t="s">
        <v>174</v>
      </c>
      <c r="CM101" s="111"/>
      <c r="CN101" s="111"/>
      <c r="CO101" s="111"/>
      <c r="CP101" s="111"/>
      <c r="CQ101" s="110">
        <f ca="1">(CQ36*c_inicial)+(CQ36*c_on*12)+(CQ36*ci_comp8)+(CQ36*(ct_comp8+ca_comp8)*'Time on treatment'!$D$26)</f>
        <v>0</v>
      </c>
      <c r="CT101" s="87" t="s">
        <v>174</v>
      </c>
      <c r="CU101" s="111"/>
      <c r="CV101" s="111"/>
      <c r="CW101" s="111"/>
      <c r="CX101" s="111"/>
      <c r="CY101" s="110">
        <f ca="1">(CY36*c_inicial)+(CY36*c_on*12)+(CY36*ci_comp9)+(CY36*(ct_comp9+ca_comp9)*'Time on treatment'!$D$27)</f>
        <v>0</v>
      </c>
      <c r="DB101" s="87" t="s">
        <v>174</v>
      </c>
      <c r="DC101" s="111"/>
      <c r="DD101" s="111"/>
      <c r="DE101" s="111"/>
      <c r="DF101" s="111"/>
      <c r="DG101" s="110">
        <f ca="1">(DG36*c_inicial)+(DG36*c_on*12)+(DG36*ci_comp10)+(DG36*(ct_comp10+ca_comp10)*'Time on treatment'!$D$28)</f>
        <v>0</v>
      </c>
    </row>
    <row r="102" spans="2:111" ht="15" thickBot="1">
      <c r="B102" s="87" t="s">
        <v>179</v>
      </c>
      <c r="C102" s="111"/>
      <c r="D102" s="111"/>
      <c r="E102" s="111"/>
      <c r="F102" s="111"/>
      <c r="G102" s="112">
        <v>0</v>
      </c>
      <c r="J102" s="87" t="s">
        <v>179</v>
      </c>
      <c r="K102" s="111"/>
      <c r="L102" s="111"/>
      <c r="M102" s="111"/>
      <c r="N102" s="111"/>
      <c r="O102" s="112">
        <v>0</v>
      </c>
      <c r="R102" s="87" t="s">
        <v>179</v>
      </c>
      <c r="S102" s="111"/>
      <c r="T102" s="111"/>
      <c r="U102" s="111"/>
      <c r="V102" s="111"/>
      <c r="W102" s="112">
        <v>0</v>
      </c>
      <c r="Z102" s="87" t="s">
        <v>179</v>
      </c>
      <c r="AA102" s="111"/>
      <c r="AB102" s="111"/>
      <c r="AC102" s="111"/>
      <c r="AD102" s="111"/>
      <c r="AE102" s="112">
        <v>0</v>
      </c>
      <c r="AH102" s="87" t="s">
        <v>179</v>
      </c>
      <c r="AI102" s="111"/>
      <c r="AJ102" s="111"/>
      <c r="AK102" s="111"/>
      <c r="AL102" s="111"/>
      <c r="AM102" s="112">
        <v>0</v>
      </c>
      <c r="AP102" s="87" t="s">
        <v>179</v>
      </c>
      <c r="AQ102" s="111"/>
      <c r="AR102" s="111"/>
      <c r="AS102" s="111"/>
      <c r="AT102" s="111"/>
      <c r="AU102" s="112">
        <v>0</v>
      </c>
      <c r="AX102" s="87" t="s">
        <v>179</v>
      </c>
      <c r="AY102" s="111"/>
      <c r="AZ102" s="111"/>
      <c r="BA102" s="111"/>
      <c r="BB102" s="111"/>
      <c r="BC102" s="112">
        <v>0</v>
      </c>
      <c r="BF102" s="87" t="s">
        <v>179</v>
      </c>
      <c r="BG102" s="111"/>
      <c r="BH102" s="111"/>
      <c r="BI102" s="111"/>
      <c r="BJ102" s="111"/>
      <c r="BK102" s="112">
        <v>0</v>
      </c>
      <c r="BN102" s="87" t="s">
        <v>179</v>
      </c>
      <c r="BO102" s="111"/>
      <c r="BP102" s="111"/>
      <c r="BQ102" s="111"/>
      <c r="BR102" s="111"/>
      <c r="BS102" s="112">
        <v>0</v>
      </c>
      <c r="BV102" s="87" t="s">
        <v>179</v>
      </c>
      <c r="BW102" s="111"/>
      <c r="BX102" s="111"/>
      <c r="BY102" s="111"/>
      <c r="BZ102" s="111"/>
      <c r="CA102" s="112">
        <v>0</v>
      </c>
      <c r="CD102" s="87" t="s">
        <v>179</v>
      </c>
      <c r="CE102" s="111"/>
      <c r="CF102" s="111"/>
      <c r="CG102" s="111"/>
      <c r="CH102" s="111"/>
      <c r="CI102" s="112">
        <v>0</v>
      </c>
      <c r="CL102" s="87" t="s">
        <v>179</v>
      </c>
      <c r="CM102" s="111"/>
      <c r="CN102" s="111"/>
      <c r="CO102" s="111"/>
      <c r="CP102" s="111"/>
      <c r="CQ102" s="112">
        <v>0</v>
      </c>
      <c r="CT102" s="87" t="s">
        <v>179</v>
      </c>
      <c r="CU102" s="111"/>
      <c r="CV102" s="111"/>
      <c r="CW102" s="111"/>
      <c r="CX102" s="111"/>
      <c r="CY102" s="112">
        <v>0</v>
      </c>
      <c r="DB102" s="87" t="s">
        <v>179</v>
      </c>
      <c r="DC102" s="111"/>
      <c r="DD102" s="111"/>
      <c r="DE102" s="111"/>
      <c r="DF102" s="111"/>
      <c r="DG102" s="112">
        <v>0</v>
      </c>
    </row>
    <row r="103" spans="2:111" ht="15" thickBot="1">
      <c r="B103" s="85" t="str">
        <f>B5</f>
        <v>Drug 1</v>
      </c>
      <c r="C103" s="113">
        <f ca="1">SUM(C93:C101)</f>
        <v>0</v>
      </c>
      <c r="D103" s="113">
        <f ca="1">SUM(D93:D101)</f>
        <v>0</v>
      </c>
      <c r="E103" s="113">
        <f ca="1">SUM(E93:E101)</f>
        <v>0</v>
      </c>
      <c r="F103" s="113">
        <f ca="1">SUM(F93:F101)</f>
        <v>0</v>
      </c>
      <c r="G103" s="114">
        <f ca="1">SUM(G93:G101)</f>
        <v>0</v>
      </c>
      <c r="J103" s="85" t="str">
        <f>J5</f>
        <v>Drug 2</v>
      </c>
      <c r="K103" s="113">
        <f ca="1">SUM(K93:K101)</f>
        <v>0</v>
      </c>
      <c r="L103" s="113">
        <f ca="1">SUM(L93:L101)</f>
        <v>0</v>
      </c>
      <c r="M103" s="113">
        <f ca="1">SUM(M93:M101)</f>
        <v>0</v>
      </c>
      <c r="N103" s="113">
        <f ca="1">SUM(N93:N101)</f>
        <v>0</v>
      </c>
      <c r="O103" s="114">
        <f ca="1">SUM(O93:O101)</f>
        <v>0</v>
      </c>
      <c r="R103" s="85">
        <f>R5</f>
        <v>0</v>
      </c>
      <c r="S103" s="113">
        <f ca="1">SUM(S93:S101)</f>
        <v>0</v>
      </c>
      <c r="T103" s="113">
        <f ca="1">SUM(T93:T101)</f>
        <v>0</v>
      </c>
      <c r="U103" s="113">
        <f ca="1">SUM(U93:U101)</f>
        <v>0</v>
      </c>
      <c r="V103" s="113">
        <f ca="1">SUM(V93:V101)</f>
        <v>0</v>
      </c>
      <c r="W103" s="114">
        <f ca="1">SUM(W93:W101)</f>
        <v>0</v>
      </c>
      <c r="Z103" s="85">
        <f>Z5</f>
        <v>0</v>
      </c>
      <c r="AA103" s="113">
        <f ca="1">SUM(AA93:AA101)</f>
        <v>0</v>
      </c>
      <c r="AB103" s="113">
        <f ca="1">SUM(AB93:AB101)</f>
        <v>0</v>
      </c>
      <c r="AC103" s="113">
        <f ca="1">SUM(AC93:AC101)</f>
        <v>0</v>
      </c>
      <c r="AD103" s="113">
        <f ca="1">SUM(AD93:AD101)</f>
        <v>0</v>
      </c>
      <c r="AE103" s="114">
        <f ca="1">SUM(AE93:AE101)</f>
        <v>0</v>
      </c>
      <c r="AH103" s="85" t="str">
        <f>AH5</f>
        <v>BSC</v>
      </c>
      <c r="AI103" s="113">
        <f ca="1">SUM(AI93:AI101)</f>
        <v>8174700.2145509999</v>
      </c>
      <c r="AJ103" s="113">
        <f ca="1">SUM(AJ93:AJ101)</f>
        <v>15386109.045819752</v>
      </c>
      <c r="AK103" s="113">
        <f ca="1">SUM(AK93:AK101)</f>
        <v>22651801.248015001</v>
      </c>
      <c r="AL103" s="113">
        <f ca="1">SUM(AL93:AL101)</f>
        <v>29972283.956600249</v>
      </c>
      <c r="AM103" s="114">
        <f ca="1">SUM(AM93:AM101)</f>
        <v>37348728.764348254</v>
      </c>
      <c r="AP103" s="85">
        <f>AP5</f>
        <v>0</v>
      </c>
      <c r="AQ103" s="113">
        <f ca="1">SUM(AQ93:AQ101)</f>
        <v>0</v>
      </c>
      <c r="AR103" s="113">
        <f ca="1">SUM(AR93:AR101)</f>
        <v>0</v>
      </c>
      <c r="AS103" s="113">
        <f ca="1">SUM(AS93:AS101)</f>
        <v>0</v>
      </c>
      <c r="AT103" s="113">
        <f ca="1">SUM(AT93:AT101)</f>
        <v>0</v>
      </c>
      <c r="AU103" s="114">
        <f ca="1">SUM(AU93:AU101)</f>
        <v>0</v>
      </c>
      <c r="AX103" s="85">
        <f>AX5</f>
        <v>0</v>
      </c>
      <c r="AY103" s="113">
        <f ca="1">SUM(AY93:AY101)</f>
        <v>0</v>
      </c>
      <c r="AZ103" s="113">
        <f ca="1">SUM(AZ93:AZ101)</f>
        <v>0</v>
      </c>
      <c r="BA103" s="113">
        <f ca="1">SUM(BA93:BA101)</f>
        <v>0</v>
      </c>
      <c r="BB103" s="113">
        <f ca="1">SUM(BB93:BB101)</f>
        <v>0</v>
      </c>
      <c r="BC103" s="114">
        <f ca="1">SUM(BC93:BC101)</f>
        <v>0</v>
      </c>
      <c r="BF103" s="85">
        <f>BF5</f>
        <v>0</v>
      </c>
      <c r="BG103" s="113">
        <f ca="1">SUM(BG93:BG101)</f>
        <v>0</v>
      </c>
      <c r="BH103" s="113">
        <f ca="1">SUM(BH93:BH101)</f>
        <v>0</v>
      </c>
      <c r="BI103" s="113">
        <f ca="1">SUM(BI93:BI101)</f>
        <v>0</v>
      </c>
      <c r="BJ103" s="113">
        <f ca="1">SUM(BJ93:BJ101)</f>
        <v>0</v>
      </c>
      <c r="BK103" s="114">
        <f ca="1">SUM(BK93:BK101)</f>
        <v>0</v>
      </c>
      <c r="BN103" s="85">
        <f>BN5</f>
        <v>0</v>
      </c>
      <c r="BO103" s="113">
        <f ca="1">SUM(BO93:BO101)</f>
        <v>0</v>
      </c>
      <c r="BP103" s="113">
        <f ca="1">SUM(BP93:BP101)</f>
        <v>0</v>
      </c>
      <c r="BQ103" s="113">
        <f ca="1">SUM(BQ93:BQ101)</f>
        <v>0</v>
      </c>
      <c r="BR103" s="113">
        <f ca="1">SUM(BR93:BR101)</f>
        <v>0</v>
      </c>
      <c r="BS103" s="114">
        <f ca="1">SUM(BS93:BS101)</f>
        <v>0</v>
      </c>
      <c r="BV103" s="85">
        <f>BV5</f>
        <v>0</v>
      </c>
      <c r="BW103" s="113">
        <f ca="1">SUM(BW93:BW101)</f>
        <v>0</v>
      </c>
      <c r="BX103" s="113">
        <f ca="1">SUM(BX93:BX101)</f>
        <v>0</v>
      </c>
      <c r="BY103" s="113">
        <f ca="1">SUM(BY93:BY101)</f>
        <v>0</v>
      </c>
      <c r="BZ103" s="113">
        <f ca="1">SUM(BZ93:BZ101)</f>
        <v>0</v>
      </c>
      <c r="CA103" s="114">
        <f ca="1">SUM(CA93:CA101)</f>
        <v>0</v>
      </c>
      <c r="CD103" s="85">
        <f>CD5</f>
        <v>0</v>
      </c>
      <c r="CE103" s="113">
        <f ca="1">SUM(CE93:CE101)</f>
        <v>0</v>
      </c>
      <c r="CF103" s="113">
        <f ca="1">SUM(CF93:CF101)</f>
        <v>0</v>
      </c>
      <c r="CG103" s="113">
        <f ca="1">SUM(CG93:CG101)</f>
        <v>0</v>
      </c>
      <c r="CH103" s="113">
        <f ca="1">SUM(CH93:CH101)</f>
        <v>0</v>
      </c>
      <c r="CI103" s="114">
        <f ca="1">SUM(CI93:CI101)</f>
        <v>0</v>
      </c>
      <c r="CL103" s="85">
        <f>CL5</f>
        <v>0</v>
      </c>
      <c r="CM103" s="113">
        <f ca="1">SUM(CM93:CM101)</f>
        <v>0</v>
      </c>
      <c r="CN103" s="113">
        <f ca="1">SUM(CN93:CN101)</f>
        <v>0</v>
      </c>
      <c r="CO103" s="113">
        <f ca="1">SUM(CO93:CO101)</f>
        <v>0</v>
      </c>
      <c r="CP103" s="113">
        <f ca="1">SUM(CP93:CP101)</f>
        <v>0</v>
      </c>
      <c r="CQ103" s="114">
        <f ca="1">SUM(CQ93:CQ101)</f>
        <v>0</v>
      </c>
      <c r="CT103" s="85">
        <f>CT5</f>
        <v>0</v>
      </c>
      <c r="CU103" s="113">
        <f ca="1">SUM(CU93:CU101)</f>
        <v>0</v>
      </c>
      <c r="CV103" s="113">
        <f ca="1">SUM(CV93:CV101)</f>
        <v>0</v>
      </c>
      <c r="CW103" s="113">
        <f ca="1">SUM(CW93:CW101)</f>
        <v>0</v>
      </c>
      <c r="CX103" s="113">
        <f ca="1">SUM(CX93:CX101)</f>
        <v>0</v>
      </c>
      <c r="CY103" s="114">
        <f ca="1">SUM(CY93:CY101)</f>
        <v>0</v>
      </c>
      <c r="DB103" s="85">
        <f>DB5</f>
        <v>0</v>
      </c>
      <c r="DC103" s="113">
        <f ca="1">SUM(DC93:DC101)</f>
        <v>0</v>
      </c>
      <c r="DD103" s="113">
        <f ca="1">SUM(DD93:DD101)</f>
        <v>0</v>
      </c>
      <c r="DE103" s="113">
        <f ca="1">SUM(DE93:DE101)</f>
        <v>0</v>
      </c>
      <c r="DF103" s="113">
        <f ca="1">SUM(DF93:DF101)</f>
        <v>0</v>
      </c>
      <c r="DG103" s="114">
        <f ca="1">SUM(DG93:DG101)</f>
        <v>0</v>
      </c>
    </row>
    <row r="104" spans="2:111" ht="15" thickBot="1">
      <c r="B104" s="83"/>
      <c r="C104" s="86"/>
      <c r="D104" s="86"/>
      <c r="E104" s="86"/>
      <c r="F104" s="86"/>
      <c r="G104" s="86"/>
      <c r="J104" s="83"/>
      <c r="K104" s="86"/>
      <c r="L104" s="86"/>
      <c r="M104" s="86"/>
      <c r="N104" s="86"/>
      <c r="O104" s="86"/>
      <c r="R104" s="83"/>
      <c r="S104" s="86"/>
      <c r="T104" s="86"/>
      <c r="U104" s="86"/>
      <c r="V104" s="86"/>
      <c r="W104" s="86"/>
      <c r="Z104" s="83"/>
      <c r="AA104" s="86"/>
      <c r="AB104" s="86"/>
      <c r="AC104" s="86"/>
      <c r="AD104" s="86"/>
      <c r="AE104" s="86"/>
      <c r="AH104" s="83"/>
      <c r="AI104" s="86"/>
      <c r="AJ104" s="86"/>
      <c r="AK104" s="86"/>
      <c r="AL104" s="86"/>
      <c r="AM104" s="86"/>
      <c r="AP104" s="83"/>
      <c r="AQ104" s="86"/>
      <c r="AR104" s="86"/>
      <c r="AS104" s="86"/>
      <c r="AT104" s="86"/>
      <c r="AU104" s="86"/>
      <c r="AX104" s="83"/>
      <c r="AY104" s="86"/>
      <c r="AZ104" s="86"/>
      <c r="BA104" s="86"/>
      <c r="BB104" s="86"/>
      <c r="BC104" s="86"/>
      <c r="BF104" s="83"/>
      <c r="BG104" s="86"/>
      <c r="BH104" s="86"/>
      <c r="BI104" s="86"/>
      <c r="BJ104" s="86"/>
      <c r="BK104" s="86"/>
      <c r="BN104" s="83"/>
      <c r="BO104" s="86"/>
      <c r="BP104" s="86"/>
      <c r="BQ104" s="86"/>
      <c r="BR104" s="86"/>
      <c r="BS104" s="86"/>
      <c r="BV104" s="83"/>
      <c r="BW104" s="86"/>
      <c r="BX104" s="86"/>
      <c r="BY104" s="86"/>
      <c r="BZ104" s="86"/>
      <c r="CA104" s="86"/>
      <c r="CD104" s="83"/>
      <c r="CE104" s="86"/>
      <c r="CF104" s="86"/>
      <c r="CG104" s="86"/>
      <c r="CH104" s="86"/>
      <c r="CI104" s="86"/>
      <c r="CL104" s="83"/>
      <c r="CM104" s="86"/>
      <c r="CN104" s="86"/>
      <c r="CO104" s="86"/>
      <c r="CP104" s="86"/>
      <c r="CQ104" s="86"/>
      <c r="CT104" s="83"/>
      <c r="CU104" s="86"/>
      <c r="CV104" s="86"/>
      <c r="CW104" s="86"/>
      <c r="CX104" s="86"/>
      <c r="CY104" s="86"/>
      <c r="DB104" s="83"/>
      <c r="DC104" s="86"/>
      <c r="DD104" s="86"/>
      <c r="DE104" s="86"/>
      <c r="DF104" s="86"/>
      <c r="DG104" s="86"/>
    </row>
    <row r="105" spans="2:111" ht="15" thickBot="1">
      <c r="B105" s="508" t="str">
        <f>B41</f>
        <v>Drug 1 only</v>
      </c>
      <c r="C105" s="506"/>
      <c r="D105" s="506"/>
      <c r="E105" s="506"/>
      <c r="F105" s="506"/>
      <c r="G105" s="507"/>
      <c r="J105" s="508" t="str">
        <f>J41</f>
        <v>Drug 1 only</v>
      </c>
      <c r="K105" s="506"/>
      <c r="L105" s="506"/>
      <c r="M105" s="506"/>
      <c r="N105" s="506"/>
      <c r="O105" s="507"/>
      <c r="R105" s="508" t="str">
        <f>R41</f>
        <v>Drug 1 only</v>
      </c>
      <c r="S105" s="506"/>
      <c r="T105" s="506"/>
      <c r="U105" s="506"/>
      <c r="V105" s="506"/>
      <c r="W105" s="507"/>
      <c r="Z105" s="508" t="str">
        <f>Z41</f>
        <v>Drug 1 only</v>
      </c>
      <c r="AA105" s="506"/>
      <c r="AB105" s="506"/>
      <c r="AC105" s="506"/>
      <c r="AD105" s="506"/>
      <c r="AE105" s="507"/>
      <c r="AH105" s="508" t="str">
        <f>AH41</f>
        <v>Drug 1 only</v>
      </c>
      <c r="AI105" s="506"/>
      <c r="AJ105" s="506"/>
      <c r="AK105" s="506"/>
      <c r="AL105" s="506"/>
      <c r="AM105" s="507"/>
      <c r="AP105" s="508" t="str">
        <f>AP41</f>
        <v>Drug 1 only</v>
      </c>
      <c r="AQ105" s="506"/>
      <c r="AR105" s="506"/>
      <c r="AS105" s="506"/>
      <c r="AT105" s="506"/>
      <c r="AU105" s="507"/>
      <c r="AX105" s="508" t="str">
        <f>AX41</f>
        <v>Drug 1 only</v>
      </c>
      <c r="AY105" s="506"/>
      <c r="AZ105" s="506"/>
      <c r="BA105" s="506"/>
      <c r="BB105" s="506"/>
      <c r="BC105" s="507"/>
      <c r="BF105" s="508" t="str">
        <f>BF41</f>
        <v>Drug 1 only</v>
      </c>
      <c r="BG105" s="506"/>
      <c r="BH105" s="506"/>
      <c r="BI105" s="506"/>
      <c r="BJ105" s="506"/>
      <c r="BK105" s="507"/>
      <c r="BN105" s="508" t="str">
        <f>BN41</f>
        <v>Drug 1 only</v>
      </c>
      <c r="BO105" s="506"/>
      <c r="BP105" s="506"/>
      <c r="BQ105" s="506"/>
      <c r="BR105" s="506"/>
      <c r="BS105" s="507"/>
      <c r="BV105" s="508" t="str">
        <f>BV41</f>
        <v>Drug 1 only</v>
      </c>
      <c r="BW105" s="506"/>
      <c r="BX105" s="506"/>
      <c r="BY105" s="506"/>
      <c r="BZ105" s="506"/>
      <c r="CA105" s="507"/>
      <c r="CD105" s="508" t="str">
        <f>CD41</f>
        <v>Drug 1 only</v>
      </c>
      <c r="CE105" s="506"/>
      <c r="CF105" s="506"/>
      <c r="CG105" s="506"/>
      <c r="CH105" s="506"/>
      <c r="CI105" s="507"/>
      <c r="CL105" s="508" t="str">
        <f>CL41</f>
        <v>Drug 1 only</v>
      </c>
      <c r="CM105" s="506"/>
      <c r="CN105" s="506"/>
      <c r="CO105" s="506"/>
      <c r="CP105" s="506"/>
      <c r="CQ105" s="507"/>
      <c r="CT105" s="508" t="str">
        <f>CT41</f>
        <v>Drug 1 only</v>
      </c>
      <c r="CU105" s="506"/>
      <c r="CV105" s="506"/>
      <c r="CW105" s="506"/>
      <c r="CX105" s="506"/>
      <c r="CY105" s="507"/>
      <c r="DB105" s="508" t="str">
        <f>DB41</f>
        <v>Drug 1 only</v>
      </c>
      <c r="DC105" s="506"/>
      <c r="DD105" s="506"/>
      <c r="DE105" s="506"/>
      <c r="DF105" s="506"/>
      <c r="DG105" s="507"/>
    </row>
    <row r="106" spans="2:111">
      <c r="B106" s="84"/>
      <c r="C106" s="101">
        <f>C42</f>
        <v>2026</v>
      </c>
      <c r="D106" s="101">
        <f t="shared" ref="D106:F106" si="286">D42</f>
        <v>2027</v>
      </c>
      <c r="E106" s="101">
        <f t="shared" si="286"/>
        <v>2028</v>
      </c>
      <c r="F106" s="101">
        <f t="shared" si="286"/>
        <v>2029</v>
      </c>
      <c r="G106" s="102">
        <f>G42</f>
        <v>2030</v>
      </c>
      <c r="J106" s="84"/>
      <c r="K106" s="101">
        <f>K42</f>
        <v>2026</v>
      </c>
      <c r="L106" s="101">
        <f t="shared" ref="L106:N106" si="287">L42</f>
        <v>2027</v>
      </c>
      <c r="M106" s="101">
        <f t="shared" si="287"/>
        <v>2028</v>
      </c>
      <c r="N106" s="101">
        <f t="shared" si="287"/>
        <v>2029</v>
      </c>
      <c r="O106" s="102">
        <f>O42</f>
        <v>2030</v>
      </c>
      <c r="R106" s="84"/>
      <c r="S106" s="101">
        <f>S42</f>
        <v>2026</v>
      </c>
      <c r="T106" s="101">
        <f t="shared" ref="T106:V106" si="288">T42</f>
        <v>2027</v>
      </c>
      <c r="U106" s="101">
        <f t="shared" si="288"/>
        <v>2028</v>
      </c>
      <c r="V106" s="101">
        <f t="shared" si="288"/>
        <v>2029</v>
      </c>
      <c r="W106" s="102">
        <f>W42</f>
        <v>2030</v>
      </c>
      <c r="Z106" s="84"/>
      <c r="AA106" s="101">
        <f>AA42</f>
        <v>2026</v>
      </c>
      <c r="AB106" s="101">
        <f t="shared" ref="AB106:AD106" si="289">AB42</f>
        <v>2027</v>
      </c>
      <c r="AC106" s="101">
        <f t="shared" si="289"/>
        <v>2028</v>
      </c>
      <c r="AD106" s="101">
        <f t="shared" si="289"/>
        <v>2029</v>
      </c>
      <c r="AE106" s="102">
        <f>AE42</f>
        <v>2030</v>
      </c>
      <c r="AH106" s="84"/>
      <c r="AI106" s="101">
        <f>AI42</f>
        <v>2026</v>
      </c>
      <c r="AJ106" s="101">
        <f t="shared" ref="AJ106:AL106" si="290">AJ42</f>
        <v>2027</v>
      </c>
      <c r="AK106" s="101">
        <f t="shared" si="290"/>
        <v>2028</v>
      </c>
      <c r="AL106" s="101">
        <f t="shared" si="290"/>
        <v>2029</v>
      </c>
      <c r="AM106" s="102">
        <f>AM42</f>
        <v>2030</v>
      </c>
      <c r="AP106" s="84"/>
      <c r="AQ106" s="101">
        <f>AQ42</f>
        <v>2026</v>
      </c>
      <c r="AR106" s="101">
        <f t="shared" ref="AR106:AT106" si="291">AR42</f>
        <v>2027</v>
      </c>
      <c r="AS106" s="101">
        <f t="shared" si="291"/>
        <v>2028</v>
      </c>
      <c r="AT106" s="101">
        <f t="shared" si="291"/>
        <v>2029</v>
      </c>
      <c r="AU106" s="102">
        <f>AU42</f>
        <v>2030</v>
      </c>
      <c r="AX106" s="84"/>
      <c r="AY106" s="101">
        <f>AY42</f>
        <v>2026</v>
      </c>
      <c r="AZ106" s="101">
        <f t="shared" ref="AZ106:BB106" si="292">AZ42</f>
        <v>2027</v>
      </c>
      <c r="BA106" s="101">
        <f t="shared" si="292"/>
        <v>2028</v>
      </c>
      <c r="BB106" s="101">
        <f t="shared" si="292"/>
        <v>2029</v>
      </c>
      <c r="BC106" s="102">
        <f>BC42</f>
        <v>2030</v>
      </c>
      <c r="BF106" s="84"/>
      <c r="BG106" s="101">
        <f>BG42</f>
        <v>2026</v>
      </c>
      <c r="BH106" s="101">
        <f t="shared" ref="BH106:BJ106" si="293">BH42</f>
        <v>2027</v>
      </c>
      <c r="BI106" s="101">
        <f t="shared" si="293"/>
        <v>2028</v>
      </c>
      <c r="BJ106" s="101">
        <f t="shared" si="293"/>
        <v>2029</v>
      </c>
      <c r="BK106" s="102">
        <f>BK42</f>
        <v>2030</v>
      </c>
      <c r="BN106" s="84"/>
      <c r="BO106" s="101">
        <f>BO42</f>
        <v>2026</v>
      </c>
      <c r="BP106" s="101">
        <f t="shared" ref="BP106:BR106" si="294">BP42</f>
        <v>2027</v>
      </c>
      <c r="BQ106" s="101">
        <f t="shared" si="294"/>
        <v>2028</v>
      </c>
      <c r="BR106" s="101">
        <f t="shared" si="294"/>
        <v>2029</v>
      </c>
      <c r="BS106" s="102">
        <f>BS42</f>
        <v>2030</v>
      </c>
      <c r="BV106" s="84"/>
      <c r="BW106" s="101">
        <f>BW42</f>
        <v>2026</v>
      </c>
      <c r="BX106" s="101">
        <f t="shared" ref="BX106:BZ106" si="295">BX42</f>
        <v>2027</v>
      </c>
      <c r="BY106" s="101">
        <f t="shared" si="295"/>
        <v>2028</v>
      </c>
      <c r="BZ106" s="101">
        <f t="shared" si="295"/>
        <v>2029</v>
      </c>
      <c r="CA106" s="102">
        <f>CA42</f>
        <v>2030</v>
      </c>
      <c r="CD106" s="84"/>
      <c r="CE106" s="101">
        <f>CE42</f>
        <v>2026</v>
      </c>
      <c r="CF106" s="101">
        <f t="shared" ref="CF106:CH106" si="296">CF42</f>
        <v>2027</v>
      </c>
      <c r="CG106" s="101">
        <f t="shared" si="296"/>
        <v>2028</v>
      </c>
      <c r="CH106" s="101">
        <f t="shared" si="296"/>
        <v>2029</v>
      </c>
      <c r="CI106" s="102">
        <f>CI42</f>
        <v>2030</v>
      </c>
      <c r="CL106" s="84"/>
      <c r="CM106" s="101">
        <f>CM42</f>
        <v>2026</v>
      </c>
      <c r="CN106" s="101">
        <f t="shared" ref="CN106:CP106" si="297">CN42</f>
        <v>2027</v>
      </c>
      <c r="CO106" s="101">
        <f t="shared" si="297"/>
        <v>2028</v>
      </c>
      <c r="CP106" s="101">
        <f t="shared" si="297"/>
        <v>2029</v>
      </c>
      <c r="CQ106" s="102">
        <f>CQ42</f>
        <v>2030</v>
      </c>
      <c r="CT106" s="84"/>
      <c r="CU106" s="101">
        <f>CU42</f>
        <v>2026</v>
      </c>
      <c r="CV106" s="101">
        <f t="shared" ref="CV106:CX106" si="298">CV42</f>
        <v>2027</v>
      </c>
      <c r="CW106" s="101">
        <f t="shared" si="298"/>
        <v>2028</v>
      </c>
      <c r="CX106" s="101">
        <f t="shared" si="298"/>
        <v>2029</v>
      </c>
      <c r="CY106" s="102">
        <f>CY42</f>
        <v>2030</v>
      </c>
      <c r="DB106" s="84"/>
      <c r="DC106" s="101">
        <f>DC42</f>
        <v>2026</v>
      </c>
      <c r="DD106" s="101">
        <f t="shared" ref="DD106:DF106" si="299">DD42</f>
        <v>2027</v>
      </c>
      <c r="DE106" s="101">
        <f t="shared" si="299"/>
        <v>2028</v>
      </c>
      <c r="DF106" s="101">
        <f t="shared" si="299"/>
        <v>2029</v>
      </c>
      <c r="DG106" s="102">
        <f>DG42</f>
        <v>2030</v>
      </c>
    </row>
    <row r="107" spans="2:111">
      <c r="B107" s="87" t="s">
        <v>170</v>
      </c>
      <c r="C107" s="109">
        <f ca="1">(C43*c_inicial)+(C43*c_on*12)+(C43*ci_int1)+(C43*(ct_int1+ca_int1)*'Time on treatment'!$D$12)</f>
        <v>1566920.2899937504</v>
      </c>
      <c r="D107" s="109">
        <f ca="1">(D43*c_on*12)+(D43*(ct_int1+ca_int1)*'Time on treatment'!$E$12)</f>
        <v>1439768.5615434377</v>
      </c>
      <c r="E107" s="109">
        <f ca="1">(E43*c_on*12)+(E43*(ct_int1+ca_int1)*'Time on treatment'!$F$12)</f>
        <v>32365.894514625001</v>
      </c>
      <c r="F107" s="109">
        <f ca="1">(F43*c_on*12)+(F43*(ct_int1+ca_int1)*'Time on treatment'!$G$12)</f>
        <v>30567.789263812509</v>
      </c>
      <c r="G107" s="110">
        <f ca="1">(G43*c_on*12)+(G43*(ct_int1+ca_int1)*'Time on treatment'!$H$12)</f>
        <v>28769.684013000006</v>
      </c>
      <c r="J107" s="87" t="s">
        <v>170</v>
      </c>
      <c r="K107" s="109">
        <f ca="1">(K43*c_inicial)+(K43*c_on*12)+(K43*ci_int2)+(K43*(ct_int2+ca_int2)*'Time on treatment'!$D$13)</f>
        <v>0</v>
      </c>
      <c r="L107" s="109">
        <f ca="1">(L43*c_on*12)+(L43*(ct_int2+ca_int2)*'Time on treatment'!$E$13)</f>
        <v>0</v>
      </c>
      <c r="M107" s="109">
        <f ca="1">(M43*c_on*12)+(M43*(ct_int2+ca_int2)*'Time on treatment'!$F$13)</f>
        <v>0</v>
      </c>
      <c r="N107" s="109">
        <f ca="1">(N43*c_on*12)+(N43*(ct_int2+ca_int2)*'Time on treatment'!$G$13)</f>
        <v>0</v>
      </c>
      <c r="O107" s="110">
        <f ca="1">(O43*c_on*12)+(O43*(ct_int2+ca_int2)*'Time on treatment'!$H$13)</f>
        <v>0</v>
      </c>
      <c r="R107" s="87" t="s">
        <v>170</v>
      </c>
      <c r="S107" s="109">
        <f ca="1">(S43*c_inicial)+(S43*c_on*12)+(S43*ci_int3)+(S43*(ct_int3+ca_int3)*'Time on treatment'!$D$14)</f>
        <v>0</v>
      </c>
      <c r="T107" s="109">
        <f ca="1">(T43*c_on*12)+(T43*(ct_int3+ca_int3)*'Time on treatment'!$E$14)</f>
        <v>0</v>
      </c>
      <c r="U107" s="109">
        <f ca="1">(U43*c_on*12)+(U43*(ct_int3+ca_int3)*'Time on treatment'!$F$14)</f>
        <v>0</v>
      </c>
      <c r="V107" s="109">
        <f ca="1">(V43*c_on*12)+(V43*(ct_int3+ca_int3)*'Time on treatment'!$G$14)</f>
        <v>0</v>
      </c>
      <c r="W107" s="110">
        <f ca="1">(W43*c_on*12)+(W43*(ct_int3+ca_int3)*'Time on treatment'!$H$14)</f>
        <v>0</v>
      </c>
      <c r="Z107" s="87" t="s">
        <v>170</v>
      </c>
      <c r="AA107" s="109">
        <f ca="1">(AA43*c_inicial)+(AA43*c_on*12)+(AA43*ci_int4)+(AA43*(ct_int4+ca_int4)*'Time on treatment'!$D$15)</f>
        <v>0</v>
      </c>
      <c r="AB107" s="109">
        <f ca="1">(AB43*c_on*12)+(AB43*(ct_int4+ca_int4)*'Time on treatment'!$E$15)</f>
        <v>0</v>
      </c>
      <c r="AC107" s="109">
        <f ca="1">(AC43*c_on*12)+(AC43*(ct_int4+ca_int4)*'Time on treatment'!$F$15)</f>
        <v>0</v>
      </c>
      <c r="AD107" s="109">
        <f ca="1">(AD43*c_on*12)+(AD43*(ct_int4+ca_int4)*'Time on treatment'!$G$15)</f>
        <v>0</v>
      </c>
      <c r="AE107" s="110">
        <f ca="1">(AE43*c_on*12)+(AE43*(ct_int4+ca_int4)*'Time on treatment'!$H$15)</f>
        <v>0</v>
      </c>
      <c r="AH107" s="87" t="s">
        <v>170</v>
      </c>
      <c r="AI107" s="109">
        <f ca="1">(AI43*c_inicial)+(AI43*c_on*12)+(AI43*ci_comp1)+(AI43*(ct_comp1+ca_comp1)*'Time on treatment'!$D$19)</f>
        <v>7765965.20382345</v>
      </c>
      <c r="AJ107" s="109">
        <f ca="1">(AJ43*c_on*12)+(AJ43*(ct_comp1+ca_comp1)*'Time on treatment'!$E$19)</f>
        <v>6789850.9248109506</v>
      </c>
      <c r="AK107" s="109">
        <f ca="1">(AK43*c_on*12)+(AK43*(ct_comp1+ca_comp1)*'Time on treatment'!$F$19)</f>
        <v>6789850.9248109506</v>
      </c>
      <c r="AL107" s="109">
        <f ca="1">(AL43*c_on*12)+(AL43*(ct_comp1+ca_comp1)*'Time on treatment'!$G$19)</f>
        <v>6789850.9248109506</v>
      </c>
      <c r="AM107" s="110">
        <f ca="1">(AM43*c_on*12)+(AM43*(ct_comp1+ca_comp1)*'Time on treatment'!$H$19)</f>
        <v>6789850.9248109506</v>
      </c>
      <c r="AP107" s="87" t="s">
        <v>170</v>
      </c>
      <c r="AQ107" s="109">
        <f ca="1">(AQ43*c_inicial)+(AQ43*c_on*12)+(AQ43*ci_comp2)+(AQ43*(ct_comp2+ca_comp2)*'Time on treatment'!$D$20)</f>
        <v>0</v>
      </c>
      <c r="AR107" s="109">
        <f ca="1">(AR43*c_on*12)+(AR43*(ct_comp2+ca_comp2)*'Time on treatment'!$E$20)</f>
        <v>0</v>
      </c>
      <c r="AS107" s="109">
        <f ca="1">(AS43*c_on*12)+(AS43*(ct_comp2+ca_comp2)*'Time on treatment'!$F$20)</f>
        <v>0</v>
      </c>
      <c r="AT107" s="109">
        <f ca="1">(AT43*c_on*12)+(AT43*(ct_comp2+ca_comp2)*'Time on treatment'!$G$20)</f>
        <v>0</v>
      </c>
      <c r="AU107" s="110">
        <f ca="1">(AU43*c_on*12)+(AU43*(ct_comp2+ca_comp2)*'Time on treatment'!$H$20)</f>
        <v>0</v>
      </c>
      <c r="AX107" s="87" t="s">
        <v>170</v>
      </c>
      <c r="AY107" s="109">
        <f ca="1">(AY43*c_inicial)+(AY43*c_on*12)+(AY43*ci_comp3)+(AY43*(ct_comp3+ca_comp3)*'Time on treatment'!$D$21)</f>
        <v>0</v>
      </c>
      <c r="AZ107" s="109">
        <f ca="1">(AZ43*c_on*12)+(AZ43*(ct_comp3+ca_comp3)*'Time on treatment'!$E$21)</f>
        <v>0</v>
      </c>
      <c r="BA107" s="109">
        <f ca="1">(BA43*c_on*12)+(BA43*(ct_comp3+ca_comp3)*'Time on treatment'!$F$21)</f>
        <v>0</v>
      </c>
      <c r="BB107" s="109">
        <f ca="1">(BB43*c_on*12)+(BB43*(ct_comp3+ca_comp3)*'Time on treatment'!$G$21)</f>
        <v>0</v>
      </c>
      <c r="BC107" s="110">
        <f ca="1">(BC43*c_on*12)+(BC43*(ct_comp3+ca_comp3)*'Time on treatment'!$H$21)</f>
        <v>0</v>
      </c>
      <c r="BF107" s="87" t="s">
        <v>170</v>
      </c>
      <c r="BG107" s="109">
        <f ca="1">(BG43*c_inicial)+(BG43*c_on*12)+(BG43*ci_comp4)+(BG43*(ct_comp4+ca_comp4)*'Time on treatment'!$D$22)</f>
        <v>0</v>
      </c>
      <c r="BH107" s="109">
        <f ca="1">(BH43*c_on*12)+(BH43*(ct_comp4+ca_comp4)*'Time on treatment'!$E$22)</f>
        <v>0</v>
      </c>
      <c r="BI107" s="109">
        <f ca="1">(BI43*c_on*12)+(BI43*(ct_comp4+ca_comp4)*'Time on treatment'!$F$22)</f>
        <v>0</v>
      </c>
      <c r="BJ107" s="109">
        <f ca="1">(BJ43*c_on*12)+(BJ43*(ct_comp4+ca_comp4)*'Time on treatment'!$G$22)</f>
        <v>0</v>
      </c>
      <c r="BK107" s="110">
        <f ca="1">(BK43*c_on*12)+(BK43*(ct_comp4+ca_comp4)*'Time on treatment'!$H$22)</f>
        <v>0</v>
      </c>
      <c r="BN107" s="87" t="s">
        <v>170</v>
      </c>
      <c r="BO107" s="109">
        <f ca="1">(BO43*c_inicial)+(BO43*c_on*12)+(BO43*ci_comp5)+(BO43*(ct_comp5+ca_comp5)*'Time on treatment'!$D$23)</f>
        <v>0</v>
      </c>
      <c r="BP107" s="109">
        <f ca="1">(BP43*c_on*12)+(BP43*(ct_comp5+ca_comp5)*'Time on treatment'!$E$23)</f>
        <v>0</v>
      </c>
      <c r="BQ107" s="109">
        <f ca="1">(BQ43*c_on*12)+(BQ43*(ct_comp5+ca_comp5)*'Time on treatment'!$F$23)</f>
        <v>0</v>
      </c>
      <c r="BR107" s="109">
        <f ca="1">(BR43*c_on*12)+(BR43*(ct_comp5+ca_comp5)*'Time on treatment'!$G$23)</f>
        <v>0</v>
      </c>
      <c r="BS107" s="110">
        <f ca="1">(BS43*c_on*12)+(BS43*(ct_comp5+ca_comp5)*'Time on treatment'!$H$23)</f>
        <v>0</v>
      </c>
      <c r="BV107" s="87" t="s">
        <v>170</v>
      </c>
      <c r="BW107" s="109">
        <f ca="1">(BW43*c_inicial)+(BW43*c_on*12)+(BW43*ci_comp6)+(BW43*(ct_comp6+ca_comp6)*'Time on treatment'!$D$24)</f>
        <v>0</v>
      </c>
      <c r="BX107" s="109">
        <f ca="1">(BX43*c_on*12)+(BX43*(ct_comp6+ca_comp6)*'Time on treatment'!$E$24)</f>
        <v>0</v>
      </c>
      <c r="BY107" s="109">
        <f ca="1">(BY43*c_on*12)+(BY43*(ct_comp6+ca_comp6)*'Time on treatment'!$F$24)</f>
        <v>0</v>
      </c>
      <c r="BZ107" s="109">
        <f ca="1">(BZ43*c_on*12)+(BZ43*(ct_comp6+ca_comp6)*'Time on treatment'!$G$24)</f>
        <v>0</v>
      </c>
      <c r="CA107" s="110">
        <f ca="1">(CA43*c_on*12)+(CA43*(ct_comp6+ca_comp6)*'Time on treatment'!$H$24)</f>
        <v>0</v>
      </c>
      <c r="CD107" s="87" t="s">
        <v>170</v>
      </c>
      <c r="CE107" s="109">
        <f ca="1">(CE43*c_inicial)+(CE43*c_on*12)+(CE43*ci_comp7)+(CE43*(ct_comp7+ca_comp7)*'Time on treatment'!$D$25)</f>
        <v>0</v>
      </c>
      <c r="CF107" s="109">
        <f ca="1">(CF43*c_on*12)+(CF43*(ct_comp7+ca_comp7)*'Time on treatment'!$E$25)</f>
        <v>0</v>
      </c>
      <c r="CG107" s="109">
        <f ca="1">(CG43*c_on*12)+(CG43*(ct_comp7+ca_comp7)*'Time on treatment'!$F$25)</f>
        <v>0</v>
      </c>
      <c r="CH107" s="109">
        <f ca="1">(CH43*c_on*12)+(CH43*(ct_comp7+ca_comp7)*'Time on treatment'!$G$25)</f>
        <v>0</v>
      </c>
      <c r="CI107" s="110">
        <f ca="1">(CI43*c_on*12)+(CI43*(ct_comp7+ca_comp7)*'Time on treatment'!$H$25)</f>
        <v>0</v>
      </c>
      <c r="CL107" s="87" t="s">
        <v>170</v>
      </c>
      <c r="CM107" s="109">
        <f ca="1">(CM43*c_inicial)+(CM43*c_on*12)+(CM43*ci_comp8)+(CM43*(ct_comp8+ca_comp8)*'Time on treatment'!$D$26)</f>
        <v>0</v>
      </c>
      <c r="CN107" s="109">
        <f ca="1">(CN43*c_on*12)+(CN43*(ct_comp8+ca_comp8)*'Time on treatment'!$E$26)</f>
        <v>0</v>
      </c>
      <c r="CO107" s="109">
        <f ca="1">(CO43*c_on*12)+(CO43*(ct_comp8+ca_comp8)*'Time on treatment'!$F$26)</f>
        <v>0</v>
      </c>
      <c r="CP107" s="109">
        <f ca="1">(CP43*c_on*12)+(CP43*(ct_comp8+ca_comp8)*'Time on treatment'!$G$26)</f>
        <v>0</v>
      </c>
      <c r="CQ107" s="110">
        <f ca="1">(CQ43*c_on*12)+(CQ43*(ct_comp8+ca_comp8)*'Time on treatment'!$H$26)</f>
        <v>0</v>
      </c>
      <c r="CT107" s="87" t="s">
        <v>170</v>
      </c>
      <c r="CU107" s="109">
        <f ca="1">(CU43*c_inicial)+(CU43*c_on*12)+(CU43*ci_comp9)+(CU43*(ct_comp9+ca_comp9)*'Time on treatment'!$D$27)</f>
        <v>0</v>
      </c>
      <c r="CV107" s="109">
        <f ca="1">(CV43*c_on*12)+(CV43*(ct_comp9+ca_comp9)*'Time on treatment'!$E$27)</f>
        <v>0</v>
      </c>
      <c r="CW107" s="109">
        <f ca="1">(CW43*c_on*12)+(CW43*(ct_comp9+ca_comp9)*'Time on treatment'!$F$27)</f>
        <v>0</v>
      </c>
      <c r="CX107" s="109">
        <f ca="1">(CX43*c_on*12)+(CX43*(ct_comp9+ca_comp9)*'Time on treatment'!$G$27)</f>
        <v>0</v>
      </c>
      <c r="CY107" s="110">
        <f ca="1">(CY43*c_on*12)+(CY43*(ct_comp9+ca_comp9)*'Time on treatment'!$H$27)</f>
        <v>0</v>
      </c>
      <c r="DB107" s="87" t="s">
        <v>170</v>
      </c>
      <c r="DC107" s="109">
        <f ca="1">(DC43*c_inicial)+(DC43*c_on*12)+(DC43*ci_comp10)+(DC43*(ct_comp10+ca_comp10)*'Time on treatment'!$D$28)</f>
        <v>0</v>
      </c>
      <c r="DD107" s="109">
        <f ca="1">(DD43*c_on*12)+(DD43*(ct_comp10+ca_comp10)*'Time on treatment'!$E$28)</f>
        <v>0</v>
      </c>
      <c r="DE107" s="109">
        <f ca="1">(DE43*c_on*12)+(DE43*(ct_comp10+ca_comp10)*'Time on treatment'!$F$28)</f>
        <v>0</v>
      </c>
      <c r="DF107" s="109">
        <f ca="1">(DF43*c_on*12)+(DF43*(ct_comp10+ca_comp10)*'Time on treatment'!$G$28)</f>
        <v>0</v>
      </c>
      <c r="DG107" s="110">
        <f ca="1">(DG43*c_on*12)+(DG43*(ct_comp10+ca_comp10)*'Time on treatment'!$H$28)</f>
        <v>0</v>
      </c>
    </row>
    <row r="108" spans="2:111">
      <c r="B108" s="87" t="s">
        <v>175</v>
      </c>
      <c r="C108" s="109">
        <f>C44*c_off</f>
        <v>0</v>
      </c>
      <c r="D108" s="109">
        <f>D44*c_off</f>
        <v>97.61142790125021</v>
      </c>
      <c r="E108" s="109">
        <f>E44*c_off</f>
        <v>175.70057022225009</v>
      </c>
      <c r="F108" s="109">
        <f>F44*c_off</f>
        <v>253.78971254324995</v>
      </c>
      <c r="G108" s="110">
        <f>G44*c_off</f>
        <v>331.87885486424983</v>
      </c>
      <c r="J108" s="87" t="s">
        <v>175</v>
      </c>
      <c r="K108" s="109">
        <f>K44*c_off</f>
        <v>0</v>
      </c>
      <c r="L108" s="109">
        <f>L44*c_off</f>
        <v>0</v>
      </c>
      <c r="M108" s="109">
        <f>M44*c_off</f>
        <v>0</v>
      </c>
      <c r="N108" s="109">
        <f>N44*c_off</f>
        <v>0</v>
      </c>
      <c r="O108" s="110">
        <f>O44*c_off</f>
        <v>0</v>
      </c>
      <c r="R108" s="87" t="s">
        <v>175</v>
      </c>
      <c r="S108" s="109">
        <f>S44*c_off</f>
        <v>0</v>
      </c>
      <c r="T108" s="109">
        <f>T44*c_off</f>
        <v>0</v>
      </c>
      <c r="U108" s="109">
        <f>U44*c_off</f>
        <v>0</v>
      </c>
      <c r="V108" s="109">
        <f>V44*c_off</f>
        <v>0</v>
      </c>
      <c r="W108" s="110">
        <f>W44*c_off</f>
        <v>0</v>
      </c>
      <c r="Z108" s="87" t="s">
        <v>175</v>
      </c>
      <c r="AA108" s="109">
        <f>AA44*c_off</f>
        <v>0</v>
      </c>
      <c r="AB108" s="109">
        <f>AB44*c_off</f>
        <v>0</v>
      </c>
      <c r="AC108" s="109">
        <f>AC44*c_off</f>
        <v>0</v>
      </c>
      <c r="AD108" s="109">
        <f>AD44*c_off</f>
        <v>0</v>
      </c>
      <c r="AE108" s="110">
        <f>AE44*c_off</f>
        <v>0</v>
      </c>
      <c r="AH108" s="87" t="s">
        <v>175</v>
      </c>
      <c r="AI108" s="109">
        <f>AI44*c_off</f>
        <v>0</v>
      </c>
      <c r="AJ108" s="109">
        <f>AJ44*c_off</f>
        <v>0</v>
      </c>
      <c r="AK108" s="109">
        <f>AK44*c_off</f>
        <v>0</v>
      </c>
      <c r="AL108" s="109">
        <f>AL44*c_off</f>
        <v>0</v>
      </c>
      <c r="AM108" s="110">
        <f>AM44*c_off</f>
        <v>0</v>
      </c>
      <c r="AP108" s="87" t="s">
        <v>175</v>
      </c>
      <c r="AQ108" s="109">
        <f>AQ44*c_off</f>
        <v>0</v>
      </c>
      <c r="AR108" s="109">
        <f>AR44*c_off</f>
        <v>0</v>
      </c>
      <c r="AS108" s="109">
        <f>AS44*c_off</f>
        <v>0</v>
      </c>
      <c r="AT108" s="109">
        <f>AT44*c_off</f>
        <v>0</v>
      </c>
      <c r="AU108" s="110">
        <f>AU44*c_off</f>
        <v>0</v>
      </c>
      <c r="AX108" s="87" t="s">
        <v>175</v>
      </c>
      <c r="AY108" s="109">
        <f>AY44*c_off</f>
        <v>0</v>
      </c>
      <c r="AZ108" s="109">
        <f>AZ44*c_off</f>
        <v>0</v>
      </c>
      <c r="BA108" s="109">
        <f>BA44*c_off</f>
        <v>0</v>
      </c>
      <c r="BB108" s="109">
        <f>BB44*c_off</f>
        <v>0</v>
      </c>
      <c r="BC108" s="110">
        <f>BC44*c_off</f>
        <v>0</v>
      </c>
      <c r="BF108" s="87" t="s">
        <v>175</v>
      </c>
      <c r="BG108" s="109">
        <f>BG44*c_off</f>
        <v>0</v>
      </c>
      <c r="BH108" s="109">
        <f>BH44*c_off</f>
        <v>0</v>
      </c>
      <c r="BI108" s="109">
        <f>BI44*c_off</f>
        <v>0</v>
      </c>
      <c r="BJ108" s="109">
        <f>BJ44*c_off</f>
        <v>0</v>
      </c>
      <c r="BK108" s="110">
        <f>BK44*c_off</f>
        <v>0</v>
      </c>
      <c r="BN108" s="87" t="s">
        <v>175</v>
      </c>
      <c r="BO108" s="109">
        <f>BO44*c_off</f>
        <v>0</v>
      </c>
      <c r="BP108" s="109">
        <f>BP44*c_off</f>
        <v>0</v>
      </c>
      <c r="BQ108" s="109">
        <f>BQ44*c_off</f>
        <v>0</v>
      </c>
      <c r="BR108" s="109">
        <f>BR44*c_off</f>
        <v>0</v>
      </c>
      <c r="BS108" s="110">
        <f>BS44*c_off</f>
        <v>0</v>
      </c>
      <c r="BV108" s="87" t="s">
        <v>175</v>
      </c>
      <c r="BW108" s="109">
        <f>BW44*c_off</f>
        <v>0</v>
      </c>
      <c r="BX108" s="109">
        <f>BX44*c_off</f>
        <v>0</v>
      </c>
      <c r="BY108" s="109">
        <f>BY44*c_off</f>
        <v>0</v>
      </c>
      <c r="BZ108" s="109">
        <f>BZ44*c_off</f>
        <v>0</v>
      </c>
      <c r="CA108" s="110">
        <f>CA44*c_off</f>
        <v>0</v>
      </c>
      <c r="CD108" s="87" t="s">
        <v>175</v>
      </c>
      <c r="CE108" s="109">
        <f>CE44*c_off</f>
        <v>0</v>
      </c>
      <c r="CF108" s="109">
        <f>CF44*c_off</f>
        <v>0</v>
      </c>
      <c r="CG108" s="109">
        <f>CG44*c_off</f>
        <v>0</v>
      </c>
      <c r="CH108" s="109">
        <f>CH44*c_off</f>
        <v>0</v>
      </c>
      <c r="CI108" s="110">
        <f>CI44*c_off</f>
        <v>0</v>
      </c>
      <c r="CL108" s="87" t="s">
        <v>175</v>
      </c>
      <c r="CM108" s="109">
        <f>CM44*c_off</f>
        <v>0</v>
      </c>
      <c r="CN108" s="109">
        <f>CN44*c_off</f>
        <v>0</v>
      </c>
      <c r="CO108" s="109">
        <f>CO44*c_off</f>
        <v>0</v>
      </c>
      <c r="CP108" s="109">
        <f>CP44*c_off</f>
        <v>0</v>
      </c>
      <c r="CQ108" s="110">
        <f>CQ44*c_off</f>
        <v>0</v>
      </c>
      <c r="CT108" s="87" t="s">
        <v>175</v>
      </c>
      <c r="CU108" s="109">
        <f>CU44*c_off</f>
        <v>0</v>
      </c>
      <c r="CV108" s="109">
        <f>CV44*c_off</f>
        <v>0</v>
      </c>
      <c r="CW108" s="109">
        <f>CW44*c_off</f>
        <v>0</v>
      </c>
      <c r="CX108" s="109">
        <f>CX44*c_off</f>
        <v>0</v>
      </c>
      <c r="CY108" s="110">
        <f>CY44*c_off</f>
        <v>0</v>
      </c>
      <c r="DB108" s="87" t="s">
        <v>175</v>
      </c>
      <c r="DC108" s="109">
        <f>DC44*c_off</f>
        <v>0</v>
      </c>
      <c r="DD108" s="109">
        <f>DD44*c_off</f>
        <v>0</v>
      </c>
      <c r="DE108" s="109">
        <f>DE44*c_off</f>
        <v>0</v>
      </c>
      <c r="DF108" s="109">
        <f>DF44*c_off</f>
        <v>0</v>
      </c>
      <c r="DG108" s="110">
        <f>DG44*c_off</f>
        <v>0</v>
      </c>
    </row>
    <row r="109" spans="2:111">
      <c r="B109" s="87" t="s">
        <v>171</v>
      </c>
      <c r="C109" s="111"/>
      <c r="D109" s="109">
        <f ca="1">(D45*c_inicial)+(D45*c_on*12)+(D45*ci_int1)+(D45*(ct_int1+ca_int1)*'Time on treatment'!$D$12)</f>
        <v>3158451.170859375</v>
      </c>
      <c r="E109" s="109">
        <f ca="1">(E45*c_on*12)+(E45*(ct_int1+ca_int1)*'Time on treatment'!$E$12)</f>
        <v>2902150.6250273446</v>
      </c>
      <c r="F109" s="109">
        <f ca="1">(F45*c_on*12)+(F45*(ct_int1+ca_int1)*'Time on treatment'!$F$12)</f>
        <v>65240.138939062512</v>
      </c>
      <c r="G109" s="110">
        <f ca="1">(G45*c_on*12)+(G45*(ct_int1+ca_int1)*'Time on treatment'!$G$12)</f>
        <v>61615.686775781243</v>
      </c>
      <c r="J109" s="87" t="s">
        <v>171</v>
      </c>
      <c r="K109" s="111"/>
      <c r="L109" s="109">
        <f ca="1">(L45*c_inicial)+(L45*c_on*12)+(L45*ci_int2)+(L45*(ct_int2+ca_int2)*'Time on treatment'!$D$13)</f>
        <v>0</v>
      </c>
      <c r="M109" s="109">
        <f ca="1">(M45*c_on*12)+(M45*(ct_int2+ca_int2)*'Time on treatment'!$E$13)</f>
        <v>0</v>
      </c>
      <c r="N109" s="109">
        <f ca="1">(N45*c_on*12)+(N45*(ct_int2+ca_int2)*'Time on treatment'!$F$13)</f>
        <v>0</v>
      </c>
      <c r="O109" s="110">
        <f ca="1">(O45*c_on*12)+(O45*(ct_int2+ca_int2)*'Time on treatment'!$G$13)</f>
        <v>0</v>
      </c>
      <c r="R109" s="87" t="s">
        <v>171</v>
      </c>
      <c r="S109" s="111"/>
      <c r="T109" s="109">
        <f ca="1">(T45*c_inicial)+(T45*c_on*12)+(T45*ci_int3)+(T45*(ct_int3+ca_int3)*'Time on treatment'!$D$14)</f>
        <v>0</v>
      </c>
      <c r="U109" s="109">
        <f ca="1">(U45*c_on*12)+(U45*(ct_int3+ca_int3)*'Time on treatment'!$E$14)</f>
        <v>0</v>
      </c>
      <c r="V109" s="109">
        <f ca="1">(V45*c_on*12)+(V45*(ct_int3+ca_int3)*'Time on treatment'!$F$14)</f>
        <v>0</v>
      </c>
      <c r="W109" s="110">
        <f ca="1">(W45*c_on*12)+(W45*(ct_int3+ca_int3)*'Time on treatment'!$G$14)</f>
        <v>0</v>
      </c>
      <c r="Z109" s="87" t="s">
        <v>171</v>
      </c>
      <c r="AA109" s="111"/>
      <c r="AB109" s="109">
        <f ca="1">(AB45*c_inicial)+(AB45*c_on*12)+(AB45*ci_int4)+(AB45*(ct_int4+ca_int4)*'Time on treatment'!$D$15)</f>
        <v>0</v>
      </c>
      <c r="AC109" s="109">
        <f ca="1">(AC45*c_on*12)+(AC45*(ct_int4+ca_int4)*'Time on treatment'!$E$15)</f>
        <v>0</v>
      </c>
      <c r="AD109" s="109">
        <f ca="1">(AD45*c_on*12)+(AD45*(ct_int4+ca_int4)*'Time on treatment'!$F$15)</f>
        <v>0</v>
      </c>
      <c r="AE109" s="110">
        <f ca="1">(AE45*c_on*12)+(AE45*(ct_int4+ca_int4)*'Time on treatment'!$G$15)</f>
        <v>0</v>
      </c>
      <c r="AH109" s="87" t="s">
        <v>171</v>
      </c>
      <c r="AI109" s="111"/>
      <c r="AJ109" s="109">
        <f ca="1">(AJ45*c_inicial)+(AJ45*c_on*12)+(AJ45*ci_comp1)+(AJ45*(ct_comp1+ca_comp1)*'Time on treatment'!$D$19)</f>
        <v>7415007.791416876</v>
      </c>
      <c r="AK109" s="109">
        <f ca="1">(AK45*c_on*12)+(AK45*(ct_comp1+ca_comp1)*'Time on treatment'!$E$19)</f>
        <v>6483005.8065731255</v>
      </c>
      <c r="AL109" s="109">
        <f ca="1">(AL45*c_on*12)+(AL45*(ct_comp1+ca_comp1)*'Time on treatment'!$F$19)</f>
        <v>6483005.8065731255</v>
      </c>
      <c r="AM109" s="110">
        <f ca="1">(AM45*c_on*12)+(AM45*(ct_comp1+ca_comp1)*'Time on treatment'!$G$19)</f>
        <v>6483005.8065731255</v>
      </c>
      <c r="AP109" s="87" t="s">
        <v>171</v>
      </c>
      <c r="AQ109" s="111"/>
      <c r="AR109" s="109">
        <f ca="1">(AR45*c_inicial)+(AR45*c_on*12)+(AR45*ci_comp2)+(AR45*(ct_comp2+ca_comp2)*'Time on treatment'!$D$20)</f>
        <v>0</v>
      </c>
      <c r="AS109" s="109">
        <f ca="1">(AS45*c_on*12)+(AS45*(ct_comp2+ca_comp2)*'Time on treatment'!$E$20)</f>
        <v>0</v>
      </c>
      <c r="AT109" s="109">
        <f ca="1">(AT45*c_on*12)+(AT45*(ct_comp2+ca_comp2)*'Time on treatment'!$F$20)</f>
        <v>0</v>
      </c>
      <c r="AU109" s="110">
        <f ca="1">(AU45*c_on*12)+(AU45*(ct_comp2+ca_comp2)*'Time on treatment'!$G$20)</f>
        <v>0</v>
      </c>
      <c r="AX109" s="87" t="s">
        <v>171</v>
      </c>
      <c r="AY109" s="111"/>
      <c r="AZ109" s="109">
        <f ca="1">(AZ45*c_inicial)+(AZ45*c_on*12)+(AZ45*ci_comp3)+(AZ45*(ct_comp3+ca_comp3)*'Time on treatment'!$D$21)</f>
        <v>0</v>
      </c>
      <c r="BA109" s="109">
        <f ca="1">(BA45*c_on*12)+(BA45*(ct_comp3+ca_comp3)*'Time on treatment'!$E$21)</f>
        <v>0</v>
      </c>
      <c r="BB109" s="109">
        <f ca="1">(BB45*c_on*12)+(BB45*(ct_comp3+ca_comp3)*'Time on treatment'!$F$21)</f>
        <v>0</v>
      </c>
      <c r="BC109" s="110">
        <f ca="1">(BC45*c_on*12)+(BC45*(ct_comp3+ca_comp3)*'Time on treatment'!$G$21)</f>
        <v>0</v>
      </c>
      <c r="BF109" s="87" t="s">
        <v>171</v>
      </c>
      <c r="BG109" s="111"/>
      <c r="BH109" s="109">
        <f ca="1">(BH45*c_inicial)+(BH45*c_on*12)+(BH45*ci_comp4)+(BH45*(ct_comp4+ca_comp4)*'Time on treatment'!$D$22)</f>
        <v>0</v>
      </c>
      <c r="BI109" s="109">
        <f ca="1">(BI45*c_on*12)+(BI45*(ct_comp4+ca_comp4)*'Time on treatment'!$E$22)</f>
        <v>0</v>
      </c>
      <c r="BJ109" s="109">
        <f ca="1">(BJ45*c_on*12)+(BJ45*(ct_comp4+ca_comp4)*'Time on treatment'!$F$22)</f>
        <v>0</v>
      </c>
      <c r="BK109" s="110">
        <f ca="1">(BK45*c_on*12)+(BK45*(ct_comp4+ca_comp4)*'Time on treatment'!$G$22)</f>
        <v>0</v>
      </c>
      <c r="BN109" s="87" t="s">
        <v>171</v>
      </c>
      <c r="BO109" s="111"/>
      <c r="BP109" s="109">
        <f ca="1">(BP45*c_inicial)+(BP45*c_on*12)+(BP45*ci_comp5)+(BP45*(ct_comp5+ca_comp5)*'Time on treatment'!$D$23)</f>
        <v>0</v>
      </c>
      <c r="BQ109" s="109">
        <f ca="1">(BQ45*c_on*12)+(BQ45*(ct_comp5+ca_comp5)*'Time on treatment'!$E$23)</f>
        <v>0</v>
      </c>
      <c r="BR109" s="109">
        <f ca="1">(BR45*c_on*12)+(BR45*(ct_comp5+ca_comp5)*'Time on treatment'!$F$23)</f>
        <v>0</v>
      </c>
      <c r="BS109" s="110">
        <f ca="1">(BS45*c_on*12)+(BS45*(ct_comp5+ca_comp5)*'Time on treatment'!$G$23)</f>
        <v>0</v>
      </c>
      <c r="BV109" s="87" t="s">
        <v>171</v>
      </c>
      <c r="BW109" s="111"/>
      <c r="BX109" s="109">
        <f ca="1">(BX45*c_inicial)+(BX45*c_on*12)+(BX45*ci_comp6)+(BX45*(ct_comp6+ca_comp6)*'Time on treatment'!$D$24)</f>
        <v>0</v>
      </c>
      <c r="BY109" s="109">
        <f ca="1">(BY45*c_on*12)+(BY45*(ct_comp6+ca_comp6)*'Time on treatment'!$E$24)</f>
        <v>0</v>
      </c>
      <c r="BZ109" s="109">
        <f ca="1">(BZ45*c_on*12)+(BZ45*(ct_comp6+ca_comp6)*'Time on treatment'!$F$24)</f>
        <v>0</v>
      </c>
      <c r="CA109" s="110">
        <f ca="1">(CA45*c_on*12)+(CA45*(ct_comp6+ca_comp6)*'Time on treatment'!$G$24)</f>
        <v>0</v>
      </c>
      <c r="CD109" s="87" t="s">
        <v>171</v>
      </c>
      <c r="CE109" s="111"/>
      <c r="CF109" s="109">
        <f ca="1">(CF45*c_inicial)+(CF45*c_on*12)+(CF45*ci_comp7)+(CF45*(ct_comp7+ca_comp7)*'Time on treatment'!$D$25)</f>
        <v>0</v>
      </c>
      <c r="CG109" s="109">
        <f ca="1">(CG45*c_on*12)+(CG45*(ct_comp7+ca_comp7)*'Time on treatment'!$E$25)</f>
        <v>0</v>
      </c>
      <c r="CH109" s="109">
        <f ca="1">(CH45*c_on*12)+(CH45*(ct_comp7+ca_comp7)*'Time on treatment'!$F$25)</f>
        <v>0</v>
      </c>
      <c r="CI109" s="110">
        <f ca="1">(CI45*c_on*12)+(CI45*(ct_comp7+ca_comp7)*'Time on treatment'!$G$25)</f>
        <v>0</v>
      </c>
      <c r="CL109" s="87" t="s">
        <v>171</v>
      </c>
      <c r="CM109" s="111"/>
      <c r="CN109" s="109">
        <f ca="1">(CN45*c_inicial)+(CN45*c_on*12)+(CN45*ci_comp8)+(CN45*(ct_comp8+ca_comp8)*'Time on treatment'!$D$26)</f>
        <v>0</v>
      </c>
      <c r="CO109" s="109">
        <f ca="1">(CO45*c_on*12)+(CO45*(ct_comp8+ca_comp8)*'Time on treatment'!$E$26)</f>
        <v>0</v>
      </c>
      <c r="CP109" s="109">
        <f ca="1">(CP45*c_on*12)+(CP45*(ct_comp8+ca_comp8)*'Time on treatment'!$F$26)</f>
        <v>0</v>
      </c>
      <c r="CQ109" s="110">
        <f ca="1">(CQ45*c_on*12)+(CQ45*(ct_comp8+ca_comp8)*'Time on treatment'!$G$26)</f>
        <v>0</v>
      </c>
      <c r="CT109" s="87" t="s">
        <v>171</v>
      </c>
      <c r="CU109" s="111"/>
      <c r="CV109" s="109">
        <f ca="1">(CV45*c_inicial)+(CV45*c_on*12)+(CV45*ci_comp9)+(CV45*(ct_comp9+ca_comp9)*'Time on treatment'!$D$27)</f>
        <v>0</v>
      </c>
      <c r="CW109" s="109">
        <f ca="1">(CW45*c_on*12)+(CW45*(ct_comp9+ca_comp9)*'Time on treatment'!$E$27)</f>
        <v>0</v>
      </c>
      <c r="CX109" s="109">
        <f ca="1">(CX45*c_on*12)+(CX45*(ct_comp9+ca_comp9)*'Time on treatment'!$F$27)</f>
        <v>0</v>
      </c>
      <c r="CY109" s="110">
        <f ca="1">(CY45*c_on*12)+(CY45*(ct_comp9+ca_comp9)*'Time on treatment'!$G$27)</f>
        <v>0</v>
      </c>
      <c r="DB109" s="87" t="s">
        <v>171</v>
      </c>
      <c r="DC109" s="111"/>
      <c r="DD109" s="109">
        <f ca="1">(DD45*c_inicial)+(DD45*c_on*12)+(DD45*ci_comp10)+(DD45*(ct_comp10+ca_comp10)*'Time on treatment'!$D$28)</f>
        <v>0</v>
      </c>
      <c r="DE109" s="109">
        <f ca="1">(DE45*c_on*12)+(DE45*(ct_comp10+ca_comp10)*'Time on treatment'!$E$28)</f>
        <v>0</v>
      </c>
      <c r="DF109" s="109">
        <f ca="1">(DF45*c_on*12)+(DF45*(ct_comp10+ca_comp10)*'Time on treatment'!$F$28)</f>
        <v>0</v>
      </c>
      <c r="DG109" s="110">
        <f ca="1">(DG45*c_on*12)+(DG45*(ct_comp10+ca_comp10)*'Time on treatment'!$G$28)</f>
        <v>0</v>
      </c>
    </row>
    <row r="110" spans="2:111">
      <c r="B110" s="87" t="s">
        <v>176</v>
      </c>
      <c r="C110" s="111"/>
      <c r="D110" s="109">
        <f>D46*c_off</f>
        <v>0</v>
      </c>
      <c r="E110" s="109">
        <f>E46*c_off</f>
        <v>196.75597457812515</v>
      </c>
      <c r="F110" s="109">
        <f>F46*c_off</f>
        <v>354.16075424062456</v>
      </c>
      <c r="G110" s="110">
        <f>G46*c_off</f>
        <v>511.56553390312536</v>
      </c>
      <c r="J110" s="87" t="s">
        <v>176</v>
      </c>
      <c r="K110" s="111"/>
      <c r="L110" s="109">
        <f>L46*c_off</f>
        <v>0</v>
      </c>
      <c r="M110" s="109">
        <f>M46*c_off</f>
        <v>0</v>
      </c>
      <c r="N110" s="109">
        <f>N46*c_off</f>
        <v>0</v>
      </c>
      <c r="O110" s="110">
        <f>O46*c_off</f>
        <v>0</v>
      </c>
      <c r="R110" s="87" t="s">
        <v>176</v>
      </c>
      <c r="S110" s="111"/>
      <c r="T110" s="109">
        <f>T46*c_off</f>
        <v>0</v>
      </c>
      <c r="U110" s="109">
        <f>U46*c_off</f>
        <v>0</v>
      </c>
      <c r="V110" s="109">
        <f>V46*c_off</f>
        <v>0</v>
      </c>
      <c r="W110" s="110">
        <f>W46*c_off</f>
        <v>0</v>
      </c>
      <c r="Z110" s="87" t="s">
        <v>176</v>
      </c>
      <c r="AA110" s="111"/>
      <c r="AB110" s="109">
        <f>AB46*c_off</f>
        <v>0</v>
      </c>
      <c r="AC110" s="109">
        <f>AC46*c_off</f>
        <v>0</v>
      </c>
      <c r="AD110" s="109">
        <f>AD46*c_off</f>
        <v>0</v>
      </c>
      <c r="AE110" s="110">
        <f>AE46*c_off</f>
        <v>0</v>
      </c>
      <c r="AH110" s="87" t="s">
        <v>176</v>
      </c>
      <c r="AI110" s="111"/>
      <c r="AJ110" s="109">
        <f>AJ46*c_off</f>
        <v>0</v>
      </c>
      <c r="AK110" s="109">
        <f>AK46*c_off</f>
        <v>0</v>
      </c>
      <c r="AL110" s="109">
        <f>AL46*c_off</f>
        <v>0</v>
      </c>
      <c r="AM110" s="110">
        <f>AM46*c_off</f>
        <v>0</v>
      </c>
      <c r="AP110" s="87" t="s">
        <v>176</v>
      </c>
      <c r="AQ110" s="111"/>
      <c r="AR110" s="109">
        <f>AR46*c_off</f>
        <v>0</v>
      </c>
      <c r="AS110" s="109">
        <f>AS46*c_off</f>
        <v>0</v>
      </c>
      <c r="AT110" s="109">
        <f>AT46*c_off</f>
        <v>0</v>
      </c>
      <c r="AU110" s="110">
        <f>AU46*c_off</f>
        <v>0</v>
      </c>
      <c r="AX110" s="87" t="s">
        <v>176</v>
      </c>
      <c r="AY110" s="111"/>
      <c r="AZ110" s="109">
        <f>AZ46*c_off</f>
        <v>0</v>
      </c>
      <c r="BA110" s="109">
        <f>BA46*c_off</f>
        <v>0</v>
      </c>
      <c r="BB110" s="109">
        <f>BB46*c_off</f>
        <v>0</v>
      </c>
      <c r="BC110" s="110">
        <f>BC46*c_off</f>
        <v>0</v>
      </c>
      <c r="BF110" s="87" t="s">
        <v>176</v>
      </c>
      <c r="BG110" s="111"/>
      <c r="BH110" s="109">
        <f>BH46*c_off</f>
        <v>0</v>
      </c>
      <c r="BI110" s="109">
        <f>BI46*c_off</f>
        <v>0</v>
      </c>
      <c r="BJ110" s="109">
        <f>BJ46*c_off</f>
        <v>0</v>
      </c>
      <c r="BK110" s="110">
        <f>BK46*c_off</f>
        <v>0</v>
      </c>
      <c r="BN110" s="87" t="s">
        <v>176</v>
      </c>
      <c r="BO110" s="111"/>
      <c r="BP110" s="109">
        <f>BP46*c_off</f>
        <v>0</v>
      </c>
      <c r="BQ110" s="109">
        <f>BQ46*c_off</f>
        <v>0</v>
      </c>
      <c r="BR110" s="109">
        <f>BR46*c_off</f>
        <v>0</v>
      </c>
      <c r="BS110" s="110">
        <f>BS46*c_off</f>
        <v>0</v>
      </c>
      <c r="BV110" s="87" t="s">
        <v>176</v>
      </c>
      <c r="BW110" s="111"/>
      <c r="BX110" s="109">
        <f>BX46*c_off</f>
        <v>0</v>
      </c>
      <c r="BY110" s="109">
        <f>BY46*c_off</f>
        <v>0</v>
      </c>
      <c r="BZ110" s="109">
        <f>BZ46*c_off</f>
        <v>0</v>
      </c>
      <c r="CA110" s="110">
        <f>CA46*c_off</f>
        <v>0</v>
      </c>
      <c r="CD110" s="87" t="s">
        <v>176</v>
      </c>
      <c r="CE110" s="111"/>
      <c r="CF110" s="109">
        <f>CF46*c_off</f>
        <v>0</v>
      </c>
      <c r="CG110" s="109">
        <f>CG46*c_off</f>
        <v>0</v>
      </c>
      <c r="CH110" s="109">
        <f>CH46*c_off</f>
        <v>0</v>
      </c>
      <c r="CI110" s="110">
        <f>CI46*c_off</f>
        <v>0</v>
      </c>
      <c r="CL110" s="87" t="s">
        <v>176</v>
      </c>
      <c r="CM110" s="111"/>
      <c r="CN110" s="109">
        <f>CN46*c_off</f>
        <v>0</v>
      </c>
      <c r="CO110" s="109">
        <f>CO46*c_off</f>
        <v>0</v>
      </c>
      <c r="CP110" s="109">
        <f>CP46*c_off</f>
        <v>0</v>
      </c>
      <c r="CQ110" s="110">
        <f>CQ46*c_off</f>
        <v>0</v>
      </c>
      <c r="CT110" s="87" t="s">
        <v>176</v>
      </c>
      <c r="CU110" s="111"/>
      <c r="CV110" s="109">
        <f>CV46*c_off</f>
        <v>0</v>
      </c>
      <c r="CW110" s="109">
        <f>CW46*c_off</f>
        <v>0</v>
      </c>
      <c r="CX110" s="109">
        <f>CX46*c_off</f>
        <v>0</v>
      </c>
      <c r="CY110" s="110">
        <f>CY46*c_off</f>
        <v>0</v>
      </c>
      <c r="DB110" s="87" t="s">
        <v>176</v>
      </c>
      <c r="DC110" s="111"/>
      <c r="DD110" s="109">
        <f>DD46*c_off</f>
        <v>0</v>
      </c>
      <c r="DE110" s="109">
        <f>DE46*c_off</f>
        <v>0</v>
      </c>
      <c r="DF110" s="109">
        <f>DF46*c_off</f>
        <v>0</v>
      </c>
      <c r="DG110" s="110">
        <f>DG46*c_off</f>
        <v>0</v>
      </c>
    </row>
    <row r="111" spans="2:111">
      <c r="B111" s="87" t="s">
        <v>172</v>
      </c>
      <c r="C111" s="111"/>
      <c r="D111" s="111"/>
      <c r="E111" s="109">
        <f ca="1">(E47*c_inicial)+(E47*c_on*12)+(E47*ci_int1)+(E47*(ct_int1+ca_int1)*'Time on treatment'!$D$12)</f>
        <v>4773531.7472765623</v>
      </c>
      <c r="F111" s="109">
        <f ca="1">(F47*c_on*12)+(F47*(ct_int1+ca_int1)*'Time on treatment'!$E$12)</f>
        <v>4386171.3841778906</v>
      </c>
      <c r="G111" s="110">
        <f ca="1">(G47*c_on*12)+(G47*(ct_int1+ca_int1)*'Time on treatment'!$F$12)</f>
        <v>98600.819697843748</v>
      </c>
      <c r="J111" s="87" t="s">
        <v>172</v>
      </c>
      <c r="K111" s="111"/>
      <c r="L111" s="111"/>
      <c r="M111" s="109">
        <f ca="1">(M47*c_inicial)+(M47*c_on*12)+(M47*ci_int2)+(M47*(ct_int2+ca_int2)*'Time on treatment'!$D$13)</f>
        <v>0</v>
      </c>
      <c r="N111" s="109">
        <f ca="1">(N47*c_on*12)+(N47*(ct_int2+ca_int2)*'Time on treatment'!$E$13)</f>
        <v>0</v>
      </c>
      <c r="O111" s="110">
        <f ca="1">(O47*c_on*12)+(O47*(ct_int2+ca_int2)*'Time on treatment'!$F$13)</f>
        <v>0</v>
      </c>
      <c r="R111" s="87" t="s">
        <v>172</v>
      </c>
      <c r="S111" s="111"/>
      <c r="T111" s="111"/>
      <c r="U111" s="109">
        <f ca="1">(U47*c_inicial)+(U47*c_on*12)+(U47*ci_int3)+(U47*(ct_int3+ca_int3)*'Time on treatment'!$D$14)</f>
        <v>0</v>
      </c>
      <c r="V111" s="109">
        <f ca="1">(V47*c_on*12)+(V47*(ct_int3+ca_int3)*'Time on treatment'!$E$14)</f>
        <v>0</v>
      </c>
      <c r="W111" s="110">
        <f ca="1">(W47*c_on*12)+(W47*(ct_int3+ca_int3)*'Time on treatment'!$F$14)</f>
        <v>0</v>
      </c>
      <c r="Z111" s="87" t="s">
        <v>172</v>
      </c>
      <c r="AA111" s="111"/>
      <c r="AB111" s="111"/>
      <c r="AC111" s="109">
        <f ca="1">(AC47*c_inicial)+(AC47*c_on*12)+(AC47*ci_int4)+(AC47*(ct_int4+ca_int4)*'Time on treatment'!$D$15)</f>
        <v>0</v>
      </c>
      <c r="AD111" s="109">
        <f ca="1">(AD47*c_on*12)+(AD47*(ct_int4+ca_int4)*'Time on treatment'!$E$15)</f>
        <v>0</v>
      </c>
      <c r="AE111" s="110">
        <f ca="1">(AE47*c_on*12)+(AE47*(ct_int4+ca_int4)*'Time on treatment'!$F$15)</f>
        <v>0</v>
      </c>
      <c r="AH111" s="87" t="s">
        <v>172</v>
      </c>
      <c r="AI111" s="111"/>
      <c r="AJ111" s="111"/>
      <c r="AK111" s="109">
        <f ca="1">(AK47*c_inicial)+(AK47*c_on*12)+(AK47*ci_comp1)+(AK47*(ct_comp1+ca_comp1)*'Time on treatment'!$D$19)</f>
        <v>7056062.4686628375</v>
      </c>
      <c r="AL111" s="109">
        <f ca="1">(AL47*c_on*12)+(AL47*(ct_comp1+ca_comp1)*'Time on treatment'!$E$19)</f>
        <v>6169176.7888409626</v>
      </c>
      <c r="AM111" s="110">
        <f ca="1">(AM47*c_on*12)+(AM47*(ct_comp1+ca_comp1)*'Time on treatment'!$F$19)</f>
        <v>6169176.7888409626</v>
      </c>
      <c r="AP111" s="87" t="s">
        <v>172</v>
      </c>
      <c r="AQ111" s="111"/>
      <c r="AR111" s="111"/>
      <c r="AS111" s="109">
        <f ca="1">(AS47*c_inicial)+(AS47*c_on*12)+(AS47*ci_comp2)+(AS47*(ct_comp2+ca_comp2)*'Time on treatment'!$D$20)</f>
        <v>0</v>
      </c>
      <c r="AT111" s="109">
        <f ca="1">(AT47*c_on*12)+(AT47*(ct_comp2+ca_comp2)*'Time on treatment'!$E$20)</f>
        <v>0</v>
      </c>
      <c r="AU111" s="110">
        <f ca="1">(AU47*c_on*12)+(AU47*(ct_comp2+ca_comp2)*'Time on treatment'!$F$20)</f>
        <v>0</v>
      </c>
      <c r="AX111" s="87" t="s">
        <v>172</v>
      </c>
      <c r="AY111" s="111"/>
      <c r="AZ111" s="111"/>
      <c r="BA111" s="109">
        <f ca="1">(BA47*c_inicial)+(BA47*c_on*12)+(BA47*ci_comp3)+(BA47*(ct_comp3+ca_comp3)*'Time on treatment'!$D$21)</f>
        <v>0</v>
      </c>
      <c r="BB111" s="109">
        <f ca="1">(BB47*c_on*12)+(BB47*(ct_comp3+ca_comp3)*'Time on treatment'!$E$21)</f>
        <v>0</v>
      </c>
      <c r="BC111" s="110">
        <f ca="1">(BC47*c_on*12)+(BC47*(ct_comp3+ca_comp3)*'Time on treatment'!$F$21)</f>
        <v>0</v>
      </c>
      <c r="BF111" s="87" t="s">
        <v>172</v>
      </c>
      <c r="BG111" s="111"/>
      <c r="BH111" s="111"/>
      <c r="BI111" s="109">
        <f ca="1">(BI47*c_inicial)+(BI47*c_on*12)+(BI47*ci_comp4)+(BI47*(ct_comp4+ca_comp4)*'Time on treatment'!$D$22)</f>
        <v>0</v>
      </c>
      <c r="BJ111" s="109">
        <f ca="1">(BJ47*c_on*12)+(BJ47*(ct_comp4+ca_comp4)*'Time on treatment'!$E$22)</f>
        <v>0</v>
      </c>
      <c r="BK111" s="110">
        <f ca="1">(BK47*c_on*12)+(BK47*(ct_comp4+ca_comp4)*'Time on treatment'!$F$22)</f>
        <v>0</v>
      </c>
      <c r="BN111" s="87" t="s">
        <v>172</v>
      </c>
      <c r="BO111" s="111"/>
      <c r="BP111" s="111"/>
      <c r="BQ111" s="109">
        <f ca="1">(BQ47*c_inicial)+(BQ47*c_on*12)+(BQ47*ci_comp5)+(BQ47*(ct_comp5+ca_comp5)*'Time on treatment'!$D$23)</f>
        <v>0</v>
      </c>
      <c r="BR111" s="109">
        <f ca="1">(BR47*c_on*12)+(BR47*(ct_comp5+ca_comp5)*'Time on treatment'!$E$23)</f>
        <v>0</v>
      </c>
      <c r="BS111" s="110">
        <f ca="1">(BS47*c_on*12)+(BS47*(ct_comp5+ca_comp5)*'Time on treatment'!$F$23)</f>
        <v>0</v>
      </c>
      <c r="BV111" s="87" t="s">
        <v>172</v>
      </c>
      <c r="BW111" s="111"/>
      <c r="BX111" s="111"/>
      <c r="BY111" s="109">
        <f ca="1">(BY47*c_inicial)+(BY47*c_on*12)+(BY47*ci_comp6)+(BY47*(ct_comp6+ca_comp6)*'Time on treatment'!$D$24)</f>
        <v>0</v>
      </c>
      <c r="BZ111" s="109">
        <f ca="1">(BZ47*c_on*12)+(BZ47*(ct_comp6+ca_comp6)*'Time on treatment'!$E$24)</f>
        <v>0</v>
      </c>
      <c r="CA111" s="110">
        <f ca="1">(CA47*c_on*12)+(CA47*(ct_comp6+ca_comp6)*'Time on treatment'!$F$24)</f>
        <v>0</v>
      </c>
      <c r="CD111" s="87" t="s">
        <v>172</v>
      </c>
      <c r="CE111" s="111"/>
      <c r="CF111" s="111"/>
      <c r="CG111" s="109">
        <f ca="1">(CG47*c_inicial)+(CG47*c_on*12)+(CG47*ci_comp7)+(CG47*(ct_comp7+ca_comp7)*'Time on treatment'!$D$25)</f>
        <v>0</v>
      </c>
      <c r="CH111" s="109">
        <f ca="1">(CH47*c_on*12)+(CH47*(ct_comp7+ca_comp7)*'Time on treatment'!$E$25)</f>
        <v>0</v>
      </c>
      <c r="CI111" s="110">
        <f ca="1">(CI47*c_on*12)+(CI47*(ct_comp7+ca_comp7)*'Time on treatment'!$F$25)</f>
        <v>0</v>
      </c>
      <c r="CL111" s="87" t="s">
        <v>172</v>
      </c>
      <c r="CM111" s="111"/>
      <c r="CN111" s="111"/>
      <c r="CO111" s="109">
        <f ca="1">(CO47*c_inicial)+(CO47*c_on*12)+(CO47*ci_comp8)+(CO47*(ct_comp8+ca_comp8)*'Time on treatment'!$D$26)</f>
        <v>0</v>
      </c>
      <c r="CP111" s="109">
        <f ca="1">(CP47*c_on*12)+(CP47*(ct_comp8+ca_comp8)*'Time on treatment'!$E$26)</f>
        <v>0</v>
      </c>
      <c r="CQ111" s="110">
        <f ca="1">(CQ47*c_on*12)+(CQ47*(ct_comp8+ca_comp8)*'Time on treatment'!$F$26)</f>
        <v>0</v>
      </c>
      <c r="CT111" s="87" t="s">
        <v>172</v>
      </c>
      <c r="CU111" s="111"/>
      <c r="CV111" s="111"/>
      <c r="CW111" s="109">
        <f ca="1">(CW47*c_inicial)+(CW47*c_on*12)+(CW47*ci_comp9)+(CW47*(ct_comp9+ca_comp9)*'Time on treatment'!$D$27)</f>
        <v>0</v>
      </c>
      <c r="CX111" s="109">
        <f ca="1">(CX47*c_on*12)+(CX47*(ct_comp9+ca_comp9)*'Time on treatment'!$E$27)</f>
        <v>0</v>
      </c>
      <c r="CY111" s="110">
        <f ca="1">(CY47*c_on*12)+(CY47*(ct_comp9+ca_comp9)*'Time on treatment'!$F$27)</f>
        <v>0</v>
      </c>
      <c r="DB111" s="87" t="s">
        <v>172</v>
      </c>
      <c r="DC111" s="111"/>
      <c r="DD111" s="111"/>
      <c r="DE111" s="109">
        <f ca="1">(DE47*c_inicial)+(DE47*c_on*12)+(DE47*ci_comp10)+(DE47*(ct_comp10+ca_comp10)*'Time on treatment'!$D$28)</f>
        <v>0</v>
      </c>
      <c r="DF111" s="109">
        <f ca="1">(DF47*c_on*12)+(DF47*(ct_comp10+ca_comp10)*'Time on treatment'!$E$28)</f>
        <v>0</v>
      </c>
      <c r="DG111" s="110">
        <f ca="1">(DG47*c_on*12)+(DG47*(ct_comp10+ca_comp10)*'Time on treatment'!$F$28)</f>
        <v>0</v>
      </c>
    </row>
    <row r="112" spans="2:111">
      <c r="B112" s="87" t="s">
        <v>177</v>
      </c>
      <c r="C112" s="111"/>
      <c r="D112" s="111"/>
      <c r="E112" s="109">
        <f>E48*c_off</f>
        <v>0</v>
      </c>
      <c r="F112" s="109">
        <f>F48*c_off</f>
        <v>297.36755146968795</v>
      </c>
      <c r="G112" s="110">
        <f>G48*c_off</f>
        <v>535.26159264543742</v>
      </c>
      <c r="J112" s="87" t="s">
        <v>177</v>
      </c>
      <c r="K112" s="111"/>
      <c r="L112" s="111"/>
      <c r="M112" s="109">
        <f>M48*c_off</f>
        <v>0</v>
      </c>
      <c r="N112" s="109">
        <f>N48*c_off</f>
        <v>0</v>
      </c>
      <c r="O112" s="110">
        <f>O48*c_off</f>
        <v>0</v>
      </c>
      <c r="R112" s="87" t="s">
        <v>177</v>
      </c>
      <c r="S112" s="111"/>
      <c r="T112" s="111"/>
      <c r="U112" s="109">
        <f>U48*c_off</f>
        <v>0</v>
      </c>
      <c r="V112" s="109">
        <f>V48*c_off</f>
        <v>0</v>
      </c>
      <c r="W112" s="110">
        <f>W48*c_off</f>
        <v>0</v>
      </c>
      <c r="Z112" s="87" t="s">
        <v>177</v>
      </c>
      <c r="AA112" s="111"/>
      <c r="AB112" s="111"/>
      <c r="AC112" s="109">
        <f>AC48*c_off</f>
        <v>0</v>
      </c>
      <c r="AD112" s="109">
        <f>AD48*c_off</f>
        <v>0</v>
      </c>
      <c r="AE112" s="110">
        <f>AE48*c_off</f>
        <v>0</v>
      </c>
      <c r="AH112" s="87" t="s">
        <v>177</v>
      </c>
      <c r="AI112" s="111"/>
      <c r="AJ112" s="111"/>
      <c r="AK112" s="109">
        <f>AK48*c_off</f>
        <v>0</v>
      </c>
      <c r="AL112" s="109">
        <f>AL48*c_off</f>
        <v>0</v>
      </c>
      <c r="AM112" s="110">
        <f>AM48*c_off</f>
        <v>0</v>
      </c>
      <c r="AP112" s="87" t="s">
        <v>177</v>
      </c>
      <c r="AQ112" s="111"/>
      <c r="AR112" s="111"/>
      <c r="AS112" s="109">
        <f>AS48*c_off</f>
        <v>0</v>
      </c>
      <c r="AT112" s="109">
        <f>AT48*c_off</f>
        <v>0</v>
      </c>
      <c r="AU112" s="110">
        <f>AU48*c_off</f>
        <v>0</v>
      </c>
      <c r="AX112" s="87" t="s">
        <v>177</v>
      </c>
      <c r="AY112" s="111"/>
      <c r="AZ112" s="111"/>
      <c r="BA112" s="109">
        <f>BA48*c_off</f>
        <v>0</v>
      </c>
      <c r="BB112" s="109">
        <f>BB48*c_off</f>
        <v>0</v>
      </c>
      <c r="BC112" s="110">
        <f>BC48*c_off</f>
        <v>0</v>
      </c>
      <c r="BF112" s="87" t="s">
        <v>177</v>
      </c>
      <c r="BG112" s="111"/>
      <c r="BH112" s="111"/>
      <c r="BI112" s="109">
        <f>BI48*c_off</f>
        <v>0</v>
      </c>
      <c r="BJ112" s="109">
        <f>BJ48*c_off</f>
        <v>0</v>
      </c>
      <c r="BK112" s="110">
        <f>BK48*c_off</f>
        <v>0</v>
      </c>
      <c r="BN112" s="87" t="s">
        <v>177</v>
      </c>
      <c r="BO112" s="111"/>
      <c r="BP112" s="111"/>
      <c r="BQ112" s="109">
        <f>BQ48*c_off</f>
        <v>0</v>
      </c>
      <c r="BR112" s="109">
        <f>BR48*c_off</f>
        <v>0</v>
      </c>
      <c r="BS112" s="110">
        <f>BS48*c_off</f>
        <v>0</v>
      </c>
      <c r="BV112" s="87" t="s">
        <v>177</v>
      </c>
      <c r="BW112" s="111"/>
      <c r="BX112" s="111"/>
      <c r="BY112" s="109">
        <f>BY48*c_off</f>
        <v>0</v>
      </c>
      <c r="BZ112" s="109">
        <f>BZ48*c_off</f>
        <v>0</v>
      </c>
      <c r="CA112" s="110">
        <f>CA48*c_off</f>
        <v>0</v>
      </c>
      <c r="CD112" s="87" t="s">
        <v>177</v>
      </c>
      <c r="CE112" s="111"/>
      <c r="CF112" s="111"/>
      <c r="CG112" s="109">
        <f>CG48*c_off</f>
        <v>0</v>
      </c>
      <c r="CH112" s="109">
        <f>CH48*c_off</f>
        <v>0</v>
      </c>
      <c r="CI112" s="110">
        <f>CI48*c_off</f>
        <v>0</v>
      </c>
      <c r="CL112" s="87" t="s">
        <v>177</v>
      </c>
      <c r="CM112" s="111"/>
      <c r="CN112" s="111"/>
      <c r="CO112" s="109">
        <f>CO48*c_off</f>
        <v>0</v>
      </c>
      <c r="CP112" s="109">
        <f>CP48*c_off</f>
        <v>0</v>
      </c>
      <c r="CQ112" s="110">
        <f>CQ48*c_off</f>
        <v>0</v>
      </c>
      <c r="CT112" s="87" t="s">
        <v>177</v>
      </c>
      <c r="CU112" s="111"/>
      <c r="CV112" s="111"/>
      <c r="CW112" s="109">
        <f>CW48*c_off</f>
        <v>0</v>
      </c>
      <c r="CX112" s="109">
        <f>CX48*c_off</f>
        <v>0</v>
      </c>
      <c r="CY112" s="110">
        <f>CY48*c_off</f>
        <v>0</v>
      </c>
      <c r="DB112" s="87" t="s">
        <v>177</v>
      </c>
      <c r="DC112" s="111"/>
      <c r="DD112" s="111"/>
      <c r="DE112" s="109">
        <f>DE48*c_off</f>
        <v>0</v>
      </c>
      <c r="DF112" s="109">
        <f>DF48*c_off</f>
        <v>0</v>
      </c>
      <c r="DG112" s="110">
        <f>DG48*c_off</f>
        <v>0</v>
      </c>
    </row>
    <row r="113" spans="2:111">
      <c r="B113" s="87" t="s">
        <v>173</v>
      </c>
      <c r="C113" s="111"/>
      <c r="D113" s="111"/>
      <c r="E113" s="111"/>
      <c r="F113" s="109">
        <f ca="1">(F49*c_inicial)+(F49*c_on*12)+(F49*ci_int1)+(F49*(ct_int1+ca_int1)*'Time on treatment'!$D$12)</f>
        <v>6412726.68661875</v>
      </c>
      <c r="G113" s="110">
        <f ca="1">(G49*c_on*12)+(G49*(ct_int1+ca_int1)*'Time on treatment'!$E$12)</f>
        <v>5892349.6849996876</v>
      </c>
      <c r="J113" s="87" t="s">
        <v>173</v>
      </c>
      <c r="K113" s="111"/>
      <c r="L113" s="111"/>
      <c r="M113" s="111"/>
      <c r="N113" s="109">
        <f ca="1">(N49*c_inicial)+(N49*c_on*12)+(N49*ci_int2)+(N49*(ct_int2+ca_int2)*'Time on treatment'!$D$13)</f>
        <v>0</v>
      </c>
      <c r="O113" s="110">
        <f ca="1">(O49*c_on*12)+(O49*(ct_int2+ca_int2)*'Time on treatment'!$E$13)</f>
        <v>0</v>
      </c>
      <c r="R113" s="87" t="s">
        <v>173</v>
      </c>
      <c r="S113" s="111"/>
      <c r="T113" s="111"/>
      <c r="U113" s="111"/>
      <c r="V113" s="109">
        <f ca="1">(V49*c_inicial)+(V49*c_on*12)+(V49*ci_int3)+(V49*(ct_int3+ca_int3)*'Time on treatment'!$D$14)</f>
        <v>0</v>
      </c>
      <c r="W113" s="110">
        <f ca="1">(W49*c_on*12)+(W49*(ct_int3+ca_int3)*'Time on treatment'!$E$14)</f>
        <v>0</v>
      </c>
      <c r="Z113" s="87" t="s">
        <v>173</v>
      </c>
      <c r="AA113" s="111"/>
      <c r="AB113" s="111"/>
      <c r="AC113" s="111"/>
      <c r="AD113" s="109">
        <f ca="1">(AD49*c_inicial)+(AD49*c_on*12)+(AD49*ci_int4)+(AD49*(ct_int4+ca_int4)*'Time on treatment'!$D$15)</f>
        <v>0</v>
      </c>
      <c r="AE113" s="110">
        <f ca="1">(AE49*c_on*12)+(AE49*(ct_int4+ca_int4)*'Time on treatment'!$E$15)</f>
        <v>0</v>
      </c>
      <c r="AH113" s="87" t="s">
        <v>173</v>
      </c>
      <c r="AI113" s="111"/>
      <c r="AJ113" s="111"/>
      <c r="AK113" s="111"/>
      <c r="AL113" s="109">
        <f ca="1">(AL49*c_inicial)+(AL49*c_on*12)+(AL49*ci_comp1)+(AL49*(ct_comp1+ca_comp1)*'Time on treatment'!$D$19)</f>
        <v>6691102.1008182</v>
      </c>
      <c r="AM113" s="110">
        <f ca="1">(AM49*c_on*12)+(AM49*(ct_comp1+ca_comp1)*'Time on treatment'!$E$19)</f>
        <v>5850088.7648681998</v>
      </c>
      <c r="AP113" s="87" t="s">
        <v>173</v>
      </c>
      <c r="AQ113" s="111"/>
      <c r="AR113" s="111"/>
      <c r="AS113" s="111"/>
      <c r="AT113" s="109">
        <f ca="1">(AT49*c_inicial)+(AT49*c_on*12)+(AT49*ci_comp2)+(AT49*(ct_comp2+ca_comp2)*'Time on treatment'!$D$20)</f>
        <v>0</v>
      </c>
      <c r="AU113" s="110">
        <f ca="1">(AU49*c_on*12)+(AU49*(ct_comp2+ca_comp2)*'Time on treatment'!$E$20)</f>
        <v>0</v>
      </c>
      <c r="AX113" s="87" t="s">
        <v>173</v>
      </c>
      <c r="AY113" s="111"/>
      <c r="AZ113" s="111"/>
      <c r="BA113" s="111"/>
      <c r="BB113" s="109">
        <f ca="1">(BB49*c_inicial)+(BB49*c_on*12)+(BB49*ci_comp3)+(BB49*(ct_comp3+ca_comp3)*'Time on treatment'!$D$21)</f>
        <v>0</v>
      </c>
      <c r="BC113" s="110">
        <f ca="1">(BC49*c_on*12)+(BC49*(ct_comp3+ca_comp3)*'Time on treatment'!$E$21)</f>
        <v>0</v>
      </c>
      <c r="BF113" s="87" t="s">
        <v>173</v>
      </c>
      <c r="BG113" s="111"/>
      <c r="BH113" s="111"/>
      <c r="BI113" s="111"/>
      <c r="BJ113" s="109">
        <f ca="1">(BJ49*c_inicial)+(BJ49*c_on*12)+(BJ49*ci_comp4)+(BJ49*(ct_comp4+ca_comp4)*'Time on treatment'!$D$22)</f>
        <v>0</v>
      </c>
      <c r="BK113" s="110">
        <f ca="1">(BK49*c_on*12)+(BK49*(ct_comp4+ca_comp4)*'Time on treatment'!$E$22)</f>
        <v>0</v>
      </c>
      <c r="BN113" s="87" t="s">
        <v>173</v>
      </c>
      <c r="BO113" s="111"/>
      <c r="BP113" s="111"/>
      <c r="BQ113" s="111"/>
      <c r="BR113" s="109">
        <f ca="1">(BR49*c_inicial)+(BR49*c_on*12)+(BR49*ci_comp5)+(BR49*(ct_comp5+ca_comp5)*'Time on treatment'!$D$23)</f>
        <v>0</v>
      </c>
      <c r="BS113" s="110">
        <f ca="1">(BS49*c_on*12)+(BS49*(ct_comp5+ca_comp5)*'Time on treatment'!$E$23)</f>
        <v>0</v>
      </c>
      <c r="BV113" s="87" t="s">
        <v>173</v>
      </c>
      <c r="BW113" s="111"/>
      <c r="BX113" s="111"/>
      <c r="BY113" s="111"/>
      <c r="BZ113" s="109">
        <f ca="1">(BZ49*c_inicial)+(BZ49*c_on*12)+(BZ49*ci_comp6)+(BZ49*(ct_comp6+ca_comp6)*'Time on treatment'!$D$24)</f>
        <v>0</v>
      </c>
      <c r="CA113" s="110">
        <f ca="1">(CA49*c_on*12)+(CA49*(ct_comp6+ca_comp6)*'Time on treatment'!$E$24)</f>
        <v>0</v>
      </c>
      <c r="CD113" s="87" t="s">
        <v>173</v>
      </c>
      <c r="CE113" s="111"/>
      <c r="CF113" s="111"/>
      <c r="CG113" s="111"/>
      <c r="CH113" s="109">
        <f ca="1">(CH49*c_inicial)+(CH49*c_on*12)+(CH49*ci_comp7)+(CH49*(ct_comp7+ca_comp7)*'Time on treatment'!$D$25)</f>
        <v>0</v>
      </c>
      <c r="CI113" s="110">
        <f ca="1">(CI49*c_on*12)+(CI49*(ct_comp7+ca_comp7)*'Time on treatment'!$E$25)</f>
        <v>0</v>
      </c>
      <c r="CL113" s="87" t="s">
        <v>173</v>
      </c>
      <c r="CM113" s="111"/>
      <c r="CN113" s="111"/>
      <c r="CO113" s="111"/>
      <c r="CP113" s="109">
        <f ca="1">(CP49*c_inicial)+(CP49*c_on*12)+(CP49*ci_comp8)+(CP49*(ct_comp8+ca_comp8)*'Time on treatment'!$D$26)</f>
        <v>0</v>
      </c>
      <c r="CQ113" s="110">
        <f ca="1">(CQ49*c_on*12)+(CQ49*(ct_comp8+ca_comp8)*'Time on treatment'!$E$26)</f>
        <v>0</v>
      </c>
      <c r="CT113" s="87" t="s">
        <v>173</v>
      </c>
      <c r="CU113" s="111"/>
      <c r="CV113" s="111"/>
      <c r="CW113" s="111"/>
      <c r="CX113" s="109">
        <f ca="1">(CX49*c_inicial)+(CX49*c_on*12)+(CX49*ci_comp9)+(CX49*(ct_comp9+ca_comp9)*'Time on treatment'!$D$27)</f>
        <v>0</v>
      </c>
      <c r="CY113" s="110">
        <f ca="1">(CY49*c_on*12)+(CY49*(ct_comp9+ca_comp9)*'Time on treatment'!$E$27)</f>
        <v>0</v>
      </c>
      <c r="DB113" s="87" t="s">
        <v>173</v>
      </c>
      <c r="DC113" s="111"/>
      <c r="DD113" s="111"/>
      <c r="DE113" s="111"/>
      <c r="DF113" s="109">
        <f ca="1">(DF49*c_inicial)+(DF49*c_on*12)+(DF49*ci_comp10)+(DF49*(ct_comp10+ca_comp10)*'Time on treatment'!$D$28)</f>
        <v>0</v>
      </c>
      <c r="DG113" s="110">
        <f ca="1">(DG49*c_on*12)+(DG49*(ct_comp10+ca_comp10)*'Time on treatment'!$E$28)</f>
        <v>0</v>
      </c>
    </row>
    <row r="114" spans="2:111">
      <c r="B114" s="87" t="s">
        <v>178</v>
      </c>
      <c r="C114" s="111"/>
      <c r="D114" s="111"/>
      <c r="E114" s="111"/>
      <c r="F114" s="109">
        <f>F50*c_off</f>
        <v>0</v>
      </c>
      <c r="G114" s="110">
        <f>G50*c_off</f>
        <v>399.48133457625067</v>
      </c>
      <c r="J114" s="87" t="s">
        <v>178</v>
      </c>
      <c r="K114" s="111"/>
      <c r="L114" s="111"/>
      <c r="M114" s="111"/>
      <c r="N114" s="109">
        <f>N50*c_off</f>
        <v>0</v>
      </c>
      <c r="O114" s="110">
        <f>O50*c_off</f>
        <v>0</v>
      </c>
      <c r="R114" s="87" t="s">
        <v>178</v>
      </c>
      <c r="S114" s="111"/>
      <c r="T114" s="111"/>
      <c r="U114" s="111"/>
      <c r="V114" s="109">
        <f>V50*c_off</f>
        <v>0</v>
      </c>
      <c r="W114" s="110">
        <f>W50*c_off</f>
        <v>0</v>
      </c>
      <c r="Z114" s="87" t="s">
        <v>178</v>
      </c>
      <c r="AA114" s="111"/>
      <c r="AB114" s="111"/>
      <c r="AC114" s="111"/>
      <c r="AD114" s="109">
        <f>AD50*c_off</f>
        <v>0</v>
      </c>
      <c r="AE114" s="110">
        <f>AE50*c_off</f>
        <v>0</v>
      </c>
      <c r="AH114" s="87" t="s">
        <v>178</v>
      </c>
      <c r="AI114" s="111"/>
      <c r="AJ114" s="111"/>
      <c r="AK114" s="111"/>
      <c r="AL114" s="109">
        <f>AL50*c_off</f>
        <v>0</v>
      </c>
      <c r="AM114" s="110">
        <f>AM50*c_off</f>
        <v>0</v>
      </c>
      <c r="AP114" s="87" t="s">
        <v>178</v>
      </c>
      <c r="AQ114" s="111"/>
      <c r="AR114" s="111"/>
      <c r="AS114" s="111"/>
      <c r="AT114" s="109">
        <f>AT50*c_off</f>
        <v>0</v>
      </c>
      <c r="AU114" s="110">
        <f>AU50*c_off</f>
        <v>0</v>
      </c>
      <c r="AX114" s="87" t="s">
        <v>178</v>
      </c>
      <c r="AY114" s="111"/>
      <c r="AZ114" s="111"/>
      <c r="BA114" s="111"/>
      <c r="BB114" s="109">
        <f>BB50*c_off</f>
        <v>0</v>
      </c>
      <c r="BC114" s="110">
        <f>BC50*c_off</f>
        <v>0</v>
      </c>
      <c r="BF114" s="87" t="s">
        <v>178</v>
      </c>
      <c r="BG114" s="111"/>
      <c r="BH114" s="111"/>
      <c r="BI114" s="111"/>
      <c r="BJ114" s="109">
        <f>BJ50*c_off</f>
        <v>0</v>
      </c>
      <c r="BK114" s="110">
        <f>BK50*c_off</f>
        <v>0</v>
      </c>
      <c r="BN114" s="87" t="s">
        <v>178</v>
      </c>
      <c r="BO114" s="111"/>
      <c r="BP114" s="111"/>
      <c r="BQ114" s="111"/>
      <c r="BR114" s="109">
        <f>BR50*c_off</f>
        <v>0</v>
      </c>
      <c r="BS114" s="110">
        <f>BS50*c_off</f>
        <v>0</v>
      </c>
      <c r="BV114" s="87" t="s">
        <v>178</v>
      </c>
      <c r="BW114" s="111"/>
      <c r="BX114" s="111"/>
      <c r="BY114" s="111"/>
      <c r="BZ114" s="109">
        <f>BZ50*c_off</f>
        <v>0</v>
      </c>
      <c r="CA114" s="110">
        <f>CA50*c_off</f>
        <v>0</v>
      </c>
      <c r="CD114" s="87" t="s">
        <v>178</v>
      </c>
      <c r="CE114" s="111"/>
      <c r="CF114" s="111"/>
      <c r="CG114" s="111"/>
      <c r="CH114" s="109">
        <f>CH50*c_off</f>
        <v>0</v>
      </c>
      <c r="CI114" s="110">
        <f>CI50*c_off</f>
        <v>0</v>
      </c>
      <c r="CL114" s="87" t="s">
        <v>178</v>
      </c>
      <c r="CM114" s="111"/>
      <c r="CN114" s="111"/>
      <c r="CO114" s="111"/>
      <c r="CP114" s="109">
        <f>CP50*c_off</f>
        <v>0</v>
      </c>
      <c r="CQ114" s="110">
        <f>CQ50*c_off</f>
        <v>0</v>
      </c>
      <c r="CT114" s="87" t="s">
        <v>178</v>
      </c>
      <c r="CU114" s="111"/>
      <c r="CV114" s="111"/>
      <c r="CW114" s="111"/>
      <c r="CX114" s="109">
        <f>CX50*c_off</f>
        <v>0</v>
      </c>
      <c r="CY114" s="110">
        <f>CY50*c_off</f>
        <v>0</v>
      </c>
      <c r="DB114" s="87" t="s">
        <v>178</v>
      </c>
      <c r="DC114" s="111"/>
      <c r="DD114" s="111"/>
      <c r="DE114" s="111"/>
      <c r="DF114" s="109">
        <f>DF50*c_off</f>
        <v>0</v>
      </c>
      <c r="DG114" s="110">
        <f>DG50*c_off</f>
        <v>0</v>
      </c>
    </row>
    <row r="115" spans="2:111">
      <c r="B115" s="87" t="s">
        <v>174</v>
      </c>
      <c r="C115" s="111"/>
      <c r="D115" s="111"/>
      <c r="E115" s="111"/>
      <c r="F115" s="111"/>
      <c r="G115" s="110">
        <f ca="1">(G51*c_inicial)+(G51*c_on*12)+(G51*ci_int1)+(G51*(ct_int1+ca_int1)*'Time on treatment'!$D$12)</f>
        <v>8077086.4777968759</v>
      </c>
      <c r="J115" s="87" t="s">
        <v>174</v>
      </c>
      <c r="K115" s="111"/>
      <c r="L115" s="111"/>
      <c r="M115" s="111"/>
      <c r="N115" s="111"/>
      <c r="O115" s="110">
        <f ca="1">(O51*c_inicial)+(O51*c_on*12)+(O51*ci_int2)+(O51*(ct_int2+ca_int2)*'Time on treatment'!$D$13)</f>
        <v>0</v>
      </c>
      <c r="R115" s="87" t="s">
        <v>174</v>
      </c>
      <c r="S115" s="111"/>
      <c r="T115" s="111"/>
      <c r="U115" s="111"/>
      <c r="V115" s="111"/>
      <c r="W115" s="110">
        <f ca="1">(W51*c_inicial)+(W51*c_on*12)+(W51*ci_int3)+(W51*(ct_int3+ca_int3)*'Time on treatment'!$D$14)</f>
        <v>0</v>
      </c>
      <c r="Z115" s="87" t="s">
        <v>174</v>
      </c>
      <c r="AA115" s="111"/>
      <c r="AB115" s="111"/>
      <c r="AC115" s="111"/>
      <c r="AD115" s="111"/>
      <c r="AE115" s="110">
        <f ca="1">(AE51*c_inicial)+(AE51*c_on*12)+(AE51*ci_int4)+(AE51*(ct_int4+ca_int4)*'Time on treatment'!$D$15)</f>
        <v>0</v>
      </c>
      <c r="AH115" s="87" t="s">
        <v>174</v>
      </c>
      <c r="AI115" s="111"/>
      <c r="AJ115" s="111"/>
      <c r="AK115" s="111"/>
      <c r="AL115" s="111"/>
      <c r="AM115" s="110">
        <f ca="1">(AM51*c_inicial)+(AM51*c_on*12)+(AM51*ci_comp1)+(AM51*(ct_comp1+ca_comp1)*'Time on treatment'!$D$19)</f>
        <v>6320783.608264125</v>
      </c>
      <c r="AP115" s="87" t="s">
        <v>174</v>
      </c>
      <c r="AQ115" s="111"/>
      <c r="AR115" s="111"/>
      <c r="AS115" s="111"/>
      <c r="AT115" s="111"/>
      <c r="AU115" s="110">
        <f ca="1">(AU51*c_inicial)+(AU51*c_on*12)+(AU51*ci_comp2)+(AU51*(ct_comp2+ca_comp2)*'Time on treatment'!$D$20)</f>
        <v>0</v>
      </c>
      <c r="AX115" s="87" t="s">
        <v>174</v>
      </c>
      <c r="AY115" s="111"/>
      <c r="AZ115" s="111"/>
      <c r="BA115" s="111"/>
      <c r="BB115" s="111"/>
      <c r="BC115" s="110">
        <f ca="1">(BC51*c_inicial)+(BC51*c_on*12)+(BC51*ci_comp3)+(BC51*(ct_comp3+ca_comp3)*'Time on treatment'!$D$21)</f>
        <v>0</v>
      </c>
      <c r="BF115" s="87" t="s">
        <v>174</v>
      </c>
      <c r="BG115" s="111"/>
      <c r="BH115" s="111"/>
      <c r="BI115" s="111"/>
      <c r="BJ115" s="111"/>
      <c r="BK115" s="110">
        <f ca="1">(BK51*c_inicial)+(BK51*c_on*12)+(BK51*ci_comp4)+(BK51*(ct_comp4+ca_comp4)*'Time on treatment'!$D$22)</f>
        <v>0</v>
      </c>
      <c r="BN115" s="87" t="s">
        <v>174</v>
      </c>
      <c r="BO115" s="111"/>
      <c r="BP115" s="111"/>
      <c r="BQ115" s="111"/>
      <c r="BR115" s="111"/>
      <c r="BS115" s="110">
        <f ca="1">(BS51*c_inicial)+(BS51*c_on*12)+(BS51*ci_comp5)+(BS51*(ct_comp5+ca_comp5)*'Time on treatment'!$D$23)</f>
        <v>0</v>
      </c>
      <c r="BV115" s="87" t="s">
        <v>174</v>
      </c>
      <c r="BW115" s="111"/>
      <c r="BX115" s="111"/>
      <c r="BY115" s="111"/>
      <c r="BZ115" s="111"/>
      <c r="CA115" s="110">
        <f ca="1">(CA51*c_inicial)+(CA51*c_on*12)+(CA51*ci_comp6)+(CA51*(ct_comp6+ca_comp6)*'Time on treatment'!$D$24)</f>
        <v>0</v>
      </c>
      <c r="CD115" s="87" t="s">
        <v>174</v>
      </c>
      <c r="CE115" s="111"/>
      <c r="CF115" s="111"/>
      <c r="CG115" s="111"/>
      <c r="CH115" s="111"/>
      <c r="CI115" s="110">
        <f ca="1">(CI51*c_inicial)+(CI51*c_on*12)+(CI51*ci_comp7)+(CI51*(ct_comp7+ca_comp7)*'Time on treatment'!$D$25)</f>
        <v>0</v>
      </c>
      <c r="CL115" s="87" t="s">
        <v>174</v>
      </c>
      <c r="CM115" s="111"/>
      <c r="CN115" s="111"/>
      <c r="CO115" s="111"/>
      <c r="CP115" s="111"/>
      <c r="CQ115" s="110">
        <f ca="1">(CQ51*c_inicial)+(CQ51*c_on*12)+(CQ51*ci_comp8)+(CQ51*(ct_comp8+ca_comp8)*'Time on treatment'!$D$26)</f>
        <v>0</v>
      </c>
      <c r="CT115" s="87" t="s">
        <v>174</v>
      </c>
      <c r="CU115" s="111"/>
      <c r="CV115" s="111"/>
      <c r="CW115" s="111"/>
      <c r="CX115" s="111"/>
      <c r="CY115" s="110">
        <f ca="1">(CY51*c_inicial)+(CY51*c_on*12)+(CY51*ci_comp9)+(CY51*(ct_comp9+ca_comp9)*'Time on treatment'!$D$27)</f>
        <v>0</v>
      </c>
      <c r="DB115" s="87" t="s">
        <v>174</v>
      </c>
      <c r="DC115" s="111"/>
      <c r="DD115" s="111"/>
      <c r="DE115" s="111"/>
      <c r="DF115" s="111"/>
      <c r="DG115" s="110">
        <f ca="1">(DG51*c_inicial)+(DG51*c_on*12)+(DG51*ci_comp10)+(DG51*(ct_comp10+ca_comp10)*'Time on treatment'!$D$28)</f>
        <v>0</v>
      </c>
    </row>
    <row r="116" spans="2:111" ht="15" thickBot="1">
      <c r="B116" s="87" t="s">
        <v>179</v>
      </c>
      <c r="C116" s="111"/>
      <c r="D116" s="111"/>
      <c r="E116" s="111"/>
      <c r="F116" s="111"/>
      <c r="G116" s="112">
        <v>0</v>
      </c>
      <c r="J116" s="87" t="s">
        <v>179</v>
      </c>
      <c r="K116" s="111"/>
      <c r="L116" s="111"/>
      <c r="M116" s="111"/>
      <c r="N116" s="111"/>
      <c r="O116" s="112">
        <v>0</v>
      </c>
      <c r="R116" s="87" t="s">
        <v>179</v>
      </c>
      <c r="S116" s="111"/>
      <c r="T116" s="111"/>
      <c r="U116" s="111"/>
      <c r="V116" s="111"/>
      <c r="W116" s="112">
        <v>0</v>
      </c>
      <c r="Z116" s="87" t="s">
        <v>179</v>
      </c>
      <c r="AA116" s="111"/>
      <c r="AB116" s="111"/>
      <c r="AC116" s="111"/>
      <c r="AD116" s="111"/>
      <c r="AE116" s="112">
        <v>0</v>
      </c>
      <c r="AH116" s="87" t="s">
        <v>179</v>
      </c>
      <c r="AI116" s="111"/>
      <c r="AJ116" s="111"/>
      <c r="AK116" s="111"/>
      <c r="AL116" s="111"/>
      <c r="AM116" s="112">
        <v>0</v>
      </c>
      <c r="AP116" s="87" t="s">
        <v>179</v>
      </c>
      <c r="AQ116" s="111"/>
      <c r="AR116" s="111"/>
      <c r="AS116" s="111"/>
      <c r="AT116" s="111"/>
      <c r="AU116" s="112">
        <v>0</v>
      </c>
      <c r="AX116" s="87" t="s">
        <v>179</v>
      </c>
      <c r="AY116" s="111"/>
      <c r="AZ116" s="111"/>
      <c r="BA116" s="111"/>
      <c r="BB116" s="111"/>
      <c r="BC116" s="112">
        <v>0</v>
      </c>
      <c r="BF116" s="87" t="s">
        <v>179</v>
      </c>
      <c r="BG116" s="111"/>
      <c r="BH116" s="111"/>
      <c r="BI116" s="111"/>
      <c r="BJ116" s="111"/>
      <c r="BK116" s="112">
        <v>0</v>
      </c>
      <c r="BN116" s="87" t="s">
        <v>179</v>
      </c>
      <c r="BO116" s="111"/>
      <c r="BP116" s="111"/>
      <c r="BQ116" s="111"/>
      <c r="BR116" s="111"/>
      <c r="BS116" s="112">
        <v>0</v>
      </c>
      <c r="BV116" s="87" t="s">
        <v>179</v>
      </c>
      <c r="BW116" s="111"/>
      <c r="BX116" s="111"/>
      <c r="BY116" s="111"/>
      <c r="BZ116" s="111"/>
      <c r="CA116" s="112">
        <v>0</v>
      </c>
      <c r="CD116" s="87" t="s">
        <v>179</v>
      </c>
      <c r="CE116" s="111"/>
      <c r="CF116" s="111"/>
      <c r="CG116" s="111"/>
      <c r="CH116" s="111"/>
      <c r="CI116" s="112">
        <v>0</v>
      </c>
      <c r="CL116" s="87" t="s">
        <v>179</v>
      </c>
      <c r="CM116" s="111"/>
      <c r="CN116" s="111"/>
      <c r="CO116" s="111"/>
      <c r="CP116" s="111"/>
      <c r="CQ116" s="112">
        <v>0</v>
      </c>
      <c r="CT116" s="87" t="s">
        <v>179</v>
      </c>
      <c r="CU116" s="111"/>
      <c r="CV116" s="111"/>
      <c r="CW116" s="111"/>
      <c r="CX116" s="111"/>
      <c r="CY116" s="112">
        <v>0</v>
      </c>
      <c r="DB116" s="87" t="s">
        <v>179</v>
      </c>
      <c r="DC116" s="111"/>
      <c r="DD116" s="111"/>
      <c r="DE116" s="111"/>
      <c r="DF116" s="111"/>
      <c r="DG116" s="112">
        <v>0</v>
      </c>
    </row>
    <row r="117" spans="2:111" ht="15" thickBot="1">
      <c r="B117" s="85" t="str">
        <f>B103</f>
        <v>Drug 1</v>
      </c>
      <c r="C117" s="113">
        <f ca="1">SUM(C107:C115)</f>
        <v>1566920.2899937504</v>
      </c>
      <c r="D117" s="113">
        <f ca="1">SUM(D107:D115)</f>
        <v>4598317.343830714</v>
      </c>
      <c r="E117" s="113">
        <f ca="1">SUM(E107:E115)</f>
        <v>7708420.7233633325</v>
      </c>
      <c r="F117" s="113">
        <f ca="1">SUM(F107:F115)</f>
        <v>10895611.317017768</v>
      </c>
      <c r="G117" s="114">
        <f ca="1">SUM(G107:G115)</f>
        <v>14160200.540599179</v>
      </c>
      <c r="J117" s="85" t="str">
        <f>J103</f>
        <v>Drug 2</v>
      </c>
      <c r="K117" s="113">
        <f ca="1">SUM(K107:K115)</f>
        <v>0</v>
      </c>
      <c r="L117" s="113">
        <f ca="1">SUM(L107:L115)</f>
        <v>0</v>
      </c>
      <c r="M117" s="113">
        <f ca="1">SUM(M107:M115)</f>
        <v>0</v>
      </c>
      <c r="N117" s="113">
        <f ca="1">SUM(N107:N115)</f>
        <v>0</v>
      </c>
      <c r="O117" s="114">
        <f ca="1">SUM(O107:O115)</f>
        <v>0</v>
      </c>
      <c r="R117" s="85">
        <f>R103</f>
        <v>0</v>
      </c>
      <c r="S117" s="113">
        <f ca="1">SUM(S107:S115)</f>
        <v>0</v>
      </c>
      <c r="T117" s="113">
        <f ca="1">SUM(T107:T115)</f>
        <v>0</v>
      </c>
      <c r="U117" s="113">
        <f ca="1">SUM(U107:U115)</f>
        <v>0</v>
      </c>
      <c r="V117" s="113">
        <f ca="1">SUM(V107:V115)</f>
        <v>0</v>
      </c>
      <c r="W117" s="114">
        <f ca="1">SUM(W107:W115)</f>
        <v>0</v>
      </c>
      <c r="Z117" s="85">
        <f>Z103</f>
        <v>0</v>
      </c>
      <c r="AA117" s="113">
        <f ca="1">SUM(AA107:AA115)</f>
        <v>0</v>
      </c>
      <c r="AB117" s="113">
        <f ca="1">SUM(AB107:AB115)</f>
        <v>0</v>
      </c>
      <c r="AC117" s="113">
        <f ca="1">SUM(AC107:AC115)</f>
        <v>0</v>
      </c>
      <c r="AD117" s="113">
        <f ca="1">SUM(AD107:AD115)</f>
        <v>0</v>
      </c>
      <c r="AE117" s="114">
        <f ca="1">SUM(AE107:AE115)</f>
        <v>0</v>
      </c>
      <c r="AH117" s="85" t="str">
        <f>AH103</f>
        <v>BSC</v>
      </c>
      <c r="AI117" s="113">
        <f ca="1">SUM(AI107:AI115)</f>
        <v>7765965.20382345</v>
      </c>
      <c r="AJ117" s="113">
        <f ca="1">SUM(AJ107:AJ115)</f>
        <v>14204858.716227826</v>
      </c>
      <c r="AK117" s="113">
        <f ca="1">SUM(AK107:AK115)</f>
        <v>20328919.200046912</v>
      </c>
      <c r="AL117" s="113">
        <f ca="1">SUM(AL107:AL115)</f>
        <v>26133135.621043243</v>
      </c>
      <c r="AM117" s="114">
        <f ca="1">SUM(AM107:AM115)</f>
        <v>31612905.893357366</v>
      </c>
      <c r="AP117" s="85">
        <f>AP103</f>
        <v>0</v>
      </c>
      <c r="AQ117" s="113">
        <f ca="1">SUM(AQ107:AQ115)</f>
        <v>0</v>
      </c>
      <c r="AR117" s="113">
        <f ca="1">SUM(AR107:AR115)</f>
        <v>0</v>
      </c>
      <c r="AS117" s="113">
        <f ca="1">SUM(AS107:AS115)</f>
        <v>0</v>
      </c>
      <c r="AT117" s="113">
        <f ca="1">SUM(AT107:AT115)</f>
        <v>0</v>
      </c>
      <c r="AU117" s="114">
        <f ca="1">SUM(AU107:AU115)</f>
        <v>0</v>
      </c>
      <c r="AX117" s="85">
        <f>AX103</f>
        <v>0</v>
      </c>
      <c r="AY117" s="113">
        <f ca="1">SUM(AY107:AY115)</f>
        <v>0</v>
      </c>
      <c r="AZ117" s="113">
        <f ca="1">SUM(AZ107:AZ115)</f>
        <v>0</v>
      </c>
      <c r="BA117" s="113">
        <f ca="1">SUM(BA107:BA115)</f>
        <v>0</v>
      </c>
      <c r="BB117" s="113">
        <f ca="1">SUM(BB107:BB115)</f>
        <v>0</v>
      </c>
      <c r="BC117" s="114">
        <f ca="1">SUM(BC107:BC115)</f>
        <v>0</v>
      </c>
      <c r="BF117" s="85">
        <f>BF103</f>
        <v>0</v>
      </c>
      <c r="BG117" s="113">
        <f ca="1">SUM(BG107:BG115)</f>
        <v>0</v>
      </c>
      <c r="BH117" s="113">
        <f ca="1">SUM(BH107:BH115)</f>
        <v>0</v>
      </c>
      <c r="BI117" s="113">
        <f ca="1">SUM(BI107:BI115)</f>
        <v>0</v>
      </c>
      <c r="BJ117" s="113">
        <f ca="1">SUM(BJ107:BJ115)</f>
        <v>0</v>
      </c>
      <c r="BK117" s="114">
        <f ca="1">SUM(BK107:BK115)</f>
        <v>0</v>
      </c>
      <c r="BN117" s="85">
        <f>BN103</f>
        <v>0</v>
      </c>
      <c r="BO117" s="113">
        <f ca="1">SUM(BO107:BO115)</f>
        <v>0</v>
      </c>
      <c r="BP117" s="113">
        <f ca="1">SUM(BP107:BP115)</f>
        <v>0</v>
      </c>
      <c r="BQ117" s="113">
        <f ca="1">SUM(BQ107:BQ115)</f>
        <v>0</v>
      </c>
      <c r="BR117" s="113">
        <f ca="1">SUM(BR107:BR115)</f>
        <v>0</v>
      </c>
      <c r="BS117" s="114">
        <f ca="1">SUM(BS107:BS115)</f>
        <v>0</v>
      </c>
      <c r="BV117" s="85">
        <f>BV103</f>
        <v>0</v>
      </c>
      <c r="BW117" s="113">
        <f ca="1">SUM(BW107:BW115)</f>
        <v>0</v>
      </c>
      <c r="BX117" s="113">
        <f ca="1">SUM(BX107:BX115)</f>
        <v>0</v>
      </c>
      <c r="BY117" s="113">
        <f ca="1">SUM(BY107:BY115)</f>
        <v>0</v>
      </c>
      <c r="BZ117" s="113">
        <f ca="1">SUM(BZ107:BZ115)</f>
        <v>0</v>
      </c>
      <c r="CA117" s="114">
        <f ca="1">SUM(CA107:CA115)</f>
        <v>0</v>
      </c>
      <c r="CD117" s="85">
        <f>CD103</f>
        <v>0</v>
      </c>
      <c r="CE117" s="113">
        <f ca="1">SUM(CE107:CE115)</f>
        <v>0</v>
      </c>
      <c r="CF117" s="113">
        <f ca="1">SUM(CF107:CF115)</f>
        <v>0</v>
      </c>
      <c r="CG117" s="113">
        <f ca="1">SUM(CG107:CG115)</f>
        <v>0</v>
      </c>
      <c r="CH117" s="113">
        <f ca="1">SUM(CH107:CH115)</f>
        <v>0</v>
      </c>
      <c r="CI117" s="114">
        <f ca="1">SUM(CI107:CI115)</f>
        <v>0</v>
      </c>
      <c r="CL117" s="85">
        <f>CL103</f>
        <v>0</v>
      </c>
      <c r="CM117" s="113">
        <f ca="1">SUM(CM107:CM115)</f>
        <v>0</v>
      </c>
      <c r="CN117" s="113">
        <f ca="1">SUM(CN107:CN115)</f>
        <v>0</v>
      </c>
      <c r="CO117" s="113">
        <f ca="1">SUM(CO107:CO115)</f>
        <v>0</v>
      </c>
      <c r="CP117" s="113">
        <f ca="1">SUM(CP107:CP115)</f>
        <v>0</v>
      </c>
      <c r="CQ117" s="114">
        <f ca="1">SUM(CQ107:CQ115)</f>
        <v>0</v>
      </c>
      <c r="CT117" s="85">
        <f>CT103</f>
        <v>0</v>
      </c>
      <c r="CU117" s="113">
        <f ca="1">SUM(CU107:CU115)</f>
        <v>0</v>
      </c>
      <c r="CV117" s="113">
        <f ca="1">SUM(CV107:CV115)</f>
        <v>0</v>
      </c>
      <c r="CW117" s="113">
        <f ca="1">SUM(CW107:CW115)</f>
        <v>0</v>
      </c>
      <c r="CX117" s="113">
        <f ca="1">SUM(CX107:CX115)</f>
        <v>0</v>
      </c>
      <c r="CY117" s="114">
        <f ca="1">SUM(CY107:CY115)</f>
        <v>0</v>
      </c>
      <c r="DB117" s="85">
        <f>DB103</f>
        <v>0</v>
      </c>
      <c r="DC117" s="113">
        <f ca="1">SUM(DC107:DC115)</f>
        <v>0</v>
      </c>
      <c r="DD117" s="113">
        <f ca="1">SUM(DD107:DD115)</f>
        <v>0</v>
      </c>
      <c r="DE117" s="113">
        <f ca="1">SUM(DE107:DE115)</f>
        <v>0</v>
      </c>
      <c r="DF117" s="113">
        <f ca="1">SUM(DF107:DF115)</f>
        <v>0</v>
      </c>
      <c r="DG117" s="114">
        <f ca="1">SUM(DG107:DG115)</f>
        <v>0</v>
      </c>
    </row>
    <row r="118" spans="2:111" ht="15" thickBot="1">
      <c r="B118" s="83"/>
      <c r="C118" s="86"/>
      <c r="D118" s="86"/>
      <c r="E118" s="86"/>
      <c r="F118" s="86"/>
      <c r="G118" s="86"/>
      <c r="J118" s="83"/>
      <c r="K118" s="86"/>
      <c r="L118" s="86"/>
      <c r="M118" s="86"/>
      <c r="N118" s="86"/>
      <c r="O118" s="86"/>
      <c r="R118" s="83"/>
      <c r="S118" s="86"/>
      <c r="T118" s="86"/>
      <c r="U118" s="86"/>
      <c r="V118" s="86"/>
      <c r="W118" s="86"/>
      <c r="Z118" s="83"/>
      <c r="AA118" s="86"/>
      <c r="AB118" s="86"/>
      <c r="AC118" s="86"/>
      <c r="AD118" s="86"/>
      <c r="AE118" s="86"/>
      <c r="AH118" s="83"/>
      <c r="AI118" s="86"/>
      <c r="AJ118" s="86"/>
      <c r="AK118" s="86"/>
      <c r="AL118" s="86"/>
      <c r="AM118" s="86"/>
      <c r="AP118" s="83"/>
      <c r="AQ118" s="86"/>
      <c r="AR118" s="86"/>
      <c r="AS118" s="86"/>
      <c r="AT118" s="86"/>
      <c r="AU118" s="86"/>
      <c r="AX118" s="83"/>
      <c r="AY118" s="86"/>
      <c r="AZ118" s="86"/>
      <c r="BA118" s="86"/>
      <c r="BB118" s="86"/>
      <c r="BC118" s="86"/>
      <c r="BF118" s="83"/>
      <c r="BG118" s="86"/>
      <c r="BH118" s="86"/>
      <c r="BI118" s="86"/>
      <c r="BJ118" s="86"/>
      <c r="BK118" s="86"/>
      <c r="BN118" s="83"/>
      <c r="BO118" s="86"/>
      <c r="BP118" s="86"/>
      <c r="BQ118" s="86"/>
      <c r="BR118" s="86"/>
      <c r="BS118" s="86"/>
      <c r="BV118" s="83"/>
      <c r="BW118" s="86"/>
      <c r="BX118" s="86"/>
      <c r="BY118" s="86"/>
      <c r="BZ118" s="86"/>
      <c r="CA118" s="86"/>
      <c r="CD118" s="83"/>
      <c r="CE118" s="86"/>
      <c r="CF118" s="86"/>
      <c r="CG118" s="86"/>
      <c r="CH118" s="86"/>
      <c r="CI118" s="86"/>
      <c r="CL118" s="83"/>
      <c r="CM118" s="86"/>
      <c r="CN118" s="86"/>
      <c r="CO118" s="86"/>
      <c r="CP118" s="86"/>
      <c r="CQ118" s="86"/>
      <c r="CT118" s="83"/>
      <c r="CU118" s="86"/>
      <c r="CV118" s="86"/>
      <c r="CW118" s="86"/>
      <c r="CX118" s="86"/>
      <c r="CY118" s="86"/>
      <c r="DB118" s="83"/>
      <c r="DC118" s="86"/>
      <c r="DD118" s="86"/>
      <c r="DE118" s="86"/>
      <c r="DF118" s="86"/>
      <c r="DG118" s="86"/>
    </row>
    <row r="119" spans="2:111" ht="15" thickBot="1">
      <c r="B119" s="508" t="str">
        <f>B56</f>
        <v>Drug 2 only</v>
      </c>
      <c r="C119" s="506"/>
      <c r="D119" s="506"/>
      <c r="E119" s="506"/>
      <c r="F119" s="506"/>
      <c r="G119" s="507"/>
      <c r="J119" s="508" t="str">
        <f>J56</f>
        <v>Drug 2 only</v>
      </c>
      <c r="K119" s="506"/>
      <c r="L119" s="506"/>
      <c r="M119" s="506"/>
      <c r="N119" s="506"/>
      <c r="O119" s="507"/>
      <c r="R119" s="508" t="str">
        <f>R56</f>
        <v>Drug 2 only</v>
      </c>
      <c r="S119" s="506"/>
      <c r="T119" s="506"/>
      <c r="U119" s="506"/>
      <c r="V119" s="506"/>
      <c r="W119" s="507"/>
      <c r="Z119" s="508" t="str">
        <f>Z56</f>
        <v>Drug 2 only</v>
      </c>
      <c r="AA119" s="506"/>
      <c r="AB119" s="506"/>
      <c r="AC119" s="506"/>
      <c r="AD119" s="506"/>
      <c r="AE119" s="507"/>
      <c r="AH119" s="508" t="str">
        <f>AH56</f>
        <v>Drug 2 only</v>
      </c>
      <c r="AI119" s="506"/>
      <c r="AJ119" s="506"/>
      <c r="AK119" s="506"/>
      <c r="AL119" s="506"/>
      <c r="AM119" s="507"/>
      <c r="AP119" s="508" t="str">
        <f>AP56</f>
        <v>Drug 2 only</v>
      </c>
      <c r="AQ119" s="506"/>
      <c r="AR119" s="506"/>
      <c r="AS119" s="506"/>
      <c r="AT119" s="506"/>
      <c r="AU119" s="507"/>
      <c r="AX119" s="508" t="str">
        <f>AX56</f>
        <v>Drug 2 only</v>
      </c>
      <c r="AY119" s="506"/>
      <c r="AZ119" s="506"/>
      <c r="BA119" s="506"/>
      <c r="BB119" s="506"/>
      <c r="BC119" s="507"/>
      <c r="BF119" s="508" t="str">
        <f>BF56</f>
        <v>Drug 2 only</v>
      </c>
      <c r="BG119" s="506"/>
      <c r="BH119" s="506"/>
      <c r="BI119" s="506"/>
      <c r="BJ119" s="506"/>
      <c r="BK119" s="507"/>
      <c r="BN119" s="508" t="str">
        <f>BN56</f>
        <v>Drug 2 only</v>
      </c>
      <c r="BO119" s="506"/>
      <c r="BP119" s="506"/>
      <c r="BQ119" s="506"/>
      <c r="BR119" s="506"/>
      <c r="BS119" s="507"/>
      <c r="BV119" s="508" t="str">
        <f>BV56</f>
        <v>Drug 2 only</v>
      </c>
      <c r="BW119" s="506"/>
      <c r="BX119" s="506"/>
      <c r="BY119" s="506"/>
      <c r="BZ119" s="506"/>
      <c r="CA119" s="507"/>
      <c r="CD119" s="508" t="str">
        <f>CD56</f>
        <v>Drug 2 only</v>
      </c>
      <c r="CE119" s="506"/>
      <c r="CF119" s="506"/>
      <c r="CG119" s="506"/>
      <c r="CH119" s="506"/>
      <c r="CI119" s="507"/>
      <c r="CL119" s="508" t="str">
        <f>CL56</f>
        <v>Drug 2 only</v>
      </c>
      <c r="CM119" s="506"/>
      <c r="CN119" s="506"/>
      <c r="CO119" s="506"/>
      <c r="CP119" s="506"/>
      <c r="CQ119" s="507"/>
      <c r="CT119" s="508" t="str">
        <f>CT56</f>
        <v>Drug 2 only</v>
      </c>
      <c r="CU119" s="506"/>
      <c r="CV119" s="506"/>
      <c r="CW119" s="506"/>
      <c r="CX119" s="506"/>
      <c r="CY119" s="507"/>
      <c r="DB119" s="508" t="str">
        <f>DB56</f>
        <v>Drug 2 only</v>
      </c>
      <c r="DC119" s="506"/>
      <c r="DD119" s="506"/>
      <c r="DE119" s="506"/>
      <c r="DF119" s="506"/>
      <c r="DG119" s="507"/>
    </row>
    <row r="120" spans="2:111">
      <c r="B120" s="84"/>
      <c r="C120" s="101">
        <f>C57</f>
        <v>2026</v>
      </c>
      <c r="D120" s="101">
        <f t="shared" ref="D120:F120" si="300">D57</f>
        <v>2027</v>
      </c>
      <c r="E120" s="101">
        <f t="shared" si="300"/>
        <v>2028</v>
      </c>
      <c r="F120" s="101">
        <f t="shared" si="300"/>
        <v>2029</v>
      </c>
      <c r="G120" s="102">
        <f>G57</f>
        <v>2030</v>
      </c>
      <c r="J120" s="84"/>
      <c r="K120" s="101">
        <f>K57</f>
        <v>2026</v>
      </c>
      <c r="L120" s="101">
        <f t="shared" ref="L120:N120" si="301">L57</f>
        <v>2027</v>
      </c>
      <c r="M120" s="101">
        <f t="shared" si="301"/>
        <v>2028</v>
      </c>
      <c r="N120" s="101">
        <f t="shared" si="301"/>
        <v>2029</v>
      </c>
      <c r="O120" s="102">
        <f>O57</f>
        <v>2030</v>
      </c>
      <c r="R120" s="84"/>
      <c r="S120" s="101">
        <f>S57</f>
        <v>2026</v>
      </c>
      <c r="T120" s="101">
        <f t="shared" ref="T120:V120" si="302">T57</f>
        <v>2027</v>
      </c>
      <c r="U120" s="101">
        <f t="shared" si="302"/>
        <v>2028</v>
      </c>
      <c r="V120" s="101">
        <f t="shared" si="302"/>
        <v>2029</v>
      </c>
      <c r="W120" s="102">
        <f>W57</f>
        <v>2030</v>
      </c>
      <c r="Z120" s="84"/>
      <c r="AA120" s="101">
        <f>AA57</f>
        <v>2026</v>
      </c>
      <c r="AB120" s="101">
        <f t="shared" ref="AB120:AD120" si="303">AB57</f>
        <v>2027</v>
      </c>
      <c r="AC120" s="101">
        <f t="shared" si="303"/>
        <v>2028</v>
      </c>
      <c r="AD120" s="101">
        <f t="shared" si="303"/>
        <v>2029</v>
      </c>
      <c r="AE120" s="102">
        <f>AE57</f>
        <v>2030</v>
      </c>
      <c r="AH120" s="84"/>
      <c r="AI120" s="101">
        <f>AI57</f>
        <v>2026</v>
      </c>
      <c r="AJ120" s="101">
        <f t="shared" ref="AJ120:AL120" si="304">AJ57</f>
        <v>2027</v>
      </c>
      <c r="AK120" s="101">
        <f t="shared" si="304"/>
        <v>2028</v>
      </c>
      <c r="AL120" s="101">
        <f t="shared" si="304"/>
        <v>2029</v>
      </c>
      <c r="AM120" s="102">
        <f>AM57</f>
        <v>2030</v>
      </c>
      <c r="AP120" s="84"/>
      <c r="AQ120" s="101">
        <f>AQ57</f>
        <v>2026</v>
      </c>
      <c r="AR120" s="101">
        <f t="shared" ref="AR120:AT120" si="305">AR57</f>
        <v>2027</v>
      </c>
      <c r="AS120" s="101">
        <f t="shared" si="305"/>
        <v>2028</v>
      </c>
      <c r="AT120" s="101">
        <f t="shared" si="305"/>
        <v>2029</v>
      </c>
      <c r="AU120" s="102">
        <f>AU57</f>
        <v>2030</v>
      </c>
      <c r="AX120" s="84"/>
      <c r="AY120" s="101">
        <f>AY57</f>
        <v>2026</v>
      </c>
      <c r="AZ120" s="101">
        <f t="shared" ref="AZ120:BB120" si="306">AZ57</f>
        <v>2027</v>
      </c>
      <c r="BA120" s="101">
        <f t="shared" si="306"/>
        <v>2028</v>
      </c>
      <c r="BB120" s="101">
        <f t="shared" si="306"/>
        <v>2029</v>
      </c>
      <c r="BC120" s="102">
        <f>BC57</f>
        <v>2030</v>
      </c>
      <c r="BF120" s="84"/>
      <c r="BG120" s="101">
        <f>BG57</f>
        <v>2026</v>
      </c>
      <c r="BH120" s="101">
        <f t="shared" ref="BH120:BJ120" si="307">BH57</f>
        <v>2027</v>
      </c>
      <c r="BI120" s="101">
        <f t="shared" si="307"/>
        <v>2028</v>
      </c>
      <c r="BJ120" s="101">
        <f t="shared" si="307"/>
        <v>2029</v>
      </c>
      <c r="BK120" s="102">
        <f>BK57</f>
        <v>2030</v>
      </c>
      <c r="BN120" s="84"/>
      <c r="BO120" s="101">
        <f>BO57</f>
        <v>2026</v>
      </c>
      <c r="BP120" s="101">
        <f t="shared" ref="BP120:BR120" si="308">BP57</f>
        <v>2027</v>
      </c>
      <c r="BQ120" s="101">
        <f t="shared" si="308"/>
        <v>2028</v>
      </c>
      <c r="BR120" s="101">
        <f t="shared" si="308"/>
        <v>2029</v>
      </c>
      <c r="BS120" s="102">
        <f>BS57</f>
        <v>2030</v>
      </c>
      <c r="BV120" s="84"/>
      <c r="BW120" s="101">
        <f>BW57</f>
        <v>2026</v>
      </c>
      <c r="BX120" s="101">
        <f t="shared" ref="BX120:BZ120" si="309">BX57</f>
        <v>2027</v>
      </c>
      <c r="BY120" s="101">
        <f t="shared" si="309"/>
        <v>2028</v>
      </c>
      <c r="BZ120" s="101">
        <f t="shared" si="309"/>
        <v>2029</v>
      </c>
      <c r="CA120" s="102">
        <f>CA57</f>
        <v>2030</v>
      </c>
      <c r="CD120" s="84"/>
      <c r="CE120" s="101">
        <f>CE57</f>
        <v>2026</v>
      </c>
      <c r="CF120" s="101">
        <f t="shared" ref="CF120:CH120" si="310">CF57</f>
        <v>2027</v>
      </c>
      <c r="CG120" s="101">
        <f t="shared" si="310"/>
        <v>2028</v>
      </c>
      <c r="CH120" s="101">
        <f t="shared" si="310"/>
        <v>2029</v>
      </c>
      <c r="CI120" s="102">
        <f>CI57</f>
        <v>2030</v>
      </c>
      <c r="CL120" s="84"/>
      <c r="CM120" s="101">
        <f>CM57</f>
        <v>2026</v>
      </c>
      <c r="CN120" s="101">
        <f t="shared" ref="CN120:CP120" si="311">CN57</f>
        <v>2027</v>
      </c>
      <c r="CO120" s="101">
        <f t="shared" si="311"/>
        <v>2028</v>
      </c>
      <c r="CP120" s="101">
        <f t="shared" si="311"/>
        <v>2029</v>
      </c>
      <c r="CQ120" s="102">
        <f>CQ57</f>
        <v>2030</v>
      </c>
      <c r="CT120" s="84"/>
      <c r="CU120" s="101">
        <f>CU57</f>
        <v>2026</v>
      </c>
      <c r="CV120" s="101">
        <f t="shared" ref="CV120:CX120" si="312">CV57</f>
        <v>2027</v>
      </c>
      <c r="CW120" s="101">
        <f t="shared" si="312"/>
        <v>2028</v>
      </c>
      <c r="CX120" s="101">
        <f t="shared" si="312"/>
        <v>2029</v>
      </c>
      <c r="CY120" s="102">
        <f>CY57</f>
        <v>2030</v>
      </c>
      <c r="DB120" s="84"/>
      <c r="DC120" s="101">
        <f>DC57</f>
        <v>2026</v>
      </c>
      <c r="DD120" s="101">
        <f t="shared" ref="DD120:DF120" si="313">DD57</f>
        <v>2027</v>
      </c>
      <c r="DE120" s="101">
        <f t="shared" si="313"/>
        <v>2028</v>
      </c>
      <c r="DF120" s="101">
        <f t="shared" si="313"/>
        <v>2029</v>
      </c>
      <c r="DG120" s="102">
        <f>DG57</f>
        <v>2030</v>
      </c>
    </row>
    <row r="121" spans="2:111">
      <c r="B121" s="87" t="s">
        <v>170</v>
      </c>
      <c r="C121" s="109">
        <f ca="1">(C58*c_inicial)+(C58*c_on*12)+(C58*ci_int1)+(C58*(ct_int1+ca_int1)*'Time on treatment'!$D$12)</f>
        <v>0</v>
      </c>
      <c r="D121" s="109">
        <f ca="1">(D58*c_on*12)+(D58*(ct_int1+ca_int1)*'Time on treatment'!$E$12)</f>
        <v>0</v>
      </c>
      <c r="E121" s="109">
        <f ca="1">(E58*c_on*12)+(E58*(ct_int1+ca_int1)*'Time on treatment'!$F$12)</f>
        <v>0</v>
      </c>
      <c r="F121" s="109">
        <f ca="1">(F58*c_on*12)+(F58*(ct_int1+ca_int1)*'Time on treatment'!$G$12)</f>
        <v>0</v>
      </c>
      <c r="G121" s="110">
        <f ca="1">(G58*c_on*12)+(G58*(ct_int1+ca_int1)*'Time on treatment'!$H$12)</f>
        <v>0</v>
      </c>
      <c r="J121" s="87" t="s">
        <v>170</v>
      </c>
      <c r="K121" s="109">
        <f ca="1">(K58*c_inicial)+(K58*c_on*12)+(K58*ci_int2)+(K58*(ct_int2+ca_int2)*'Time on treatment'!$D$13)</f>
        <v>453684.21703548008</v>
      </c>
      <c r="L121" s="109">
        <f ca="1">(L58*c_on*12)+(L58*(ct_int2+ca_int2)*'Time on treatment'!$E$13)</f>
        <v>421786.5833777904</v>
      </c>
      <c r="M121" s="109">
        <f ca="1">(M58*c_on*12)+(M58*(ct_int2+ca_int2)*'Time on treatment'!$F$13)</f>
        <v>413178.69392110087</v>
      </c>
      <c r="N121" s="109">
        <f ca="1">(N58*c_on*12)+(N58*(ct_int2+ca_int2)*'Time on treatment'!$G$13)</f>
        <v>395962.91500772169</v>
      </c>
      <c r="O121" s="110">
        <f ca="1">(O58*c_on*12)+(O58*(ct_int2+ca_int2)*'Time on treatment'!$H$13)</f>
        <v>387355.02555103198</v>
      </c>
      <c r="R121" s="87" t="s">
        <v>170</v>
      </c>
      <c r="S121" s="109">
        <f ca="1">(S58*c_inicial)+(S58*c_on*12)+(S58*ci_int3)+(S58*(ct_int3+ca_int3)*'Time on treatment'!$D$14)</f>
        <v>0</v>
      </c>
      <c r="T121" s="109">
        <f ca="1">(T58*c_on*12)+(T58*(ct_int3+ca_int3)*'Time on treatment'!$E$14)</f>
        <v>0</v>
      </c>
      <c r="U121" s="109">
        <f ca="1">(U58*c_on*12)+(U58*(ct_int3+ca_int3)*'Time on treatment'!$F$14)</f>
        <v>0</v>
      </c>
      <c r="V121" s="109">
        <f ca="1">(V58*c_on*12)+(V58*(ct_int3+ca_int3)*'Time on treatment'!$G$14)</f>
        <v>0</v>
      </c>
      <c r="W121" s="110">
        <f ca="1">(W58*c_on*12)+(W58*(ct_int3+ca_int3)*'Time on treatment'!$H$14)</f>
        <v>0</v>
      </c>
      <c r="Z121" s="87" t="s">
        <v>170</v>
      </c>
      <c r="AA121" s="109">
        <f ca="1">(AA58*c_inicial)+(AA58*c_on*12)+(AA58*ci_int4)+(AA58*(ct_int4+ca_int4)*'Time on treatment'!$D$15)</f>
        <v>0</v>
      </c>
      <c r="AB121" s="109">
        <f ca="1">(AB58*c_on*12)+(AB58*(ct_int4+ca_int4)*'Time on treatment'!$E$15)</f>
        <v>0</v>
      </c>
      <c r="AC121" s="109">
        <f ca="1">(AC58*c_on*12)+(AC58*(ct_int4+ca_int4)*'Time on treatment'!$F$15)</f>
        <v>0</v>
      </c>
      <c r="AD121" s="109">
        <f ca="1">(AD58*c_on*12)+(AD58*(ct_int4+ca_int4)*'Time on treatment'!$G$15)</f>
        <v>0</v>
      </c>
      <c r="AE121" s="110">
        <f ca="1">(AE58*c_on*12)+(AE58*(ct_int4+ca_int4)*'Time on treatment'!$H$15)</f>
        <v>0</v>
      </c>
      <c r="AH121" s="87" t="s">
        <v>170</v>
      </c>
      <c r="AI121" s="109">
        <f ca="1">(AI58*c_inicial)+(AI58*c_on*12)+(AI58*ci_comp1)+(AI58*(ct_comp1+ca_comp1)*'Time on treatment'!$D$19)</f>
        <v>8011206.2102599796</v>
      </c>
      <c r="AJ121" s="109">
        <f ca="1">(AJ58*c_on*12)+(AJ58*(ct_comp1+ca_comp1)*'Time on treatment'!$E$19)</f>
        <v>7004267.2698049797</v>
      </c>
      <c r="AK121" s="109">
        <f ca="1">(AK58*c_on*12)+(AK58*(ct_comp1+ca_comp1)*'Time on treatment'!$F$19)</f>
        <v>7004267.2698049797</v>
      </c>
      <c r="AL121" s="109">
        <f ca="1">(AL58*c_on*12)+(AL58*(ct_comp1+ca_comp1)*'Time on treatment'!$G$19)</f>
        <v>7004267.2698049797</v>
      </c>
      <c r="AM121" s="110">
        <f ca="1">(AM58*c_on*12)+(AM58*(ct_comp1+ca_comp1)*'Time on treatment'!$H$19)</f>
        <v>7004267.2698049797</v>
      </c>
      <c r="AP121" s="87" t="s">
        <v>170</v>
      </c>
      <c r="AQ121" s="109">
        <f ca="1">(AQ58*c_inicial)+(AQ58*c_on*12)+(AQ58*ci_comp2)+(AQ58*(ct_comp2+ca_comp2)*'Time on treatment'!$D$20)</f>
        <v>0</v>
      </c>
      <c r="AR121" s="109">
        <f ca="1">(AR58*c_on*12)+(AR58*(ct_comp2+ca_comp2)*'Time on treatment'!$E$20)</f>
        <v>0</v>
      </c>
      <c r="AS121" s="109">
        <f ca="1">(AS58*c_on*12)+(AS58*(ct_comp2+ca_comp2)*'Time on treatment'!$F$20)</f>
        <v>0</v>
      </c>
      <c r="AT121" s="109">
        <f ca="1">(AT58*c_on*12)+(AT58*(ct_comp2+ca_comp2)*'Time on treatment'!$G$20)</f>
        <v>0</v>
      </c>
      <c r="AU121" s="110">
        <f ca="1">(AU58*c_on*12)+(AU58*(ct_comp2+ca_comp2)*'Time on treatment'!$H$20)</f>
        <v>0</v>
      </c>
      <c r="AX121" s="87" t="s">
        <v>170</v>
      </c>
      <c r="AY121" s="109">
        <f ca="1">(AY58*c_inicial)+(AY58*c_on*12)+(AY58*ci_comp3)+(AY58*(ct_comp3+ca_comp3)*'Time on treatment'!$D$21)</f>
        <v>0</v>
      </c>
      <c r="AZ121" s="109">
        <f ca="1">(AZ58*c_on*12)+(AZ58*(ct_comp3+ca_comp3)*'Time on treatment'!$E$21)</f>
        <v>0</v>
      </c>
      <c r="BA121" s="109">
        <f ca="1">(BA58*c_on*12)+(BA58*(ct_comp3+ca_comp3)*'Time on treatment'!$F$21)</f>
        <v>0</v>
      </c>
      <c r="BB121" s="109">
        <f ca="1">(BB58*c_on*12)+(BB58*(ct_comp3+ca_comp3)*'Time on treatment'!$G$21)</f>
        <v>0</v>
      </c>
      <c r="BC121" s="110">
        <f ca="1">(BC58*c_on*12)+(BC58*(ct_comp3+ca_comp3)*'Time on treatment'!$H$21)</f>
        <v>0</v>
      </c>
      <c r="BF121" s="87" t="s">
        <v>170</v>
      </c>
      <c r="BG121" s="109">
        <f ca="1">(BG58*c_inicial)+(BG58*c_on*12)+(BG58*ci_comp4)+(BG58*(ct_comp4+ca_comp4)*'Time on treatment'!$D$22)</f>
        <v>0</v>
      </c>
      <c r="BH121" s="109">
        <f ca="1">(BH58*c_on*12)+(BH58*(ct_comp4+ca_comp4)*'Time on treatment'!$E$22)</f>
        <v>0</v>
      </c>
      <c r="BI121" s="109">
        <f ca="1">(BI58*c_on*12)+(BI58*(ct_comp4+ca_comp4)*'Time on treatment'!$F$22)</f>
        <v>0</v>
      </c>
      <c r="BJ121" s="109">
        <f ca="1">(BJ58*c_on*12)+(BJ58*(ct_comp4+ca_comp4)*'Time on treatment'!$G$22)</f>
        <v>0</v>
      </c>
      <c r="BK121" s="110">
        <f ca="1">(BK58*c_on*12)+(BK58*(ct_comp4+ca_comp4)*'Time on treatment'!$H$22)</f>
        <v>0</v>
      </c>
      <c r="BN121" s="87" t="s">
        <v>170</v>
      </c>
      <c r="BO121" s="109">
        <f ca="1">(BO58*c_inicial)+(BO58*c_on*12)+(BO58*ci_comp5)+(BO58*(ct_comp5+ca_comp5)*'Time on treatment'!$D$23)</f>
        <v>0</v>
      </c>
      <c r="BP121" s="109">
        <f ca="1">(BP58*c_on*12)+(BP58*(ct_comp5+ca_comp5)*'Time on treatment'!$E$23)</f>
        <v>0</v>
      </c>
      <c r="BQ121" s="109">
        <f ca="1">(BQ58*c_on*12)+(BQ58*(ct_comp5+ca_comp5)*'Time on treatment'!$F$23)</f>
        <v>0</v>
      </c>
      <c r="BR121" s="109">
        <f ca="1">(BR58*c_on*12)+(BR58*(ct_comp5+ca_comp5)*'Time on treatment'!$G$23)</f>
        <v>0</v>
      </c>
      <c r="BS121" s="110">
        <f ca="1">(BS58*c_on*12)+(BS58*(ct_comp5+ca_comp5)*'Time on treatment'!$H$23)</f>
        <v>0</v>
      </c>
      <c r="BV121" s="87" t="s">
        <v>170</v>
      </c>
      <c r="BW121" s="109">
        <f ca="1">(BW58*c_inicial)+(BW58*c_on*12)+(BW58*ci_comp6)+(BW58*(ct_comp6+ca_comp6)*'Time on treatment'!$D$24)</f>
        <v>0</v>
      </c>
      <c r="BX121" s="109">
        <f ca="1">(BX58*c_on*12)+(BX58*(ct_comp6+ca_comp6)*'Time on treatment'!$E$24)</f>
        <v>0</v>
      </c>
      <c r="BY121" s="109">
        <f ca="1">(BY58*c_on*12)+(BY58*(ct_comp6+ca_comp6)*'Time on treatment'!$F$24)</f>
        <v>0</v>
      </c>
      <c r="BZ121" s="109">
        <f ca="1">(BZ58*c_on*12)+(BZ58*(ct_comp6+ca_comp6)*'Time on treatment'!$G$24)</f>
        <v>0</v>
      </c>
      <c r="CA121" s="110">
        <f ca="1">(CA58*c_on*12)+(CA58*(ct_comp6+ca_comp6)*'Time on treatment'!$H$24)</f>
        <v>0</v>
      </c>
      <c r="CD121" s="87" t="s">
        <v>170</v>
      </c>
      <c r="CE121" s="109">
        <f ca="1">(CE58*c_inicial)+(CE58*c_on*12)+(CE58*ci_comp7)+(CE58*(ct_comp7+ca_comp7)*'Time on treatment'!$D$25)</f>
        <v>0</v>
      </c>
      <c r="CF121" s="109">
        <f ca="1">(CF58*c_on*12)+(CF58*(ct_comp7+ca_comp7)*'Time on treatment'!$E$25)</f>
        <v>0</v>
      </c>
      <c r="CG121" s="109">
        <f ca="1">(CG58*c_on*12)+(CG58*(ct_comp7+ca_comp7)*'Time on treatment'!$F$25)</f>
        <v>0</v>
      </c>
      <c r="CH121" s="109">
        <f ca="1">(CH58*c_on*12)+(CH58*(ct_comp7+ca_comp7)*'Time on treatment'!$G$25)</f>
        <v>0</v>
      </c>
      <c r="CI121" s="110">
        <f ca="1">(CI58*c_on*12)+(CI58*(ct_comp7+ca_comp7)*'Time on treatment'!$H$25)</f>
        <v>0</v>
      </c>
      <c r="CL121" s="87" t="s">
        <v>170</v>
      </c>
      <c r="CM121" s="109">
        <f ca="1">(CM58*c_inicial)+(CM58*c_on*12)+(CM58*ci_comp8)+(CM58*(ct_comp8+ca_comp8)*'Time on treatment'!$D$26)</f>
        <v>0</v>
      </c>
      <c r="CN121" s="109">
        <f ca="1">(CN58*c_on*12)+(CN58*(ct_comp8+ca_comp8)*'Time on treatment'!$E$26)</f>
        <v>0</v>
      </c>
      <c r="CO121" s="109">
        <f ca="1">(CO58*c_on*12)+(CO58*(ct_comp8+ca_comp8)*'Time on treatment'!$F$26)</f>
        <v>0</v>
      </c>
      <c r="CP121" s="109">
        <f ca="1">(CP58*c_on*12)+(CP58*(ct_comp8+ca_comp8)*'Time on treatment'!$G$26)</f>
        <v>0</v>
      </c>
      <c r="CQ121" s="110">
        <f ca="1">(CQ58*c_on*12)+(CQ58*(ct_comp8+ca_comp8)*'Time on treatment'!$H$26)</f>
        <v>0</v>
      </c>
      <c r="CT121" s="87" t="s">
        <v>170</v>
      </c>
      <c r="CU121" s="109">
        <f ca="1">(CU58*c_inicial)+(CU58*c_on*12)+(CU58*ci_comp9)+(CU58*(ct_comp9+ca_comp9)*'Time on treatment'!$D$27)</f>
        <v>0</v>
      </c>
      <c r="CV121" s="109">
        <f ca="1">(CV58*c_on*12)+(CV58*(ct_comp9+ca_comp9)*'Time on treatment'!$E$27)</f>
        <v>0</v>
      </c>
      <c r="CW121" s="109">
        <f ca="1">(CW58*c_on*12)+(CW58*(ct_comp9+ca_comp9)*'Time on treatment'!$F$27)</f>
        <v>0</v>
      </c>
      <c r="CX121" s="109">
        <f ca="1">(CX58*c_on*12)+(CX58*(ct_comp9+ca_comp9)*'Time on treatment'!$G$27)</f>
        <v>0</v>
      </c>
      <c r="CY121" s="110">
        <f ca="1">(CY58*c_on*12)+(CY58*(ct_comp9+ca_comp9)*'Time on treatment'!$H$27)</f>
        <v>0</v>
      </c>
      <c r="DB121" s="87" t="s">
        <v>170</v>
      </c>
      <c r="DC121" s="109">
        <f ca="1">(DC58*c_inicial)+(DC58*c_on*12)+(DC58*ci_comp10)+(DC58*(ct_comp10+ca_comp10)*'Time on treatment'!$D$28)</f>
        <v>0</v>
      </c>
      <c r="DD121" s="109">
        <f ca="1">(DD58*c_on*12)+(DD58*(ct_comp10+ca_comp10)*'Time on treatment'!$E$28)</f>
        <v>0</v>
      </c>
      <c r="DE121" s="109">
        <f ca="1">(DE58*c_on*12)+(DE58*(ct_comp10+ca_comp10)*'Time on treatment'!$F$28)</f>
        <v>0</v>
      </c>
      <c r="DF121" s="109">
        <f ca="1">(DF58*c_on*12)+(DF58*(ct_comp10+ca_comp10)*'Time on treatment'!$G$28)</f>
        <v>0</v>
      </c>
      <c r="DG121" s="110">
        <f ca="1">(DG58*c_on*12)+(DG58*(ct_comp10+ca_comp10)*'Time on treatment'!$H$28)</f>
        <v>0</v>
      </c>
    </row>
    <row r="122" spans="2:111">
      <c r="B122" s="87" t="s">
        <v>175</v>
      </c>
      <c r="C122" s="109">
        <f>C59*c_off</f>
        <v>0</v>
      </c>
      <c r="D122" s="109">
        <f>D59*c_off</f>
        <v>0</v>
      </c>
      <c r="E122" s="109">
        <f>E59*c_off</f>
        <v>0</v>
      </c>
      <c r="F122" s="109">
        <f>F59*c_off</f>
        <v>0</v>
      </c>
      <c r="G122" s="110">
        <f>G59*c_off</f>
        <v>0</v>
      </c>
      <c r="J122" s="87" t="s">
        <v>175</v>
      </c>
      <c r="K122" s="109">
        <f>K59*c_off</f>
        <v>0</v>
      </c>
      <c r="L122" s="109">
        <f>L59*c_off</f>
        <v>15.617828464200059</v>
      </c>
      <c r="M122" s="109">
        <f>M59*c_off</f>
        <v>23.426742696299979</v>
      </c>
      <c r="N122" s="109">
        <f>N59*c_off</f>
        <v>46.853485392599957</v>
      </c>
      <c r="O122" s="110">
        <f>O59*c_off</f>
        <v>54.662399624700015</v>
      </c>
      <c r="R122" s="87" t="s">
        <v>175</v>
      </c>
      <c r="S122" s="109">
        <f>S59*c_off</f>
        <v>0</v>
      </c>
      <c r="T122" s="109">
        <f>T59*c_off</f>
        <v>0</v>
      </c>
      <c r="U122" s="109">
        <f>U59*c_off</f>
        <v>0</v>
      </c>
      <c r="V122" s="109">
        <f>V59*c_off</f>
        <v>0</v>
      </c>
      <c r="W122" s="110">
        <f>W59*c_off</f>
        <v>0</v>
      </c>
      <c r="Z122" s="87" t="s">
        <v>175</v>
      </c>
      <c r="AA122" s="109">
        <f>AA59*c_off</f>
        <v>0</v>
      </c>
      <c r="AB122" s="109">
        <f>AB59*c_off</f>
        <v>0</v>
      </c>
      <c r="AC122" s="109">
        <f>AC59*c_off</f>
        <v>0</v>
      </c>
      <c r="AD122" s="109">
        <f>AD59*c_off</f>
        <v>0</v>
      </c>
      <c r="AE122" s="110">
        <f>AE59*c_off</f>
        <v>0</v>
      </c>
      <c r="AH122" s="87" t="s">
        <v>175</v>
      </c>
      <c r="AI122" s="109">
        <f>AI59*c_off</f>
        <v>0</v>
      </c>
      <c r="AJ122" s="109">
        <f>AJ59*c_off</f>
        <v>0</v>
      </c>
      <c r="AK122" s="109">
        <f>AK59*c_off</f>
        <v>0</v>
      </c>
      <c r="AL122" s="109">
        <f>AL59*c_off</f>
        <v>0</v>
      </c>
      <c r="AM122" s="110">
        <f>AM59*c_off</f>
        <v>0</v>
      </c>
      <c r="AP122" s="87" t="s">
        <v>175</v>
      </c>
      <c r="AQ122" s="109">
        <f>AQ59*c_off</f>
        <v>0</v>
      </c>
      <c r="AR122" s="109">
        <f>AR59*c_off</f>
        <v>0</v>
      </c>
      <c r="AS122" s="109">
        <f>AS59*c_off</f>
        <v>0</v>
      </c>
      <c r="AT122" s="109">
        <f>AT59*c_off</f>
        <v>0</v>
      </c>
      <c r="AU122" s="110">
        <f>AU59*c_off</f>
        <v>0</v>
      </c>
      <c r="AX122" s="87" t="s">
        <v>175</v>
      </c>
      <c r="AY122" s="109">
        <f>AY59*c_off</f>
        <v>0</v>
      </c>
      <c r="AZ122" s="109">
        <f>AZ59*c_off</f>
        <v>0</v>
      </c>
      <c r="BA122" s="109">
        <f>BA59*c_off</f>
        <v>0</v>
      </c>
      <c r="BB122" s="109">
        <f>BB59*c_off</f>
        <v>0</v>
      </c>
      <c r="BC122" s="110">
        <f>BC59*c_off</f>
        <v>0</v>
      </c>
      <c r="BF122" s="87" t="s">
        <v>175</v>
      </c>
      <c r="BG122" s="109">
        <f>BG59*c_off</f>
        <v>0</v>
      </c>
      <c r="BH122" s="109">
        <f>BH59*c_off</f>
        <v>0</v>
      </c>
      <c r="BI122" s="109">
        <f>BI59*c_off</f>
        <v>0</v>
      </c>
      <c r="BJ122" s="109">
        <f>BJ59*c_off</f>
        <v>0</v>
      </c>
      <c r="BK122" s="110">
        <f>BK59*c_off</f>
        <v>0</v>
      </c>
      <c r="BN122" s="87" t="s">
        <v>175</v>
      </c>
      <c r="BO122" s="109">
        <f>BO59*c_off</f>
        <v>0</v>
      </c>
      <c r="BP122" s="109">
        <f>BP59*c_off</f>
        <v>0</v>
      </c>
      <c r="BQ122" s="109">
        <f>BQ59*c_off</f>
        <v>0</v>
      </c>
      <c r="BR122" s="109">
        <f>BR59*c_off</f>
        <v>0</v>
      </c>
      <c r="BS122" s="110">
        <f>BS59*c_off</f>
        <v>0</v>
      </c>
      <c r="BV122" s="87" t="s">
        <v>175</v>
      </c>
      <c r="BW122" s="109">
        <f>BW59*c_off</f>
        <v>0</v>
      </c>
      <c r="BX122" s="109">
        <f>BX59*c_off</f>
        <v>0</v>
      </c>
      <c r="BY122" s="109">
        <f>BY59*c_off</f>
        <v>0</v>
      </c>
      <c r="BZ122" s="109">
        <f>BZ59*c_off</f>
        <v>0</v>
      </c>
      <c r="CA122" s="110">
        <f>CA59*c_off</f>
        <v>0</v>
      </c>
      <c r="CD122" s="87" t="s">
        <v>175</v>
      </c>
      <c r="CE122" s="109">
        <f>CE59*c_off</f>
        <v>0</v>
      </c>
      <c r="CF122" s="109">
        <f>CF59*c_off</f>
        <v>0</v>
      </c>
      <c r="CG122" s="109">
        <f>CG59*c_off</f>
        <v>0</v>
      </c>
      <c r="CH122" s="109">
        <f>CH59*c_off</f>
        <v>0</v>
      </c>
      <c r="CI122" s="110">
        <f>CI59*c_off</f>
        <v>0</v>
      </c>
      <c r="CL122" s="87" t="s">
        <v>175</v>
      </c>
      <c r="CM122" s="109">
        <f>CM59*c_off</f>
        <v>0</v>
      </c>
      <c r="CN122" s="109">
        <f>CN59*c_off</f>
        <v>0</v>
      </c>
      <c r="CO122" s="109">
        <f>CO59*c_off</f>
        <v>0</v>
      </c>
      <c r="CP122" s="109">
        <f>CP59*c_off</f>
        <v>0</v>
      </c>
      <c r="CQ122" s="110">
        <f>CQ59*c_off</f>
        <v>0</v>
      </c>
      <c r="CT122" s="87" t="s">
        <v>175</v>
      </c>
      <c r="CU122" s="109">
        <f>CU59*c_off</f>
        <v>0</v>
      </c>
      <c r="CV122" s="109">
        <f>CV59*c_off</f>
        <v>0</v>
      </c>
      <c r="CW122" s="109">
        <f>CW59*c_off</f>
        <v>0</v>
      </c>
      <c r="CX122" s="109">
        <f>CX59*c_off</f>
        <v>0</v>
      </c>
      <c r="CY122" s="110">
        <f>CY59*c_off</f>
        <v>0</v>
      </c>
      <c r="DB122" s="87" t="s">
        <v>175</v>
      </c>
      <c r="DC122" s="109">
        <f>DC59*c_off</f>
        <v>0</v>
      </c>
      <c r="DD122" s="109">
        <f>DD59*c_off</f>
        <v>0</v>
      </c>
      <c r="DE122" s="109">
        <f>DE59*c_off</f>
        <v>0</v>
      </c>
      <c r="DF122" s="109">
        <f>DF59*c_off</f>
        <v>0</v>
      </c>
      <c r="DG122" s="110">
        <f>DG59*c_off</f>
        <v>0</v>
      </c>
    </row>
    <row r="123" spans="2:111">
      <c r="B123" s="87" t="s">
        <v>171</v>
      </c>
      <c r="C123" s="111"/>
      <c r="D123" s="109">
        <f ca="1">(D60*c_inicial)+(D60*c_on*12)+(D60*ci_int1)+(D60*(ct_int1+ca_int1)*'Time on treatment'!$D$12)</f>
        <v>0</v>
      </c>
      <c r="E123" s="109">
        <f ca="1">(E60*c_on*12)+(E60*(ct_int1+ca_int1)*'Time on treatment'!$E$12)</f>
        <v>0</v>
      </c>
      <c r="F123" s="109">
        <f ca="1">(F60*c_on*12)+(F60*(ct_int1+ca_int1)*'Time on treatment'!$F$12)</f>
        <v>0</v>
      </c>
      <c r="G123" s="110">
        <f ca="1">(G60*c_on*12)+(G60*(ct_int1+ca_int1)*'Time on treatment'!$G$12)</f>
        <v>0</v>
      </c>
      <c r="J123" s="87" t="s">
        <v>171</v>
      </c>
      <c r="K123" s="111"/>
      <c r="L123" s="109">
        <f ca="1">(L60*c_inicial)+(L60*c_on*12)+(L60*ci_int2)+(L60*(ct_int2+ca_int2)*'Time on treatment'!$D$13)</f>
        <v>1828988.309931</v>
      </c>
      <c r="M123" s="109">
        <f ca="1">(M60*c_on*12)+(M60*(ct_int2+ca_int2)*'Time on treatment'!$E$13)</f>
        <v>1700395.78481388</v>
      </c>
      <c r="N123" s="109">
        <f ca="1">(N60*c_on*12)+(N60*(ct_int2+ca_int2)*'Time on treatment'!$F$13)</f>
        <v>1665693.8300217602</v>
      </c>
      <c r="O123" s="110">
        <f ca="1">(O60*c_on*12)+(O60*(ct_int2+ca_int2)*'Time on treatment'!$G$13)</f>
        <v>1596289.9204375204</v>
      </c>
      <c r="R123" s="87" t="s">
        <v>171</v>
      </c>
      <c r="S123" s="111"/>
      <c r="T123" s="109">
        <f ca="1">(T60*c_inicial)+(T60*c_on*12)+(T60*ci_int3)+(T60*(ct_int3+ca_int3)*'Time on treatment'!$D$14)</f>
        <v>0</v>
      </c>
      <c r="U123" s="109">
        <f ca="1">(U60*c_on*12)+(U60*(ct_int3+ca_int3)*'Time on treatment'!$E$14)</f>
        <v>0</v>
      </c>
      <c r="V123" s="109">
        <f ca="1">(V60*c_on*12)+(V60*(ct_int3+ca_int3)*'Time on treatment'!$F$14)</f>
        <v>0</v>
      </c>
      <c r="W123" s="110">
        <f ca="1">(W60*c_on*12)+(W60*(ct_int3+ca_int3)*'Time on treatment'!$G$14)</f>
        <v>0</v>
      </c>
      <c r="Z123" s="87" t="s">
        <v>171</v>
      </c>
      <c r="AA123" s="111"/>
      <c r="AB123" s="109">
        <f ca="1">(AB60*c_inicial)+(AB60*c_on*12)+(AB60*ci_int4)+(AB60*(ct_int4+ca_int4)*'Time on treatment'!$D$15)</f>
        <v>0</v>
      </c>
      <c r="AC123" s="109">
        <f ca="1">(AC60*c_on*12)+(AC60*(ct_int4+ca_int4)*'Time on treatment'!$E$15)</f>
        <v>0</v>
      </c>
      <c r="AD123" s="109">
        <f ca="1">(AD60*c_on*12)+(AD60*(ct_int4+ca_int4)*'Time on treatment'!$F$15)</f>
        <v>0</v>
      </c>
      <c r="AE123" s="110">
        <f ca="1">(AE60*c_on*12)+(AE60*(ct_int4+ca_int4)*'Time on treatment'!$G$15)</f>
        <v>0</v>
      </c>
      <c r="AH123" s="87" t="s">
        <v>171</v>
      </c>
      <c r="AI123" s="111"/>
      <c r="AJ123" s="109">
        <f ca="1">(AJ60*c_inicial)+(AJ60*c_on*12)+(AJ60*ci_comp1)+(AJ60*(ct_comp1+ca_comp1)*'Time on treatment'!$D$19)</f>
        <v>7579785.7423372511</v>
      </c>
      <c r="AK123" s="109">
        <f ca="1">(AK60*c_on*12)+(AK60*(ct_comp1+ca_comp1)*'Time on treatment'!$E$19)</f>
        <v>6627072.6022747513</v>
      </c>
      <c r="AL123" s="109">
        <f ca="1">(AL60*c_on*12)+(AL60*(ct_comp1+ca_comp1)*'Time on treatment'!$F$19)</f>
        <v>6627072.6022747513</v>
      </c>
      <c r="AM123" s="110">
        <f ca="1">(AM60*c_on*12)+(AM60*(ct_comp1+ca_comp1)*'Time on treatment'!$G$19)</f>
        <v>6627072.6022747513</v>
      </c>
      <c r="AP123" s="87" t="s">
        <v>171</v>
      </c>
      <c r="AQ123" s="111"/>
      <c r="AR123" s="109">
        <f ca="1">(AR60*c_inicial)+(AR60*c_on*12)+(AR60*ci_comp2)+(AR60*(ct_comp2+ca_comp2)*'Time on treatment'!$D$20)</f>
        <v>0</v>
      </c>
      <c r="AS123" s="109">
        <f ca="1">(AS60*c_on*12)+(AS60*(ct_comp2+ca_comp2)*'Time on treatment'!$E$20)</f>
        <v>0</v>
      </c>
      <c r="AT123" s="109">
        <f ca="1">(AT60*c_on*12)+(AT60*(ct_comp2+ca_comp2)*'Time on treatment'!$F$20)</f>
        <v>0</v>
      </c>
      <c r="AU123" s="110">
        <f ca="1">(AU60*c_on*12)+(AU60*(ct_comp2+ca_comp2)*'Time on treatment'!$G$20)</f>
        <v>0</v>
      </c>
      <c r="AX123" s="87" t="s">
        <v>171</v>
      </c>
      <c r="AY123" s="111"/>
      <c r="AZ123" s="109">
        <f ca="1">(AZ60*c_inicial)+(AZ60*c_on*12)+(AZ60*ci_comp3)+(AZ60*(ct_comp3+ca_comp3)*'Time on treatment'!$D$21)</f>
        <v>0</v>
      </c>
      <c r="BA123" s="109">
        <f ca="1">(BA60*c_on*12)+(BA60*(ct_comp3+ca_comp3)*'Time on treatment'!$E$21)</f>
        <v>0</v>
      </c>
      <c r="BB123" s="109">
        <f ca="1">(BB60*c_on*12)+(BB60*(ct_comp3+ca_comp3)*'Time on treatment'!$F$21)</f>
        <v>0</v>
      </c>
      <c r="BC123" s="110">
        <f ca="1">(BC60*c_on*12)+(BC60*(ct_comp3+ca_comp3)*'Time on treatment'!$G$21)</f>
        <v>0</v>
      </c>
      <c r="BF123" s="87" t="s">
        <v>171</v>
      </c>
      <c r="BG123" s="111"/>
      <c r="BH123" s="109">
        <f ca="1">(BH60*c_inicial)+(BH60*c_on*12)+(BH60*ci_comp4)+(BH60*(ct_comp4+ca_comp4)*'Time on treatment'!$D$22)</f>
        <v>0</v>
      </c>
      <c r="BI123" s="109">
        <f ca="1">(BI60*c_on*12)+(BI60*(ct_comp4+ca_comp4)*'Time on treatment'!$E$22)</f>
        <v>0</v>
      </c>
      <c r="BJ123" s="109">
        <f ca="1">(BJ60*c_on*12)+(BJ60*(ct_comp4+ca_comp4)*'Time on treatment'!$F$22)</f>
        <v>0</v>
      </c>
      <c r="BK123" s="110">
        <f ca="1">(BK60*c_on*12)+(BK60*(ct_comp4+ca_comp4)*'Time on treatment'!$G$22)</f>
        <v>0</v>
      </c>
      <c r="BN123" s="87" t="s">
        <v>171</v>
      </c>
      <c r="BO123" s="111"/>
      <c r="BP123" s="109">
        <f ca="1">(BP60*c_inicial)+(BP60*c_on*12)+(BP60*ci_comp5)+(BP60*(ct_comp5+ca_comp5)*'Time on treatment'!$D$23)</f>
        <v>0</v>
      </c>
      <c r="BQ123" s="109">
        <f ca="1">(BQ60*c_on*12)+(BQ60*(ct_comp5+ca_comp5)*'Time on treatment'!$E$23)</f>
        <v>0</v>
      </c>
      <c r="BR123" s="109">
        <f ca="1">(BR60*c_on*12)+(BR60*(ct_comp5+ca_comp5)*'Time on treatment'!$F$23)</f>
        <v>0</v>
      </c>
      <c r="BS123" s="110">
        <f ca="1">(BS60*c_on*12)+(BS60*(ct_comp5+ca_comp5)*'Time on treatment'!$G$23)</f>
        <v>0</v>
      </c>
      <c r="BV123" s="87" t="s">
        <v>171</v>
      </c>
      <c r="BW123" s="111"/>
      <c r="BX123" s="109">
        <f ca="1">(BX60*c_inicial)+(BX60*c_on*12)+(BX60*ci_comp6)+(BX60*(ct_comp6+ca_comp6)*'Time on treatment'!$D$24)</f>
        <v>0</v>
      </c>
      <c r="BY123" s="109">
        <f ca="1">(BY60*c_on*12)+(BY60*(ct_comp6+ca_comp6)*'Time on treatment'!$E$24)</f>
        <v>0</v>
      </c>
      <c r="BZ123" s="109">
        <f ca="1">(BZ60*c_on*12)+(BZ60*(ct_comp6+ca_comp6)*'Time on treatment'!$F$24)</f>
        <v>0</v>
      </c>
      <c r="CA123" s="110">
        <f ca="1">(CA60*c_on*12)+(CA60*(ct_comp6+ca_comp6)*'Time on treatment'!$G$24)</f>
        <v>0</v>
      </c>
      <c r="CD123" s="87" t="s">
        <v>171</v>
      </c>
      <c r="CE123" s="111"/>
      <c r="CF123" s="109">
        <f ca="1">(CF60*c_inicial)+(CF60*c_on*12)+(CF60*ci_comp7)+(CF60*(ct_comp7+ca_comp7)*'Time on treatment'!$D$25)</f>
        <v>0</v>
      </c>
      <c r="CG123" s="109">
        <f ca="1">(CG60*c_on*12)+(CG60*(ct_comp7+ca_comp7)*'Time on treatment'!$E$25)</f>
        <v>0</v>
      </c>
      <c r="CH123" s="109">
        <f ca="1">(CH60*c_on*12)+(CH60*(ct_comp7+ca_comp7)*'Time on treatment'!$F$25)</f>
        <v>0</v>
      </c>
      <c r="CI123" s="110">
        <f ca="1">(CI60*c_on*12)+(CI60*(ct_comp7+ca_comp7)*'Time on treatment'!$G$25)</f>
        <v>0</v>
      </c>
      <c r="CL123" s="87" t="s">
        <v>171</v>
      </c>
      <c r="CM123" s="111"/>
      <c r="CN123" s="109">
        <f ca="1">(CN60*c_inicial)+(CN60*c_on*12)+(CN60*ci_comp8)+(CN60*(ct_comp8+ca_comp8)*'Time on treatment'!$D$26)</f>
        <v>0</v>
      </c>
      <c r="CO123" s="109">
        <f ca="1">(CO60*c_on*12)+(CO60*(ct_comp8+ca_comp8)*'Time on treatment'!$E$26)</f>
        <v>0</v>
      </c>
      <c r="CP123" s="109">
        <f ca="1">(CP60*c_on*12)+(CP60*(ct_comp8+ca_comp8)*'Time on treatment'!$F$26)</f>
        <v>0</v>
      </c>
      <c r="CQ123" s="110">
        <f ca="1">(CQ60*c_on*12)+(CQ60*(ct_comp8+ca_comp8)*'Time on treatment'!$G$26)</f>
        <v>0</v>
      </c>
      <c r="CT123" s="87" t="s">
        <v>171</v>
      </c>
      <c r="CU123" s="111"/>
      <c r="CV123" s="109">
        <f ca="1">(CV60*c_inicial)+(CV60*c_on*12)+(CV60*ci_comp9)+(CV60*(ct_comp9+ca_comp9)*'Time on treatment'!$D$27)</f>
        <v>0</v>
      </c>
      <c r="CW123" s="109">
        <f ca="1">(CW60*c_on*12)+(CW60*(ct_comp9+ca_comp9)*'Time on treatment'!$E$27)</f>
        <v>0</v>
      </c>
      <c r="CX123" s="109">
        <f ca="1">(CX60*c_on*12)+(CX60*(ct_comp9+ca_comp9)*'Time on treatment'!$F$27)</f>
        <v>0</v>
      </c>
      <c r="CY123" s="110">
        <f ca="1">(CY60*c_on*12)+(CY60*(ct_comp9+ca_comp9)*'Time on treatment'!$G$27)</f>
        <v>0</v>
      </c>
      <c r="DB123" s="87" t="s">
        <v>171</v>
      </c>
      <c r="DC123" s="111"/>
      <c r="DD123" s="109">
        <f ca="1">(DD60*c_inicial)+(DD60*c_on*12)+(DD60*ci_comp10)+(DD60*(ct_comp10+ca_comp10)*'Time on treatment'!$D$28)</f>
        <v>0</v>
      </c>
      <c r="DE123" s="109">
        <f ca="1">(DE60*c_on*12)+(DE60*(ct_comp10+ca_comp10)*'Time on treatment'!$E$28)</f>
        <v>0</v>
      </c>
      <c r="DF123" s="109">
        <f ca="1">(DF60*c_on*12)+(DF60*(ct_comp10+ca_comp10)*'Time on treatment'!$F$28)</f>
        <v>0</v>
      </c>
      <c r="DG123" s="110">
        <f ca="1">(DG60*c_on*12)+(DG60*(ct_comp10+ca_comp10)*'Time on treatment'!$G$28)</f>
        <v>0</v>
      </c>
    </row>
    <row r="124" spans="2:111">
      <c r="B124" s="87" t="s">
        <v>176</v>
      </c>
      <c r="C124" s="111"/>
      <c r="D124" s="109">
        <f>D61*c_off</f>
        <v>0</v>
      </c>
      <c r="E124" s="109">
        <f>E61*c_off</f>
        <v>0</v>
      </c>
      <c r="F124" s="109">
        <f>F61*c_off</f>
        <v>0</v>
      </c>
      <c r="G124" s="110">
        <f>G61*c_off</f>
        <v>0</v>
      </c>
      <c r="J124" s="87" t="s">
        <v>176</v>
      </c>
      <c r="K124" s="111"/>
      <c r="L124" s="109">
        <f>L61*c_off</f>
        <v>0</v>
      </c>
      <c r="M124" s="109">
        <f>M61*c_off</f>
        <v>62.961911864999941</v>
      </c>
      <c r="N124" s="109">
        <f>N61*c_off</f>
        <v>94.442867797499844</v>
      </c>
      <c r="O124" s="110">
        <f>O61*c_off</f>
        <v>188.88573559499969</v>
      </c>
      <c r="R124" s="87" t="s">
        <v>176</v>
      </c>
      <c r="S124" s="111"/>
      <c r="T124" s="109">
        <f>T61*c_off</f>
        <v>0</v>
      </c>
      <c r="U124" s="109">
        <f>U61*c_off</f>
        <v>0</v>
      </c>
      <c r="V124" s="109">
        <f>V61*c_off</f>
        <v>0</v>
      </c>
      <c r="W124" s="110">
        <f>W61*c_off</f>
        <v>0</v>
      </c>
      <c r="Z124" s="87" t="s">
        <v>176</v>
      </c>
      <c r="AA124" s="111"/>
      <c r="AB124" s="109">
        <f>AB61*c_off</f>
        <v>0</v>
      </c>
      <c r="AC124" s="109">
        <f>AC61*c_off</f>
        <v>0</v>
      </c>
      <c r="AD124" s="109">
        <f>AD61*c_off</f>
        <v>0</v>
      </c>
      <c r="AE124" s="110">
        <f>AE61*c_off</f>
        <v>0</v>
      </c>
      <c r="AH124" s="87" t="s">
        <v>176</v>
      </c>
      <c r="AI124" s="111"/>
      <c r="AJ124" s="109">
        <f>AJ61*c_off</f>
        <v>0</v>
      </c>
      <c r="AK124" s="109">
        <f>AK61*c_off</f>
        <v>0</v>
      </c>
      <c r="AL124" s="109">
        <f>AL61*c_off</f>
        <v>0</v>
      </c>
      <c r="AM124" s="110">
        <f>AM61*c_off</f>
        <v>0</v>
      </c>
      <c r="AP124" s="87" t="s">
        <v>176</v>
      </c>
      <c r="AQ124" s="111"/>
      <c r="AR124" s="109">
        <f>AR61*c_off</f>
        <v>0</v>
      </c>
      <c r="AS124" s="109">
        <f>AS61*c_off</f>
        <v>0</v>
      </c>
      <c r="AT124" s="109">
        <f>AT61*c_off</f>
        <v>0</v>
      </c>
      <c r="AU124" s="110">
        <f>AU61*c_off</f>
        <v>0</v>
      </c>
      <c r="AX124" s="87" t="s">
        <v>176</v>
      </c>
      <c r="AY124" s="111"/>
      <c r="AZ124" s="109">
        <f>AZ61*c_off</f>
        <v>0</v>
      </c>
      <c r="BA124" s="109">
        <f>BA61*c_off</f>
        <v>0</v>
      </c>
      <c r="BB124" s="109">
        <f>BB61*c_off</f>
        <v>0</v>
      </c>
      <c r="BC124" s="110">
        <f>BC61*c_off</f>
        <v>0</v>
      </c>
      <c r="BF124" s="87" t="s">
        <v>176</v>
      </c>
      <c r="BG124" s="111"/>
      <c r="BH124" s="109">
        <f>BH61*c_off</f>
        <v>0</v>
      </c>
      <c r="BI124" s="109">
        <f>BI61*c_off</f>
        <v>0</v>
      </c>
      <c r="BJ124" s="109">
        <f>BJ61*c_off</f>
        <v>0</v>
      </c>
      <c r="BK124" s="110">
        <f>BK61*c_off</f>
        <v>0</v>
      </c>
      <c r="BN124" s="87" t="s">
        <v>176</v>
      </c>
      <c r="BO124" s="111"/>
      <c r="BP124" s="109">
        <f>BP61*c_off</f>
        <v>0</v>
      </c>
      <c r="BQ124" s="109">
        <f>BQ61*c_off</f>
        <v>0</v>
      </c>
      <c r="BR124" s="109">
        <f>BR61*c_off</f>
        <v>0</v>
      </c>
      <c r="BS124" s="110">
        <f>BS61*c_off</f>
        <v>0</v>
      </c>
      <c r="BV124" s="87" t="s">
        <v>176</v>
      </c>
      <c r="BW124" s="111"/>
      <c r="BX124" s="109">
        <f>BX61*c_off</f>
        <v>0</v>
      </c>
      <c r="BY124" s="109">
        <f>BY61*c_off</f>
        <v>0</v>
      </c>
      <c r="BZ124" s="109">
        <f>BZ61*c_off</f>
        <v>0</v>
      </c>
      <c r="CA124" s="110">
        <f>CA61*c_off</f>
        <v>0</v>
      </c>
      <c r="CD124" s="87" t="s">
        <v>176</v>
      </c>
      <c r="CE124" s="111"/>
      <c r="CF124" s="109">
        <f>CF61*c_off</f>
        <v>0</v>
      </c>
      <c r="CG124" s="109">
        <f>CG61*c_off</f>
        <v>0</v>
      </c>
      <c r="CH124" s="109">
        <f>CH61*c_off</f>
        <v>0</v>
      </c>
      <c r="CI124" s="110">
        <f>CI61*c_off</f>
        <v>0</v>
      </c>
      <c r="CL124" s="87" t="s">
        <v>176</v>
      </c>
      <c r="CM124" s="111"/>
      <c r="CN124" s="109">
        <f>CN61*c_off</f>
        <v>0</v>
      </c>
      <c r="CO124" s="109">
        <f>CO61*c_off</f>
        <v>0</v>
      </c>
      <c r="CP124" s="109">
        <f>CP61*c_off</f>
        <v>0</v>
      </c>
      <c r="CQ124" s="110">
        <f>CQ61*c_off</f>
        <v>0</v>
      </c>
      <c r="CT124" s="87" t="s">
        <v>176</v>
      </c>
      <c r="CU124" s="111"/>
      <c r="CV124" s="109">
        <f>CV61*c_off</f>
        <v>0</v>
      </c>
      <c r="CW124" s="109">
        <f>CW61*c_off</f>
        <v>0</v>
      </c>
      <c r="CX124" s="109">
        <f>CX61*c_off</f>
        <v>0</v>
      </c>
      <c r="CY124" s="110">
        <f>CY61*c_off</f>
        <v>0</v>
      </c>
      <c r="DB124" s="87" t="s">
        <v>176</v>
      </c>
      <c r="DC124" s="111"/>
      <c r="DD124" s="109">
        <f>DD61*c_off</f>
        <v>0</v>
      </c>
      <c r="DE124" s="109">
        <f>DE61*c_off</f>
        <v>0</v>
      </c>
      <c r="DF124" s="109">
        <f>DF61*c_off</f>
        <v>0</v>
      </c>
      <c r="DG124" s="110">
        <f>DG61*c_off</f>
        <v>0</v>
      </c>
    </row>
    <row r="125" spans="2:111">
      <c r="B125" s="87" t="s">
        <v>172</v>
      </c>
      <c r="C125" s="111"/>
      <c r="D125" s="111"/>
      <c r="E125" s="109">
        <f ca="1">(E62*c_inicial)+(E62*c_on*12)+(E62*ci_int1)+(E62*(ct_int1+ca_int1)*'Time on treatment'!$D$12)</f>
        <v>0</v>
      </c>
      <c r="F125" s="109">
        <f ca="1">(F62*c_on*12)+(F62*(ct_int1+ca_int1)*'Time on treatment'!$E$12)</f>
        <v>0</v>
      </c>
      <c r="G125" s="110">
        <f ca="1">(G62*c_on*12)+(G62*(ct_int1+ca_int1)*'Time on treatment'!$F$12)</f>
        <v>0</v>
      </c>
      <c r="J125" s="87" t="s">
        <v>172</v>
      </c>
      <c r="K125" s="111"/>
      <c r="L125" s="111"/>
      <c r="M125" s="109">
        <f ca="1">(M62*c_inicial)+(M62*c_on*12)+(M62*ci_int2)+(M62*(ct_int2+ca_int2)*'Time on treatment'!$D$13)</f>
        <v>4146367.9303032304</v>
      </c>
      <c r="N125" s="109">
        <f ca="1">(N62*c_on*12)+(N62*(ct_int2+ca_int2)*'Time on treatment'!$E$13)</f>
        <v>3854845.0598030603</v>
      </c>
      <c r="O125" s="110">
        <f ca="1">(O62*c_on*12)+(O62*(ct_int2+ca_int2)*'Time on treatment'!$F$13)</f>
        <v>3776174.7524601407</v>
      </c>
      <c r="R125" s="87" t="s">
        <v>172</v>
      </c>
      <c r="S125" s="111"/>
      <c r="T125" s="111"/>
      <c r="U125" s="109">
        <f ca="1">(U62*c_inicial)+(U62*c_on*12)+(U62*ci_int3)+(U62*(ct_int3+ca_int3)*'Time on treatment'!$D$14)</f>
        <v>0</v>
      </c>
      <c r="V125" s="109">
        <f ca="1">(V62*c_on*12)+(V62*(ct_int3+ca_int3)*'Time on treatment'!$E$14)</f>
        <v>0</v>
      </c>
      <c r="W125" s="110">
        <f ca="1">(W62*c_on*12)+(W62*(ct_int3+ca_int3)*'Time on treatment'!$F$14)</f>
        <v>0</v>
      </c>
      <c r="Z125" s="87" t="s">
        <v>172</v>
      </c>
      <c r="AA125" s="111"/>
      <c r="AB125" s="111"/>
      <c r="AC125" s="109">
        <f ca="1">(AC62*c_inicial)+(AC62*c_on*12)+(AC62*ci_int4)+(AC62*(ct_int4+ca_int4)*'Time on treatment'!$D$15)</f>
        <v>0</v>
      </c>
      <c r="AD125" s="109">
        <f ca="1">(AD62*c_on*12)+(AD62*(ct_int4+ca_int4)*'Time on treatment'!$E$15)</f>
        <v>0</v>
      </c>
      <c r="AE125" s="110">
        <f ca="1">(AE62*c_on*12)+(AE62*(ct_int4+ca_int4)*'Time on treatment'!$F$15)</f>
        <v>0</v>
      </c>
      <c r="AH125" s="87" t="s">
        <v>172</v>
      </c>
      <c r="AI125" s="111"/>
      <c r="AJ125" s="111"/>
      <c r="AK125" s="109">
        <f ca="1">(AK62*c_inicial)+(AK62*c_on*12)+(AK62*ci_comp1)+(AK62*(ct_comp1+ca_comp1)*'Time on treatment'!$D$19)</f>
        <v>6807024.9697688548</v>
      </c>
      <c r="AL125" s="109">
        <f ca="1">(AL62*c_on*12)+(AL62*(ct_comp1+ca_comp1)*'Time on treatment'!$E$19)</f>
        <v>5951441.1374701047</v>
      </c>
      <c r="AM125" s="110">
        <f ca="1">(AM62*c_on*12)+(AM62*(ct_comp1+ca_comp1)*'Time on treatment'!$F$19)</f>
        <v>5951441.1374701047</v>
      </c>
      <c r="AP125" s="87" t="s">
        <v>172</v>
      </c>
      <c r="AQ125" s="111"/>
      <c r="AR125" s="111"/>
      <c r="AS125" s="109">
        <f ca="1">(AS62*c_inicial)+(AS62*c_on*12)+(AS62*ci_comp2)+(AS62*(ct_comp2+ca_comp2)*'Time on treatment'!$D$20)</f>
        <v>0</v>
      </c>
      <c r="AT125" s="109">
        <f ca="1">(AT62*c_on*12)+(AT62*(ct_comp2+ca_comp2)*'Time on treatment'!$E$20)</f>
        <v>0</v>
      </c>
      <c r="AU125" s="110">
        <f ca="1">(AU62*c_on*12)+(AU62*(ct_comp2+ca_comp2)*'Time on treatment'!$F$20)</f>
        <v>0</v>
      </c>
      <c r="AX125" s="87" t="s">
        <v>172</v>
      </c>
      <c r="AY125" s="111"/>
      <c r="AZ125" s="111"/>
      <c r="BA125" s="109">
        <f ca="1">(BA62*c_inicial)+(BA62*c_on*12)+(BA62*ci_comp3)+(BA62*(ct_comp3+ca_comp3)*'Time on treatment'!$D$21)</f>
        <v>0</v>
      </c>
      <c r="BB125" s="109">
        <f ca="1">(BB62*c_on*12)+(BB62*(ct_comp3+ca_comp3)*'Time on treatment'!$E$21)</f>
        <v>0</v>
      </c>
      <c r="BC125" s="110">
        <f ca="1">(BC62*c_on*12)+(BC62*(ct_comp3+ca_comp3)*'Time on treatment'!$F$21)</f>
        <v>0</v>
      </c>
      <c r="BF125" s="87" t="s">
        <v>172</v>
      </c>
      <c r="BG125" s="111"/>
      <c r="BH125" s="111"/>
      <c r="BI125" s="109">
        <f ca="1">(BI62*c_inicial)+(BI62*c_on*12)+(BI62*ci_comp4)+(BI62*(ct_comp4+ca_comp4)*'Time on treatment'!$D$22)</f>
        <v>0</v>
      </c>
      <c r="BJ125" s="109">
        <f ca="1">(BJ62*c_on*12)+(BJ62*(ct_comp4+ca_comp4)*'Time on treatment'!$E$22)</f>
        <v>0</v>
      </c>
      <c r="BK125" s="110">
        <f ca="1">(BK62*c_on*12)+(BK62*(ct_comp4+ca_comp4)*'Time on treatment'!$F$22)</f>
        <v>0</v>
      </c>
      <c r="BN125" s="87" t="s">
        <v>172</v>
      </c>
      <c r="BO125" s="111"/>
      <c r="BP125" s="111"/>
      <c r="BQ125" s="109">
        <f ca="1">(BQ62*c_inicial)+(BQ62*c_on*12)+(BQ62*ci_comp5)+(BQ62*(ct_comp5+ca_comp5)*'Time on treatment'!$D$23)</f>
        <v>0</v>
      </c>
      <c r="BR125" s="109">
        <f ca="1">(BR62*c_on*12)+(BR62*(ct_comp5+ca_comp5)*'Time on treatment'!$E$23)</f>
        <v>0</v>
      </c>
      <c r="BS125" s="110">
        <f ca="1">(BS62*c_on*12)+(BS62*(ct_comp5+ca_comp5)*'Time on treatment'!$F$23)</f>
        <v>0</v>
      </c>
      <c r="BV125" s="87" t="s">
        <v>172</v>
      </c>
      <c r="BW125" s="111"/>
      <c r="BX125" s="111"/>
      <c r="BY125" s="109">
        <f ca="1">(BY62*c_inicial)+(BY62*c_on*12)+(BY62*ci_comp6)+(BY62*(ct_comp6+ca_comp6)*'Time on treatment'!$D$24)</f>
        <v>0</v>
      </c>
      <c r="BZ125" s="109">
        <f ca="1">(BZ62*c_on*12)+(BZ62*(ct_comp6+ca_comp6)*'Time on treatment'!$E$24)</f>
        <v>0</v>
      </c>
      <c r="CA125" s="110">
        <f ca="1">(CA62*c_on*12)+(CA62*(ct_comp6+ca_comp6)*'Time on treatment'!$F$24)</f>
        <v>0</v>
      </c>
      <c r="CD125" s="87" t="s">
        <v>172</v>
      </c>
      <c r="CE125" s="111"/>
      <c r="CF125" s="111"/>
      <c r="CG125" s="109">
        <f ca="1">(CG62*c_inicial)+(CG62*c_on*12)+(CG62*ci_comp7)+(CG62*(ct_comp7+ca_comp7)*'Time on treatment'!$D$25)</f>
        <v>0</v>
      </c>
      <c r="CH125" s="109">
        <f ca="1">(CH62*c_on*12)+(CH62*(ct_comp7+ca_comp7)*'Time on treatment'!$E$25)</f>
        <v>0</v>
      </c>
      <c r="CI125" s="110">
        <f ca="1">(CI62*c_on*12)+(CI62*(ct_comp7+ca_comp7)*'Time on treatment'!$F$25)</f>
        <v>0</v>
      </c>
      <c r="CL125" s="87" t="s">
        <v>172</v>
      </c>
      <c r="CM125" s="111"/>
      <c r="CN125" s="111"/>
      <c r="CO125" s="109">
        <f ca="1">(CO62*c_inicial)+(CO62*c_on*12)+(CO62*ci_comp8)+(CO62*(ct_comp8+ca_comp8)*'Time on treatment'!$D$26)</f>
        <v>0</v>
      </c>
      <c r="CP125" s="109">
        <f ca="1">(CP62*c_on*12)+(CP62*(ct_comp8+ca_comp8)*'Time on treatment'!$E$26)</f>
        <v>0</v>
      </c>
      <c r="CQ125" s="110">
        <f ca="1">(CQ62*c_on*12)+(CQ62*(ct_comp8+ca_comp8)*'Time on treatment'!$F$26)</f>
        <v>0</v>
      </c>
      <c r="CT125" s="87" t="s">
        <v>172</v>
      </c>
      <c r="CU125" s="111"/>
      <c r="CV125" s="111"/>
      <c r="CW125" s="109">
        <f ca="1">(CW62*c_inicial)+(CW62*c_on*12)+(CW62*ci_comp9)+(CW62*(ct_comp9+ca_comp9)*'Time on treatment'!$D$27)</f>
        <v>0</v>
      </c>
      <c r="CX125" s="109">
        <f ca="1">(CX62*c_on*12)+(CX62*(ct_comp9+ca_comp9)*'Time on treatment'!$E$27)</f>
        <v>0</v>
      </c>
      <c r="CY125" s="110">
        <f ca="1">(CY62*c_on*12)+(CY62*(ct_comp9+ca_comp9)*'Time on treatment'!$F$27)</f>
        <v>0</v>
      </c>
      <c r="DB125" s="87" t="s">
        <v>172</v>
      </c>
      <c r="DC125" s="111"/>
      <c r="DD125" s="111"/>
      <c r="DE125" s="109">
        <f ca="1">(DE62*c_inicial)+(DE62*c_on*12)+(DE62*ci_comp10)+(DE62*(ct_comp10+ca_comp10)*'Time on treatment'!$D$28)</f>
        <v>0</v>
      </c>
      <c r="DF125" s="109">
        <f ca="1">(DF62*c_on*12)+(DF62*(ct_comp10+ca_comp10)*'Time on treatment'!$E$28)</f>
        <v>0</v>
      </c>
      <c r="DG125" s="110">
        <f ca="1">(DG62*c_on*12)+(DG62*(ct_comp10+ca_comp10)*'Time on treatment'!$F$28)</f>
        <v>0</v>
      </c>
    </row>
    <row r="126" spans="2:111">
      <c r="B126" s="87" t="s">
        <v>177</v>
      </c>
      <c r="C126" s="111"/>
      <c r="D126" s="111"/>
      <c r="E126" s="109">
        <f>E63*c_off</f>
        <v>0</v>
      </c>
      <c r="F126" s="109">
        <f>F63*c_off</f>
        <v>0</v>
      </c>
      <c r="G126" s="110">
        <f>G63*c_off</f>
        <v>0</v>
      </c>
      <c r="J126" s="87" t="s">
        <v>177</v>
      </c>
      <c r="K126" s="111"/>
      <c r="L126" s="111"/>
      <c r="M126" s="109">
        <f>M63*c_off</f>
        <v>0</v>
      </c>
      <c r="N126" s="109">
        <f>N63*c_off</f>
        <v>142.73642470545022</v>
      </c>
      <c r="O126" s="110">
        <f>O63*c_off</f>
        <v>214.10463705817534</v>
      </c>
      <c r="R126" s="87" t="s">
        <v>177</v>
      </c>
      <c r="S126" s="111"/>
      <c r="T126" s="111"/>
      <c r="U126" s="109">
        <f>U63*c_off</f>
        <v>0</v>
      </c>
      <c r="V126" s="109">
        <f>V63*c_off</f>
        <v>0</v>
      </c>
      <c r="W126" s="110">
        <f>W63*c_off</f>
        <v>0</v>
      </c>
      <c r="Z126" s="87" t="s">
        <v>177</v>
      </c>
      <c r="AA126" s="111"/>
      <c r="AB126" s="111"/>
      <c r="AC126" s="109">
        <f>AC63*c_off</f>
        <v>0</v>
      </c>
      <c r="AD126" s="109">
        <f>AD63*c_off</f>
        <v>0</v>
      </c>
      <c r="AE126" s="110">
        <f>AE63*c_off</f>
        <v>0</v>
      </c>
      <c r="AH126" s="87" t="s">
        <v>177</v>
      </c>
      <c r="AI126" s="111"/>
      <c r="AJ126" s="111"/>
      <c r="AK126" s="109">
        <f>AK63*c_off</f>
        <v>0</v>
      </c>
      <c r="AL126" s="109">
        <f>AL63*c_off</f>
        <v>0</v>
      </c>
      <c r="AM126" s="110">
        <f>AM63*c_off</f>
        <v>0</v>
      </c>
      <c r="AP126" s="87" t="s">
        <v>177</v>
      </c>
      <c r="AQ126" s="111"/>
      <c r="AR126" s="111"/>
      <c r="AS126" s="109">
        <f>AS63*c_off</f>
        <v>0</v>
      </c>
      <c r="AT126" s="109">
        <f>AT63*c_off</f>
        <v>0</v>
      </c>
      <c r="AU126" s="110">
        <f>AU63*c_off</f>
        <v>0</v>
      </c>
      <c r="AX126" s="87" t="s">
        <v>177</v>
      </c>
      <c r="AY126" s="111"/>
      <c r="AZ126" s="111"/>
      <c r="BA126" s="109">
        <f>BA63*c_off</f>
        <v>0</v>
      </c>
      <c r="BB126" s="109">
        <f>BB63*c_off</f>
        <v>0</v>
      </c>
      <c r="BC126" s="110">
        <f>BC63*c_off</f>
        <v>0</v>
      </c>
      <c r="BF126" s="87" t="s">
        <v>177</v>
      </c>
      <c r="BG126" s="111"/>
      <c r="BH126" s="111"/>
      <c r="BI126" s="109">
        <f>BI63*c_off</f>
        <v>0</v>
      </c>
      <c r="BJ126" s="109">
        <f>BJ63*c_off</f>
        <v>0</v>
      </c>
      <c r="BK126" s="110">
        <f>BK63*c_off</f>
        <v>0</v>
      </c>
      <c r="BN126" s="87" t="s">
        <v>177</v>
      </c>
      <c r="BO126" s="111"/>
      <c r="BP126" s="111"/>
      <c r="BQ126" s="109">
        <f>BQ63*c_off</f>
        <v>0</v>
      </c>
      <c r="BR126" s="109">
        <f>BR63*c_off</f>
        <v>0</v>
      </c>
      <c r="BS126" s="110">
        <f>BS63*c_off</f>
        <v>0</v>
      </c>
      <c r="BV126" s="87" t="s">
        <v>177</v>
      </c>
      <c r="BW126" s="111"/>
      <c r="BX126" s="111"/>
      <c r="BY126" s="109">
        <f>BY63*c_off</f>
        <v>0</v>
      </c>
      <c r="BZ126" s="109">
        <f>BZ63*c_off</f>
        <v>0</v>
      </c>
      <c r="CA126" s="110">
        <f>CA63*c_off</f>
        <v>0</v>
      </c>
      <c r="CD126" s="87" t="s">
        <v>177</v>
      </c>
      <c r="CE126" s="111"/>
      <c r="CF126" s="111"/>
      <c r="CG126" s="109">
        <f>CG63*c_off</f>
        <v>0</v>
      </c>
      <c r="CH126" s="109">
        <f>CH63*c_off</f>
        <v>0</v>
      </c>
      <c r="CI126" s="110">
        <f>CI63*c_off</f>
        <v>0</v>
      </c>
      <c r="CL126" s="87" t="s">
        <v>177</v>
      </c>
      <c r="CM126" s="111"/>
      <c r="CN126" s="111"/>
      <c r="CO126" s="109">
        <f>CO63*c_off</f>
        <v>0</v>
      </c>
      <c r="CP126" s="109">
        <f>CP63*c_off</f>
        <v>0</v>
      </c>
      <c r="CQ126" s="110">
        <f>CQ63*c_off</f>
        <v>0</v>
      </c>
      <c r="CT126" s="87" t="s">
        <v>177</v>
      </c>
      <c r="CU126" s="111"/>
      <c r="CV126" s="111"/>
      <c r="CW126" s="109">
        <f>CW63*c_off</f>
        <v>0</v>
      </c>
      <c r="CX126" s="109">
        <f>CX63*c_off</f>
        <v>0</v>
      </c>
      <c r="CY126" s="110">
        <f>CY63*c_off</f>
        <v>0</v>
      </c>
      <c r="DB126" s="87" t="s">
        <v>177</v>
      </c>
      <c r="DC126" s="111"/>
      <c r="DD126" s="111"/>
      <c r="DE126" s="109">
        <f>DE63*c_off</f>
        <v>0</v>
      </c>
      <c r="DF126" s="109">
        <f>DF63*c_off</f>
        <v>0</v>
      </c>
      <c r="DG126" s="110">
        <f>DG63*c_off</f>
        <v>0</v>
      </c>
    </row>
    <row r="127" spans="2:111">
      <c r="B127" s="87" t="s">
        <v>173</v>
      </c>
      <c r="C127" s="111"/>
      <c r="D127" s="111"/>
      <c r="E127" s="111"/>
      <c r="F127" s="109">
        <f ca="1">(F64*c_inicial)+(F64*c_on*12)+(F64*ci_int1)+(F64*(ct_int1+ca_int1)*'Time on treatment'!$D$12)</f>
        <v>0</v>
      </c>
      <c r="G127" s="110">
        <f ca="1">(G64*c_on*12)+(G64*(ct_int1+ca_int1)*'Time on treatment'!$E$12)</f>
        <v>0</v>
      </c>
      <c r="J127" s="87" t="s">
        <v>173</v>
      </c>
      <c r="K127" s="111"/>
      <c r="L127" s="111"/>
      <c r="M127" s="111"/>
      <c r="N127" s="109">
        <f ca="1">(N64*c_inicial)+(N64*c_on*12)+(N64*ci_int2)+(N64*(ct_int2+ca_int2)*'Time on treatment'!$D$13)</f>
        <v>5338107.8797197053</v>
      </c>
      <c r="O127" s="110">
        <f ca="1">(O64*c_on*12)+(O64*(ct_int2+ca_int2)*'Time on treatment'!$E$13)</f>
        <v>4962796.1470675431</v>
      </c>
      <c r="R127" s="87" t="s">
        <v>173</v>
      </c>
      <c r="S127" s="111"/>
      <c r="T127" s="111"/>
      <c r="U127" s="111"/>
      <c r="V127" s="109">
        <f ca="1">(V64*c_inicial)+(V64*c_on*12)+(V64*ci_int3)+(V64*(ct_int3+ca_int3)*'Time on treatment'!$D$14)</f>
        <v>0</v>
      </c>
      <c r="W127" s="110">
        <f ca="1">(W64*c_on*12)+(W64*(ct_int3+ca_int3)*'Time on treatment'!$E$14)</f>
        <v>0</v>
      </c>
      <c r="Z127" s="87" t="s">
        <v>173</v>
      </c>
      <c r="AA127" s="111"/>
      <c r="AB127" s="111"/>
      <c r="AC127" s="111"/>
      <c r="AD127" s="109">
        <f ca="1">(AD64*c_inicial)+(AD64*c_on*12)+(AD64*ci_int4)+(AD64*(ct_int4+ca_int4)*'Time on treatment'!$D$15)</f>
        <v>0</v>
      </c>
      <c r="AE127" s="110">
        <f ca="1">(AE64*c_on*12)+(AE64*(ct_int4+ca_int4)*'Time on treatment'!$E$15)</f>
        <v>0</v>
      </c>
      <c r="AH127" s="87" t="s">
        <v>173</v>
      </c>
      <c r="AI127" s="111"/>
      <c r="AJ127" s="111"/>
      <c r="AK127" s="111"/>
      <c r="AL127" s="109">
        <f ca="1">(AL64*c_inicial)+(AL64*c_on*12)+(AL64*ci_comp1)+(AL64*(ct_comp1+ca_comp1)*'Time on treatment'!$D$19)</f>
        <v>6440185.7720375173</v>
      </c>
      <c r="AM127" s="110">
        <f ca="1">(AM64*c_on*12)+(AM64*(ct_comp1+ca_comp1)*'Time on treatment'!$E$19)</f>
        <v>5630710.4361856431</v>
      </c>
      <c r="AP127" s="87" t="s">
        <v>173</v>
      </c>
      <c r="AQ127" s="111"/>
      <c r="AR127" s="111"/>
      <c r="AS127" s="111"/>
      <c r="AT127" s="109">
        <f ca="1">(AT64*c_inicial)+(AT64*c_on*12)+(AT64*ci_comp2)+(AT64*(ct_comp2+ca_comp2)*'Time on treatment'!$D$20)</f>
        <v>0</v>
      </c>
      <c r="AU127" s="110">
        <f ca="1">(AU64*c_on*12)+(AU64*(ct_comp2+ca_comp2)*'Time on treatment'!$E$20)</f>
        <v>0</v>
      </c>
      <c r="AX127" s="87" t="s">
        <v>173</v>
      </c>
      <c r="AY127" s="111"/>
      <c r="AZ127" s="111"/>
      <c r="BA127" s="111"/>
      <c r="BB127" s="109">
        <f ca="1">(BB64*c_inicial)+(BB64*c_on*12)+(BB64*ci_comp3)+(BB64*(ct_comp3+ca_comp3)*'Time on treatment'!$D$21)</f>
        <v>0</v>
      </c>
      <c r="BC127" s="110">
        <f ca="1">(BC64*c_on*12)+(BC64*(ct_comp3+ca_comp3)*'Time on treatment'!$E$21)</f>
        <v>0</v>
      </c>
      <c r="BF127" s="87" t="s">
        <v>173</v>
      </c>
      <c r="BG127" s="111"/>
      <c r="BH127" s="111"/>
      <c r="BI127" s="111"/>
      <c r="BJ127" s="109">
        <f ca="1">(BJ64*c_inicial)+(BJ64*c_on*12)+(BJ64*ci_comp4)+(BJ64*(ct_comp4+ca_comp4)*'Time on treatment'!$D$22)</f>
        <v>0</v>
      </c>
      <c r="BK127" s="110">
        <f ca="1">(BK64*c_on*12)+(BK64*(ct_comp4+ca_comp4)*'Time on treatment'!$E$22)</f>
        <v>0</v>
      </c>
      <c r="BN127" s="87" t="s">
        <v>173</v>
      </c>
      <c r="BO127" s="111"/>
      <c r="BP127" s="111"/>
      <c r="BQ127" s="111"/>
      <c r="BR127" s="109">
        <f ca="1">(BR64*c_inicial)+(BR64*c_on*12)+(BR64*ci_comp5)+(BR64*(ct_comp5+ca_comp5)*'Time on treatment'!$D$23)</f>
        <v>0</v>
      </c>
      <c r="BS127" s="110">
        <f ca="1">(BS64*c_on*12)+(BS64*(ct_comp5+ca_comp5)*'Time on treatment'!$E$23)</f>
        <v>0</v>
      </c>
      <c r="BV127" s="87" t="s">
        <v>173</v>
      </c>
      <c r="BW127" s="111"/>
      <c r="BX127" s="111"/>
      <c r="BY127" s="111"/>
      <c r="BZ127" s="109">
        <f ca="1">(BZ64*c_inicial)+(BZ64*c_on*12)+(BZ64*ci_comp6)+(BZ64*(ct_comp6+ca_comp6)*'Time on treatment'!$D$24)</f>
        <v>0</v>
      </c>
      <c r="CA127" s="110">
        <f ca="1">(CA64*c_on*12)+(CA64*(ct_comp6+ca_comp6)*'Time on treatment'!$E$24)</f>
        <v>0</v>
      </c>
      <c r="CD127" s="87" t="s">
        <v>173</v>
      </c>
      <c r="CE127" s="111"/>
      <c r="CF127" s="111"/>
      <c r="CG127" s="111"/>
      <c r="CH127" s="109">
        <f ca="1">(CH64*c_inicial)+(CH64*c_on*12)+(CH64*ci_comp7)+(CH64*(ct_comp7+ca_comp7)*'Time on treatment'!$D$25)</f>
        <v>0</v>
      </c>
      <c r="CI127" s="110">
        <f ca="1">(CI64*c_on*12)+(CI64*(ct_comp7+ca_comp7)*'Time on treatment'!$E$25)</f>
        <v>0</v>
      </c>
      <c r="CL127" s="87" t="s">
        <v>173</v>
      </c>
      <c r="CM127" s="111"/>
      <c r="CN127" s="111"/>
      <c r="CO127" s="111"/>
      <c r="CP127" s="109">
        <f ca="1">(CP64*c_inicial)+(CP64*c_on*12)+(CP64*ci_comp8)+(CP64*(ct_comp8+ca_comp8)*'Time on treatment'!$D$26)</f>
        <v>0</v>
      </c>
      <c r="CQ127" s="110">
        <f ca="1">(CQ64*c_on*12)+(CQ64*(ct_comp8+ca_comp8)*'Time on treatment'!$E$26)</f>
        <v>0</v>
      </c>
      <c r="CT127" s="87" t="s">
        <v>173</v>
      </c>
      <c r="CU127" s="111"/>
      <c r="CV127" s="111"/>
      <c r="CW127" s="111"/>
      <c r="CX127" s="109">
        <f ca="1">(CX64*c_inicial)+(CX64*c_on*12)+(CX64*ci_comp9)+(CX64*(ct_comp9+ca_comp9)*'Time on treatment'!$D$27)</f>
        <v>0</v>
      </c>
      <c r="CY127" s="110">
        <f ca="1">(CY64*c_on*12)+(CY64*(ct_comp9+ca_comp9)*'Time on treatment'!$E$27)</f>
        <v>0</v>
      </c>
      <c r="DB127" s="87" t="s">
        <v>173</v>
      </c>
      <c r="DC127" s="111"/>
      <c r="DD127" s="111"/>
      <c r="DE127" s="111"/>
      <c r="DF127" s="109">
        <f ca="1">(DF64*c_inicial)+(DF64*c_on*12)+(DF64*ci_comp10)+(DF64*(ct_comp10+ca_comp10)*'Time on treatment'!$D$28)</f>
        <v>0</v>
      </c>
      <c r="DG127" s="110">
        <f ca="1">(DG64*c_on*12)+(DG64*(ct_comp10+ca_comp10)*'Time on treatment'!$E$28)</f>
        <v>0</v>
      </c>
    </row>
    <row r="128" spans="2:111">
      <c r="B128" s="87" t="s">
        <v>178</v>
      </c>
      <c r="C128" s="111"/>
      <c r="D128" s="111"/>
      <c r="E128" s="111"/>
      <c r="F128" s="109">
        <f>F65*c_off</f>
        <v>0</v>
      </c>
      <c r="G128" s="110">
        <f>G65*c_off</f>
        <v>0</v>
      </c>
      <c r="J128" s="87" t="s">
        <v>178</v>
      </c>
      <c r="K128" s="111"/>
      <c r="L128" s="111"/>
      <c r="M128" s="111"/>
      <c r="N128" s="109">
        <f>N65*c_off</f>
        <v>0</v>
      </c>
      <c r="O128" s="110">
        <f>O65*c_off</f>
        <v>183.76141390507533</v>
      </c>
      <c r="R128" s="87" t="s">
        <v>178</v>
      </c>
      <c r="S128" s="111"/>
      <c r="T128" s="111"/>
      <c r="U128" s="111"/>
      <c r="V128" s="109">
        <f>V65*c_off</f>
        <v>0</v>
      </c>
      <c r="W128" s="110">
        <f>W65*c_off</f>
        <v>0</v>
      </c>
      <c r="Z128" s="87" t="s">
        <v>178</v>
      </c>
      <c r="AA128" s="111"/>
      <c r="AB128" s="111"/>
      <c r="AC128" s="111"/>
      <c r="AD128" s="109">
        <f>AD65*c_off</f>
        <v>0</v>
      </c>
      <c r="AE128" s="110">
        <f>AE65*c_off</f>
        <v>0</v>
      </c>
      <c r="AH128" s="87" t="s">
        <v>178</v>
      </c>
      <c r="AI128" s="111"/>
      <c r="AJ128" s="111"/>
      <c r="AK128" s="111"/>
      <c r="AL128" s="109">
        <f>AL65*c_off</f>
        <v>0</v>
      </c>
      <c r="AM128" s="110">
        <f>AM65*c_off</f>
        <v>0</v>
      </c>
      <c r="AP128" s="87" t="s">
        <v>178</v>
      </c>
      <c r="AQ128" s="111"/>
      <c r="AR128" s="111"/>
      <c r="AS128" s="111"/>
      <c r="AT128" s="109">
        <f>AT65*c_off</f>
        <v>0</v>
      </c>
      <c r="AU128" s="110">
        <f>AU65*c_off</f>
        <v>0</v>
      </c>
      <c r="AX128" s="87" t="s">
        <v>178</v>
      </c>
      <c r="AY128" s="111"/>
      <c r="AZ128" s="111"/>
      <c r="BA128" s="111"/>
      <c r="BB128" s="109">
        <f>BB65*c_off</f>
        <v>0</v>
      </c>
      <c r="BC128" s="110">
        <f>BC65*c_off</f>
        <v>0</v>
      </c>
      <c r="BF128" s="87" t="s">
        <v>178</v>
      </c>
      <c r="BG128" s="111"/>
      <c r="BH128" s="111"/>
      <c r="BI128" s="111"/>
      <c r="BJ128" s="109">
        <f>BJ65*c_off</f>
        <v>0</v>
      </c>
      <c r="BK128" s="110">
        <f>BK65*c_off</f>
        <v>0</v>
      </c>
      <c r="BN128" s="87" t="s">
        <v>178</v>
      </c>
      <c r="BO128" s="111"/>
      <c r="BP128" s="111"/>
      <c r="BQ128" s="111"/>
      <c r="BR128" s="109">
        <f>BR65*c_off</f>
        <v>0</v>
      </c>
      <c r="BS128" s="110">
        <f>BS65*c_off</f>
        <v>0</v>
      </c>
      <c r="BV128" s="87" t="s">
        <v>178</v>
      </c>
      <c r="BW128" s="111"/>
      <c r="BX128" s="111"/>
      <c r="BY128" s="111"/>
      <c r="BZ128" s="109">
        <f>BZ65*c_off</f>
        <v>0</v>
      </c>
      <c r="CA128" s="110">
        <f>CA65*c_off</f>
        <v>0</v>
      </c>
      <c r="CD128" s="87" t="s">
        <v>178</v>
      </c>
      <c r="CE128" s="111"/>
      <c r="CF128" s="111"/>
      <c r="CG128" s="111"/>
      <c r="CH128" s="109">
        <f>CH65*c_off</f>
        <v>0</v>
      </c>
      <c r="CI128" s="110">
        <f>CI65*c_off</f>
        <v>0</v>
      </c>
      <c r="CL128" s="87" t="s">
        <v>178</v>
      </c>
      <c r="CM128" s="111"/>
      <c r="CN128" s="111"/>
      <c r="CO128" s="111"/>
      <c r="CP128" s="109">
        <f>CP65*c_off</f>
        <v>0</v>
      </c>
      <c r="CQ128" s="110">
        <f>CQ65*c_off</f>
        <v>0</v>
      </c>
      <c r="CT128" s="87" t="s">
        <v>178</v>
      </c>
      <c r="CU128" s="111"/>
      <c r="CV128" s="111"/>
      <c r="CW128" s="111"/>
      <c r="CX128" s="109">
        <f>CX65*c_off</f>
        <v>0</v>
      </c>
      <c r="CY128" s="110">
        <f>CY65*c_off</f>
        <v>0</v>
      </c>
      <c r="DB128" s="87" t="s">
        <v>178</v>
      </c>
      <c r="DC128" s="111"/>
      <c r="DD128" s="111"/>
      <c r="DE128" s="111"/>
      <c r="DF128" s="109">
        <f>DF65*c_off</f>
        <v>0</v>
      </c>
      <c r="DG128" s="110">
        <f>DG65*c_off</f>
        <v>0</v>
      </c>
    </row>
    <row r="129" spans="2:111">
      <c r="B129" s="87" t="s">
        <v>174</v>
      </c>
      <c r="C129" s="111"/>
      <c r="D129" s="111"/>
      <c r="E129" s="111"/>
      <c r="F129" s="111"/>
      <c r="G129" s="110">
        <f ca="1">(G66*c_inicial)+(G66*c_on*12)+(G66*ci_int1)+(G66*(ct_int1+ca_int1)*'Time on treatment'!$D$12)</f>
        <v>0</v>
      </c>
      <c r="J129" s="87" t="s">
        <v>174</v>
      </c>
      <c r="K129" s="111"/>
      <c r="L129" s="111"/>
      <c r="M129" s="111"/>
      <c r="N129" s="111"/>
      <c r="O129" s="110">
        <f ca="1">(O66*c_inicial)+(O66*c_on*12)+(O66*ci_int2)+(O66*(ct_int2+ca_int2)*'Time on treatment'!$D$13)</f>
        <v>5846574.7715567509</v>
      </c>
      <c r="R129" s="87" t="s">
        <v>174</v>
      </c>
      <c r="S129" s="111"/>
      <c r="T129" s="111"/>
      <c r="U129" s="111"/>
      <c r="V129" s="111"/>
      <c r="W129" s="110">
        <f ca="1">(W66*c_inicial)+(W66*c_on*12)+(W66*ci_int3)+(W66*(ct_int3+ca_int3)*'Time on treatment'!$D$14)</f>
        <v>0</v>
      </c>
      <c r="Z129" s="87" t="s">
        <v>174</v>
      </c>
      <c r="AA129" s="111"/>
      <c r="AB129" s="111"/>
      <c r="AC129" s="111"/>
      <c r="AD129" s="111"/>
      <c r="AE129" s="110">
        <f ca="1">(AE66*c_inicial)+(AE66*c_on*12)+(AE66*ci_int4)+(AE66*(ct_int4+ca_int4)*'Time on treatment'!$D$15)</f>
        <v>0</v>
      </c>
      <c r="AH129" s="87" t="s">
        <v>174</v>
      </c>
      <c r="AI129" s="111"/>
      <c r="AJ129" s="111"/>
      <c r="AK129" s="111"/>
      <c r="AL129" s="111"/>
      <c r="AM129" s="110">
        <f ca="1">(AM66*c_inicial)+(AM66*c_on*12)+(AM66*ci_comp1)+(AM66*(ct_comp1+ca_comp1)*'Time on treatment'!$D$19)</f>
        <v>6320783.608264125</v>
      </c>
      <c r="AP129" s="87" t="s">
        <v>174</v>
      </c>
      <c r="AQ129" s="111"/>
      <c r="AR129" s="111"/>
      <c r="AS129" s="111"/>
      <c r="AT129" s="111"/>
      <c r="AU129" s="110">
        <f ca="1">(AU66*c_inicial)+(AU66*c_on*12)+(AU66*ci_comp2)+(AU66*(ct_comp2+ca_comp2)*'Time on treatment'!$D$20)</f>
        <v>0</v>
      </c>
      <c r="AX129" s="87" t="s">
        <v>174</v>
      </c>
      <c r="AY129" s="111"/>
      <c r="AZ129" s="111"/>
      <c r="BA129" s="111"/>
      <c r="BB129" s="111"/>
      <c r="BC129" s="110">
        <f ca="1">(BC66*c_inicial)+(BC66*c_on*12)+(BC66*ci_comp3)+(BC66*(ct_comp3+ca_comp3)*'Time on treatment'!$D$21)</f>
        <v>0</v>
      </c>
      <c r="BF129" s="87" t="s">
        <v>174</v>
      </c>
      <c r="BG129" s="111"/>
      <c r="BH129" s="111"/>
      <c r="BI129" s="111"/>
      <c r="BJ129" s="111"/>
      <c r="BK129" s="110">
        <f ca="1">(BK66*c_inicial)+(BK66*c_on*12)+(BK66*ci_comp4)+(BK66*(ct_comp4+ca_comp4)*'Time on treatment'!$D$22)</f>
        <v>0</v>
      </c>
      <c r="BN129" s="87" t="s">
        <v>174</v>
      </c>
      <c r="BO129" s="111"/>
      <c r="BP129" s="111"/>
      <c r="BQ129" s="111"/>
      <c r="BR129" s="111"/>
      <c r="BS129" s="110">
        <f ca="1">(BS66*c_inicial)+(BS66*c_on*12)+(BS66*ci_comp5)+(BS66*(ct_comp5+ca_comp5)*'Time on treatment'!$D$23)</f>
        <v>0</v>
      </c>
      <c r="BV129" s="87" t="s">
        <v>174</v>
      </c>
      <c r="BW129" s="111"/>
      <c r="BX129" s="111"/>
      <c r="BY129" s="111"/>
      <c r="BZ129" s="111"/>
      <c r="CA129" s="110">
        <f ca="1">(CA66*c_inicial)+(CA66*c_on*12)+(CA66*ci_comp6)+(CA66*(ct_comp6+ca_comp6)*'Time on treatment'!$D$24)</f>
        <v>0</v>
      </c>
      <c r="CD129" s="87" t="s">
        <v>174</v>
      </c>
      <c r="CE129" s="111"/>
      <c r="CF129" s="111"/>
      <c r="CG129" s="111"/>
      <c r="CH129" s="111"/>
      <c r="CI129" s="110">
        <f ca="1">(CI66*c_inicial)+(CI66*c_on*12)+(CI66*ci_comp7)+(CI66*(ct_comp7+ca_comp7)*'Time on treatment'!$D$25)</f>
        <v>0</v>
      </c>
      <c r="CL129" s="87" t="s">
        <v>174</v>
      </c>
      <c r="CM129" s="111"/>
      <c r="CN129" s="111"/>
      <c r="CO129" s="111"/>
      <c r="CP129" s="111"/>
      <c r="CQ129" s="110">
        <f ca="1">(CQ66*c_inicial)+(CQ66*c_on*12)+(CQ66*ci_comp8)+(CQ66*(ct_comp8+ca_comp8)*'Time on treatment'!$D$26)</f>
        <v>0</v>
      </c>
      <c r="CT129" s="87" t="s">
        <v>174</v>
      </c>
      <c r="CU129" s="111"/>
      <c r="CV129" s="111"/>
      <c r="CW129" s="111"/>
      <c r="CX129" s="111"/>
      <c r="CY129" s="110">
        <f ca="1">(CY66*c_inicial)+(CY66*c_on*12)+(CY66*ci_comp9)+(CY66*(ct_comp9+ca_comp9)*'Time on treatment'!$D$27)</f>
        <v>0</v>
      </c>
      <c r="DB129" s="87" t="s">
        <v>174</v>
      </c>
      <c r="DC129" s="111"/>
      <c r="DD129" s="111"/>
      <c r="DE129" s="111"/>
      <c r="DF129" s="111"/>
      <c r="DG129" s="110">
        <f ca="1">(DG66*c_inicial)+(DG66*c_on*12)+(DG66*ci_comp10)+(DG66*(ct_comp10+ca_comp10)*'Time on treatment'!$D$28)</f>
        <v>0</v>
      </c>
    </row>
    <row r="130" spans="2:111" ht="15" thickBot="1">
      <c r="B130" s="87" t="s">
        <v>179</v>
      </c>
      <c r="C130" s="111"/>
      <c r="D130" s="111"/>
      <c r="E130" s="111"/>
      <c r="F130" s="111"/>
      <c r="G130" s="112">
        <v>0</v>
      </c>
      <c r="J130" s="87" t="s">
        <v>179</v>
      </c>
      <c r="K130" s="111"/>
      <c r="L130" s="111"/>
      <c r="M130" s="111"/>
      <c r="N130" s="111"/>
      <c r="O130" s="112">
        <v>0</v>
      </c>
      <c r="R130" s="87" t="s">
        <v>179</v>
      </c>
      <c r="S130" s="111"/>
      <c r="T130" s="111"/>
      <c r="U130" s="111"/>
      <c r="V130" s="111"/>
      <c r="W130" s="112">
        <v>0</v>
      </c>
      <c r="Z130" s="87" t="s">
        <v>179</v>
      </c>
      <c r="AA130" s="111"/>
      <c r="AB130" s="111"/>
      <c r="AC130" s="111"/>
      <c r="AD130" s="111"/>
      <c r="AE130" s="112">
        <v>0</v>
      </c>
      <c r="AH130" s="87" t="s">
        <v>179</v>
      </c>
      <c r="AI130" s="111"/>
      <c r="AJ130" s="111"/>
      <c r="AK130" s="111"/>
      <c r="AL130" s="111"/>
      <c r="AM130" s="112">
        <v>0</v>
      </c>
      <c r="AP130" s="87" t="s">
        <v>179</v>
      </c>
      <c r="AQ130" s="111"/>
      <c r="AR130" s="111"/>
      <c r="AS130" s="111"/>
      <c r="AT130" s="111"/>
      <c r="AU130" s="112">
        <v>0</v>
      </c>
      <c r="AX130" s="87" t="s">
        <v>179</v>
      </c>
      <c r="AY130" s="111"/>
      <c r="AZ130" s="111"/>
      <c r="BA130" s="111"/>
      <c r="BB130" s="111"/>
      <c r="BC130" s="112">
        <v>0</v>
      </c>
      <c r="BF130" s="87" t="s">
        <v>179</v>
      </c>
      <c r="BG130" s="111"/>
      <c r="BH130" s="111"/>
      <c r="BI130" s="111"/>
      <c r="BJ130" s="111"/>
      <c r="BK130" s="112">
        <v>0</v>
      </c>
      <c r="BN130" s="87" t="s">
        <v>179</v>
      </c>
      <c r="BO130" s="111"/>
      <c r="BP130" s="111"/>
      <c r="BQ130" s="111"/>
      <c r="BR130" s="111"/>
      <c r="BS130" s="112">
        <v>0</v>
      </c>
      <c r="BV130" s="87" t="s">
        <v>179</v>
      </c>
      <c r="BW130" s="111"/>
      <c r="BX130" s="111"/>
      <c r="BY130" s="111"/>
      <c r="BZ130" s="111"/>
      <c r="CA130" s="112">
        <v>0</v>
      </c>
      <c r="CD130" s="87" t="s">
        <v>179</v>
      </c>
      <c r="CE130" s="111"/>
      <c r="CF130" s="111"/>
      <c r="CG130" s="111"/>
      <c r="CH130" s="111"/>
      <c r="CI130" s="112">
        <v>0</v>
      </c>
      <c r="CL130" s="87" t="s">
        <v>179</v>
      </c>
      <c r="CM130" s="111"/>
      <c r="CN130" s="111"/>
      <c r="CO130" s="111"/>
      <c r="CP130" s="111"/>
      <c r="CQ130" s="112">
        <v>0</v>
      </c>
      <c r="CT130" s="87" t="s">
        <v>179</v>
      </c>
      <c r="CU130" s="111"/>
      <c r="CV130" s="111"/>
      <c r="CW130" s="111"/>
      <c r="CX130" s="111"/>
      <c r="CY130" s="112">
        <v>0</v>
      </c>
      <c r="DB130" s="87" t="s">
        <v>179</v>
      </c>
      <c r="DC130" s="111"/>
      <c r="DD130" s="111"/>
      <c r="DE130" s="111"/>
      <c r="DF130" s="111"/>
      <c r="DG130" s="112">
        <v>0</v>
      </c>
    </row>
    <row r="131" spans="2:111" ht="15" thickBot="1">
      <c r="B131" s="85" t="str">
        <f>B117</f>
        <v>Drug 1</v>
      </c>
      <c r="C131" s="113">
        <f ca="1">SUM(C121:C129)</f>
        <v>0</v>
      </c>
      <c r="D131" s="113">
        <f ca="1">SUM(D121:D129)</f>
        <v>0</v>
      </c>
      <c r="E131" s="113">
        <f ca="1">SUM(E121:E129)</f>
        <v>0</v>
      </c>
      <c r="F131" s="113">
        <f ca="1">SUM(F121:F129)</f>
        <v>0</v>
      </c>
      <c r="G131" s="114">
        <f ca="1">SUM(G121:G129)</f>
        <v>0</v>
      </c>
      <c r="J131" s="85" t="str">
        <f>J117</f>
        <v>Drug 2</v>
      </c>
      <c r="K131" s="113">
        <f ca="1">SUM(K121:K129)</f>
        <v>453684.21703548008</v>
      </c>
      <c r="L131" s="113">
        <f ca="1">SUM(L121:L129)</f>
        <v>2250790.5111372545</v>
      </c>
      <c r="M131" s="113">
        <f ca="1">SUM(M121:M129)</f>
        <v>6260028.797692772</v>
      </c>
      <c r="N131" s="113">
        <f ca="1">SUM(N121:N129)</f>
        <v>11254893.717330143</v>
      </c>
      <c r="O131" s="114">
        <f ca="1">SUM(O121:O129)</f>
        <v>16569832.031259172</v>
      </c>
      <c r="R131" s="85">
        <f>R117</f>
        <v>0</v>
      </c>
      <c r="S131" s="113">
        <f ca="1">SUM(S121:S129)</f>
        <v>0</v>
      </c>
      <c r="T131" s="113">
        <f ca="1">SUM(T121:T129)</f>
        <v>0</v>
      </c>
      <c r="U131" s="113">
        <f ca="1">SUM(U121:U129)</f>
        <v>0</v>
      </c>
      <c r="V131" s="113">
        <f ca="1">SUM(V121:V129)</f>
        <v>0</v>
      </c>
      <c r="W131" s="114">
        <f ca="1">SUM(W121:W129)</f>
        <v>0</v>
      </c>
      <c r="Z131" s="85">
        <f>Z117</f>
        <v>0</v>
      </c>
      <c r="AA131" s="113">
        <f ca="1">SUM(AA121:AA129)</f>
        <v>0</v>
      </c>
      <c r="AB131" s="113">
        <f ca="1">SUM(AB121:AB129)</f>
        <v>0</v>
      </c>
      <c r="AC131" s="113">
        <f ca="1">SUM(AC121:AC129)</f>
        <v>0</v>
      </c>
      <c r="AD131" s="113">
        <f ca="1">SUM(AD121:AD129)</f>
        <v>0</v>
      </c>
      <c r="AE131" s="114">
        <f ca="1">SUM(AE121:AE129)</f>
        <v>0</v>
      </c>
      <c r="AH131" s="85" t="str">
        <f>AH117</f>
        <v>BSC</v>
      </c>
      <c r="AI131" s="113">
        <f ca="1">SUM(AI121:AI129)</f>
        <v>8011206.2102599796</v>
      </c>
      <c r="AJ131" s="113">
        <f ca="1">SUM(AJ121:AJ129)</f>
        <v>14584053.01214223</v>
      </c>
      <c r="AK131" s="113">
        <f ca="1">SUM(AK121:AK129)</f>
        <v>20438364.841848586</v>
      </c>
      <c r="AL131" s="113">
        <f ca="1">SUM(AL121:AL129)</f>
        <v>26022966.781587351</v>
      </c>
      <c r="AM131" s="114">
        <f ca="1">SUM(AM121:AM129)</f>
        <v>31534275.053999603</v>
      </c>
      <c r="AP131" s="85">
        <f>AP117</f>
        <v>0</v>
      </c>
      <c r="AQ131" s="113">
        <f ca="1">SUM(AQ121:AQ129)</f>
        <v>0</v>
      </c>
      <c r="AR131" s="113">
        <f ca="1">SUM(AR121:AR129)</f>
        <v>0</v>
      </c>
      <c r="AS131" s="113">
        <f ca="1">SUM(AS121:AS129)</f>
        <v>0</v>
      </c>
      <c r="AT131" s="113">
        <f ca="1">SUM(AT121:AT129)</f>
        <v>0</v>
      </c>
      <c r="AU131" s="114">
        <f ca="1">SUM(AU121:AU129)</f>
        <v>0</v>
      </c>
      <c r="AX131" s="85">
        <f>AX117</f>
        <v>0</v>
      </c>
      <c r="AY131" s="113">
        <f ca="1">SUM(AY121:AY129)</f>
        <v>0</v>
      </c>
      <c r="AZ131" s="113">
        <f ca="1">SUM(AZ121:AZ129)</f>
        <v>0</v>
      </c>
      <c r="BA131" s="113">
        <f ca="1">SUM(BA121:BA129)</f>
        <v>0</v>
      </c>
      <c r="BB131" s="113">
        <f ca="1">SUM(BB121:BB129)</f>
        <v>0</v>
      </c>
      <c r="BC131" s="114">
        <f ca="1">SUM(BC121:BC129)</f>
        <v>0</v>
      </c>
      <c r="BF131" s="85">
        <f>BF117</f>
        <v>0</v>
      </c>
      <c r="BG131" s="113">
        <f ca="1">SUM(BG121:BG129)</f>
        <v>0</v>
      </c>
      <c r="BH131" s="113">
        <f ca="1">SUM(BH121:BH129)</f>
        <v>0</v>
      </c>
      <c r="BI131" s="113">
        <f ca="1">SUM(BI121:BI129)</f>
        <v>0</v>
      </c>
      <c r="BJ131" s="113">
        <f ca="1">SUM(BJ121:BJ129)</f>
        <v>0</v>
      </c>
      <c r="BK131" s="114">
        <f ca="1">SUM(BK121:BK129)</f>
        <v>0</v>
      </c>
      <c r="BN131" s="85">
        <f>BN117</f>
        <v>0</v>
      </c>
      <c r="BO131" s="113">
        <f ca="1">SUM(BO121:BO129)</f>
        <v>0</v>
      </c>
      <c r="BP131" s="113">
        <f ca="1">SUM(BP121:BP129)</f>
        <v>0</v>
      </c>
      <c r="BQ131" s="113">
        <f ca="1">SUM(BQ121:BQ129)</f>
        <v>0</v>
      </c>
      <c r="BR131" s="113">
        <f ca="1">SUM(BR121:BR129)</f>
        <v>0</v>
      </c>
      <c r="BS131" s="114">
        <f ca="1">SUM(BS121:BS129)</f>
        <v>0</v>
      </c>
      <c r="BV131" s="85">
        <f>BV117</f>
        <v>0</v>
      </c>
      <c r="BW131" s="113">
        <f ca="1">SUM(BW121:BW129)</f>
        <v>0</v>
      </c>
      <c r="BX131" s="113">
        <f ca="1">SUM(BX121:BX129)</f>
        <v>0</v>
      </c>
      <c r="BY131" s="113">
        <f ca="1">SUM(BY121:BY129)</f>
        <v>0</v>
      </c>
      <c r="BZ131" s="113">
        <f ca="1">SUM(BZ121:BZ129)</f>
        <v>0</v>
      </c>
      <c r="CA131" s="114">
        <f ca="1">SUM(CA121:CA129)</f>
        <v>0</v>
      </c>
      <c r="CD131" s="85">
        <f>CD117</f>
        <v>0</v>
      </c>
      <c r="CE131" s="113">
        <f ca="1">SUM(CE121:CE129)</f>
        <v>0</v>
      </c>
      <c r="CF131" s="113">
        <f ca="1">SUM(CF121:CF129)</f>
        <v>0</v>
      </c>
      <c r="CG131" s="113">
        <f ca="1">SUM(CG121:CG129)</f>
        <v>0</v>
      </c>
      <c r="CH131" s="113">
        <f ca="1">SUM(CH121:CH129)</f>
        <v>0</v>
      </c>
      <c r="CI131" s="114">
        <f ca="1">SUM(CI121:CI129)</f>
        <v>0</v>
      </c>
      <c r="CL131" s="85">
        <f>CL117</f>
        <v>0</v>
      </c>
      <c r="CM131" s="113">
        <f ca="1">SUM(CM121:CM129)</f>
        <v>0</v>
      </c>
      <c r="CN131" s="113">
        <f ca="1">SUM(CN121:CN129)</f>
        <v>0</v>
      </c>
      <c r="CO131" s="113">
        <f ca="1">SUM(CO121:CO129)</f>
        <v>0</v>
      </c>
      <c r="CP131" s="113">
        <f ca="1">SUM(CP121:CP129)</f>
        <v>0</v>
      </c>
      <c r="CQ131" s="114">
        <f ca="1">SUM(CQ121:CQ129)</f>
        <v>0</v>
      </c>
      <c r="CT131" s="85">
        <f>CT117</f>
        <v>0</v>
      </c>
      <c r="CU131" s="113">
        <f ca="1">SUM(CU121:CU129)</f>
        <v>0</v>
      </c>
      <c r="CV131" s="113">
        <f ca="1">SUM(CV121:CV129)</f>
        <v>0</v>
      </c>
      <c r="CW131" s="113">
        <f ca="1">SUM(CW121:CW129)</f>
        <v>0</v>
      </c>
      <c r="CX131" s="113">
        <f ca="1">SUM(CX121:CX129)</f>
        <v>0</v>
      </c>
      <c r="CY131" s="114">
        <f ca="1">SUM(CY121:CY129)</f>
        <v>0</v>
      </c>
      <c r="DB131" s="85">
        <f>DB117</f>
        <v>0</v>
      </c>
      <c r="DC131" s="113">
        <f ca="1">SUM(DC121:DC129)</f>
        <v>0</v>
      </c>
      <c r="DD131" s="113">
        <f ca="1">SUM(DD121:DD129)</f>
        <v>0</v>
      </c>
      <c r="DE131" s="113">
        <f ca="1">SUM(DE121:DE129)</f>
        <v>0</v>
      </c>
      <c r="DF131" s="113">
        <f ca="1">SUM(DF121:DF129)</f>
        <v>0</v>
      </c>
      <c r="DG131" s="114">
        <f ca="1">SUM(DG121:DG129)</f>
        <v>0</v>
      </c>
    </row>
    <row r="132" spans="2:111" ht="15" thickBot="1">
      <c r="B132" s="83"/>
      <c r="C132" s="83"/>
      <c r="D132" s="83"/>
      <c r="E132" s="83"/>
      <c r="F132" s="83"/>
      <c r="G132" s="83"/>
      <c r="J132" s="83"/>
      <c r="K132" s="83"/>
      <c r="L132" s="83"/>
      <c r="M132" s="83"/>
      <c r="N132" s="83"/>
      <c r="O132" s="83"/>
      <c r="R132" s="83"/>
      <c r="S132" s="83"/>
      <c r="T132" s="83"/>
      <c r="U132" s="83"/>
      <c r="V132" s="83"/>
      <c r="W132" s="83"/>
      <c r="Z132" s="83"/>
      <c r="AA132" s="83"/>
      <c r="AB132" s="83"/>
      <c r="AC132" s="83"/>
      <c r="AD132" s="83"/>
      <c r="AE132" s="83"/>
      <c r="AH132" s="83"/>
      <c r="AI132" s="83"/>
      <c r="AJ132" s="83"/>
      <c r="AK132" s="83"/>
      <c r="AL132" s="83"/>
      <c r="AM132" s="83"/>
      <c r="AP132" s="83"/>
      <c r="AQ132" s="83"/>
      <c r="AR132" s="83"/>
      <c r="AS132" s="83"/>
      <c r="AT132" s="83"/>
      <c r="AU132" s="83"/>
      <c r="AX132" s="83"/>
      <c r="AY132" s="83"/>
      <c r="AZ132" s="83"/>
      <c r="BA132" s="83"/>
      <c r="BB132" s="83"/>
      <c r="BC132" s="83"/>
      <c r="BF132" s="83"/>
      <c r="BG132" s="83"/>
      <c r="BH132" s="83"/>
      <c r="BI132" s="83"/>
      <c r="BJ132" s="83"/>
      <c r="BK132" s="83"/>
      <c r="BN132" s="83"/>
      <c r="BO132" s="83"/>
      <c r="BP132" s="83"/>
      <c r="BQ132" s="83"/>
      <c r="BR132" s="83"/>
      <c r="BS132" s="83"/>
      <c r="BV132" s="83"/>
      <c r="BW132" s="83"/>
      <c r="BX132" s="83"/>
      <c r="BY132" s="83"/>
      <c r="BZ132" s="83"/>
      <c r="CA132" s="83"/>
      <c r="CD132" s="83"/>
      <c r="CE132" s="83"/>
      <c r="CF132" s="83"/>
      <c r="CG132" s="83"/>
      <c r="CH132" s="83"/>
      <c r="CI132" s="83"/>
      <c r="CL132" s="83"/>
      <c r="CM132" s="83"/>
      <c r="CN132" s="83"/>
      <c r="CO132" s="83"/>
      <c r="CP132" s="83"/>
      <c r="CQ132" s="83"/>
      <c r="CT132" s="83"/>
      <c r="CU132" s="83"/>
      <c r="CV132" s="83"/>
      <c r="CW132" s="83"/>
      <c r="CX132" s="83"/>
      <c r="CY132" s="83"/>
      <c r="DB132" s="83"/>
      <c r="DC132" s="83"/>
      <c r="DD132" s="83"/>
      <c r="DE132" s="83"/>
      <c r="DF132" s="83"/>
      <c r="DG132" s="83"/>
    </row>
    <row r="133" spans="2:111" ht="15" thickBot="1">
      <c r="B133" s="508" t="str">
        <f>B71</f>
        <v>Both drugs</v>
      </c>
      <c r="C133" s="506"/>
      <c r="D133" s="506"/>
      <c r="E133" s="506"/>
      <c r="F133" s="506"/>
      <c r="G133" s="507"/>
      <c r="J133" s="508" t="str">
        <f>J71</f>
        <v>Both drugs</v>
      </c>
      <c r="K133" s="506"/>
      <c r="L133" s="506"/>
      <c r="M133" s="506"/>
      <c r="N133" s="506"/>
      <c r="O133" s="507"/>
      <c r="R133" s="508" t="str">
        <f>R71</f>
        <v>Both drugs</v>
      </c>
      <c r="S133" s="506"/>
      <c r="T133" s="506"/>
      <c r="U133" s="506"/>
      <c r="V133" s="506"/>
      <c r="W133" s="507"/>
      <c r="Z133" s="508" t="str">
        <f>Z71</f>
        <v>Both drugs</v>
      </c>
      <c r="AA133" s="506"/>
      <c r="AB133" s="506"/>
      <c r="AC133" s="506"/>
      <c r="AD133" s="506"/>
      <c r="AE133" s="507"/>
      <c r="AH133" s="508" t="str">
        <f>AH71</f>
        <v>Both drugs</v>
      </c>
      <c r="AI133" s="506"/>
      <c r="AJ133" s="506"/>
      <c r="AK133" s="506"/>
      <c r="AL133" s="506"/>
      <c r="AM133" s="507"/>
      <c r="AP133" s="508" t="str">
        <f>AP71</f>
        <v>Both drugs</v>
      </c>
      <c r="AQ133" s="506"/>
      <c r="AR133" s="506"/>
      <c r="AS133" s="506"/>
      <c r="AT133" s="506"/>
      <c r="AU133" s="507"/>
      <c r="AX133" s="508" t="str">
        <f>AX71</f>
        <v>Both drugs</v>
      </c>
      <c r="AY133" s="506"/>
      <c r="AZ133" s="506"/>
      <c r="BA133" s="506"/>
      <c r="BB133" s="506"/>
      <c r="BC133" s="507"/>
      <c r="BF133" s="508" t="str">
        <f>BF71</f>
        <v>Both drugs</v>
      </c>
      <c r="BG133" s="506"/>
      <c r="BH133" s="506"/>
      <c r="BI133" s="506"/>
      <c r="BJ133" s="506"/>
      <c r="BK133" s="507"/>
      <c r="BN133" s="508" t="str">
        <f>BN71</f>
        <v>Both drugs</v>
      </c>
      <c r="BO133" s="506"/>
      <c r="BP133" s="506"/>
      <c r="BQ133" s="506"/>
      <c r="BR133" s="506"/>
      <c r="BS133" s="507"/>
      <c r="BV133" s="508" t="str">
        <f>BV71</f>
        <v>Both drugs</v>
      </c>
      <c r="BW133" s="506"/>
      <c r="BX133" s="506"/>
      <c r="BY133" s="506"/>
      <c r="BZ133" s="506"/>
      <c r="CA133" s="507"/>
      <c r="CD133" s="508" t="str">
        <f>CD71</f>
        <v>Both drugs</v>
      </c>
      <c r="CE133" s="506"/>
      <c r="CF133" s="506"/>
      <c r="CG133" s="506"/>
      <c r="CH133" s="506"/>
      <c r="CI133" s="507"/>
      <c r="CL133" s="508" t="str">
        <f>CL71</f>
        <v>Both drugs</v>
      </c>
      <c r="CM133" s="506"/>
      <c r="CN133" s="506"/>
      <c r="CO133" s="506"/>
      <c r="CP133" s="506"/>
      <c r="CQ133" s="507"/>
      <c r="CT133" s="508" t="str">
        <f>CT71</f>
        <v>Both drugs</v>
      </c>
      <c r="CU133" s="506"/>
      <c r="CV133" s="506"/>
      <c r="CW133" s="506"/>
      <c r="CX133" s="506"/>
      <c r="CY133" s="507"/>
      <c r="DB133" s="508" t="str">
        <f>DB71</f>
        <v>Both drugs</v>
      </c>
      <c r="DC133" s="506"/>
      <c r="DD133" s="506"/>
      <c r="DE133" s="506"/>
      <c r="DF133" s="506"/>
      <c r="DG133" s="507"/>
    </row>
    <row r="134" spans="2:111">
      <c r="B134" s="84"/>
      <c r="C134" s="101">
        <f>C72</f>
        <v>2026</v>
      </c>
      <c r="D134" s="101">
        <f t="shared" ref="D134:F134" si="314">D72</f>
        <v>2027</v>
      </c>
      <c r="E134" s="101">
        <f t="shared" si="314"/>
        <v>2028</v>
      </c>
      <c r="F134" s="101">
        <f t="shared" si="314"/>
        <v>2029</v>
      </c>
      <c r="G134" s="102">
        <f>G72</f>
        <v>2030</v>
      </c>
      <c r="J134" s="84"/>
      <c r="K134" s="101">
        <f>K72</f>
        <v>2026</v>
      </c>
      <c r="L134" s="101">
        <f t="shared" ref="L134:N134" si="315">L72</f>
        <v>2027</v>
      </c>
      <c r="M134" s="101">
        <f t="shared" si="315"/>
        <v>2028</v>
      </c>
      <c r="N134" s="101">
        <f t="shared" si="315"/>
        <v>2029</v>
      </c>
      <c r="O134" s="102">
        <f>O72</f>
        <v>2030</v>
      </c>
      <c r="R134" s="84"/>
      <c r="S134" s="101">
        <f>S72</f>
        <v>2026</v>
      </c>
      <c r="T134" s="101">
        <f t="shared" ref="T134:V134" si="316">T72</f>
        <v>2027</v>
      </c>
      <c r="U134" s="101">
        <f t="shared" si="316"/>
        <v>2028</v>
      </c>
      <c r="V134" s="101">
        <f t="shared" si="316"/>
        <v>2029</v>
      </c>
      <c r="W134" s="102">
        <f>W72</f>
        <v>2030</v>
      </c>
      <c r="Z134" s="84"/>
      <c r="AA134" s="101">
        <f>AA72</f>
        <v>2026</v>
      </c>
      <c r="AB134" s="101">
        <f t="shared" ref="AB134:AD134" si="317">AB72</f>
        <v>2027</v>
      </c>
      <c r="AC134" s="101">
        <f t="shared" si="317"/>
        <v>2028</v>
      </c>
      <c r="AD134" s="101">
        <f t="shared" si="317"/>
        <v>2029</v>
      </c>
      <c r="AE134" s="102">
        <f>AE72</f>
        <v>2030</v>
      </c>
      <c r="AH134" s="84"/>
      <c r="AI134" s="101">
        <f>AI72</f>
        <v>2026</v>
      </c>
      <c r="AJ134" s="101">
        <f t="shared" ref="AJ134:AL134" si="318">AJ72</f>
        <v>2027</v>
      </c>
      <c r="AK134" s="101">
        <f t="shared" si="318"/>
        <v>2028</v>
      </c>
      <c r="AL134" s="101">
        <f t="shared" si="318"/>
        <v>2029</v>
      </c>
      <c r="AM134" s="102">
        <f>AM72</f>
        <v>2030</v>
      </c>
      <c r="AP134" s="84"/>
      <c r="AQ134" s="101">
        <f>AQ72</f>
        <v>2026</v>
      </c>
      <c r="AR134" s="101">
        <f t="shared" ref="AR134:AT134" si="319">AR72</f>
        <v>2027</v>
      </c>
      <c r="AS134" s="101">
        <f t="shared" si="319"/>
        <v>2028</v>
      </c>
      <c r="AT134" s="101">
        <f t="shared" si="319"/>
        <v>2029</v>
      </c>
      <c r="AU134" s="102">
        <f>AU72</f>
        <v>2030</v>
      </c>
      <c r="AX134" s="84"/>
      <c r="AY134" s="101">
        <f>AY72</f>
        <v>2026</v>
      </c>
      <c r="AZ134" s="101">
        <f t="shared" ref="AZ134:BB134" si="320">AZ72</f>
        <v>2027</v>
      </c>
      <c r="BA134" s="101">
        <f t="shared" si="320"/>
        <v>2028</v>
      </c>
      <c r="BB134" s="101">
        <f t="shared" si="320"/>
        <v>2029</v>
      </c>
      <c r="BC134" s="102">
        <f>BC72</f>
        <v>2030</v>
      </c>
      <c r="BF134" s="84"/>
      <c r="BG134" s="101">
        <f>BG72</f>
        <v>2026</v>
      </c>
      <c r="BH134" s="101">
        <f t="shared" ref="BH134:BJ134" si="321">BH72</f>
        <v>2027</v>
      </c>
      <c r="BI134" s="101">
        <f t="shared" si="321"/>
        <v>2028</v>
      </c>
      <c r="BJ134" s="101">
        <f t="shared" si="321"/>
        <v>2029</v>
      </c>
      <c r="BK134" s="102">
        <f>BK72</f>
        <v>2030</v>
      </c>
      <c r="BN134" s="84"/>
      <c r="BO134" s="101">
        <f>BO72</f>
        <v>2026</v>
      </c>
      <c r="BP134" s="101">
        <f t="shared" ref="BP134:BR134" si="322">BP72</f>
        <v>2027</v>
      </c>
      <c r="BQ134" s="101">
        <f t="shared" si="322"/>
        <v>2028</v>
      </c>
      <c r="BR134" s="101">
        <f t="shared" si="322"/>
        <v>2029</v>
      </c>
      <c r="BS134" s="102">
        <f>BS72</f>
        <v>2030</v>
      </c>
      <c r="BV134" s="84"/>
      <c r="BW134" s="101">
        <f>BW72</f>
        <v>2026</v>
      </c>
      <c r="BX134" s="101">
        <f t="shared" ref="BX134:BZ134" si="323">BX72</f>
        <v>2027</v>
      </c>
      <c r="BY134" s="101">
        <f t="shared" si="323"/>
        <v>2028</v>
      </c>
      <c r="BZ134" s="101">
        <f t="shared" si="323"/>
        <v>2029</v>
      </c>
      <c r="CA134" s="102">
        <f>CA72</f>
        <v>2030</v>
      </c>
      <c r="CD134" s="84"/>
      <c r="CE134" s="101">
        <f>CE72</f>
        <v>2026</v>
      </c>
      <c r="CF134" s="101">
        <f t="shared" ref="CF134:CH134" si="324">CF72</f>
        <v>2027</v>
      </c>
      <c r="CG134" s="101">
        <f t="shared" si="324"/>
        <v>2028</v>
      </c>
      <c r="CH134" s="101">
        <f t="shared" si="324"/>
        <v>2029</v>
      </c>
      <c r="CI134" s="102">
        <f>CI72</f>
        <v>2030</v>
      </c>
      <c r="CL134" s="84"/>
      <c r="CM134" s="101">
        <f>CM72</f>
        <v>2026</v>
      </c>
      <c r="CN134" s="101">
        <f t="shared" ref="CN134:CP134" si="325">CN72</f>
        <v>2027</v>
      </c>
      <c r="CO134" s="101">
        <f t="shared" si="325"/>
        <v>2028</v>
      </c>
      <c r="CP134" s="101">
        <f t="shared" si="325"/>
        <v>2029</v>
      </c>
      <c r="CQ134" s="102">
        <f>CQ72</f>
        <v>2030</v>
      </c>
      <c r="CT134" s="84"/>
      <c r="CU134" s="101">
        <f>CU72</f>
        <v>2026</v>
      </c>
      <c r="CV134" s="101">
        <f t="shared" ref="CV134:CX134" si="326">CV72</f>
        <v>2027</v>
      </c>
      <c r="CW134" s="101">
        <f t="shared" si="326"/>
        <v>2028</v>
      </c>
      <c r="CX134" s="101">
        <f t="shared" si="326"/>
        <v>2029</v>
      </c>
      <c r="CY134" s="102">
        <f>CY72</f>
        <v>2030</v>
      </c>
      <c r="DB134" s="84"/>
      <c r="DC134" s="101">
        <f>DC72</f>
        <v>2026</v>
      </c>
      <c r="DD134" s="101">
        <f t="shared" ref="DD134:DF134" si="327">DD72</f>
        <v>2027</v>
      </c>
      <c r="DE134" s="101">
        <f t="shared" si="327"/>
        <v>2028</v>
      </c>
      <c r="DF134" s="101">
        <f t="shared" si="327"/>
        <v>2029</v>
      </c>
      <c r="DG134" s="102">
        <f>DG72</f>
        <v>2030</v>
      </c>
    </row>
    <row r="135" spans="2:111">
      <c r="B135" s="87" t="s">
        <v>170</v>
      </c>
      <c r="C135" s="109">
        <f ca="1">(C73*c_inicial)+(C73*c_on*12)+(C73*ci_int1)+(C73*(ct_int1+ca_int1)*'Time on treatment'!$D$12)</f>
        <v>940152.17399625003</v>
      </c>
      <c r="D135" s="109">
        <f ca="1">(D73*c_on*12)+(D73*(ct_int1+ca_int1)*'Time on treatment'!$E$12)</f>
        <v>863861.13692606252</v>
      </c>
      <c r="E135" s="109">
        <f ca="1">(E73*c_on*12)+(E73*(ct_int1+ca_int1)*'Time on treatment'!$F$12)</f>
        <v>19419.536708775002</v>
      </c>
      <c r="F135" s="109">
        <f ca="1">(F73*c_on*12)+(F73*(ct_int1+ca_int1)*'Time on treatment'!$G$12)</f>
        <v>18340.673558287501</v>
      </c>
      <c r="G135" s="110">
        <f ca="1">(G73*c_on*12)+(G73*(ct_int1+ca_int1)*'Time on treatment'!$H$12)</f>
        <v>17261.810407800003</v>
      </c>
      <c r="J135" s="87" t="s">
        <v>170</v>
      </c>
      <c r="K135" s="109">
        <f ca="1">(K73*c_inicial)+(K73*c_on*12)+(K73*ci_int2)+(K73*(ct_int2+ca_int2)*'Time on treatment'!$D$13)</f>
        <v>453684.21703548008</v>
      </c>
      <c r="L135" s="109">
        <f ca="1">(L73*c_on*12)+(L73*(ct_int2+ca_int2)*'Time on treatment'!$E$13)</f>
        <v>421786.5833777904</v>
      </c>
      <c r="M135" s="109">
        <f ca="1">(M73*c_on*12)+(M73*(ct_int2+ca_int2)*'Time on treatment'!$F$13)</f>
        <v>413178.69392110087</v>
      </c>
      <c r="N135" s="109">
        <f ca="1">(N73*c_on*12)+(N73*(ct_int2+ca_int2)*'Time on treatment'!$G$13)</f>
        <v>395962.91500772169</v>
      </c>
      <c r="O135" s="110">
        <f ca="1">(O73*c_on*12)+(O73*(ct_int2+ca_int2)*'Time on treatment'!$H$13)</f>
        <v>387355.02555103198</v>
      </c>
      <c r="R135" s="87" t="s">
        <v>170</v>
      </c>
      <c r="S135" s="109">
        <f ca="1">(S73*c_inicial)+(S73*c_on*12)+(S73*ci_int3)+(S73*(ct_int3+ca_int3)*'Time on treatment'!$D$14)</f>
        <v>0</v>
      </c>
      <c r="T135" s="109">
        <f ca="1">(T73*c_on*12)+(T73*(ct_int3+ca_int3)*'Time on treatment'!$E$14)</f>
        <v>0</v>
      </c>
      <c r="U135" s="109">
        <f ca="1">(U73*c_on*12)+(U73*(ct_int3+ca_int3)*'Time on treatment'!$F$14)</f>
        <v>0</v>
      </c>
      <c r="V135" s="109">
        <f ca="1">(V73*c_on*12)+(V73*(ct_int3+ca_int3)*'Time on treatment'!$G$14)</f>
        <v>0</v>
      </c>
      <c r="W135" s="110">
        <f ca="1">(W73*c_on*12)+(W73*(ct_int3+ca_int3)*'Time on treatment'!$H$14)</f>
        <v>0</v>
      </c>
      <c r="Z135" s="87" t="s">
        <v>170</v>
      </c>
      <c r="AA135" s="109">
        <f ca="1">(AA73*c_inicial)+(AA73*c_on*12)+(AA73*ci_int4)+(AA73*(ct_int4+ca_int4)*'Time on treatment'!$D$15)</f>
        <v>0</v>
      </c>
      <c r="AB135" s="109">
        <f ca="1">(AB73*c_on*12)+(AB73*(ct_int4+ca_int4)*'Time on treatment'!$E$15)</f>
        <v>0</v>
      </c>
      <c r="AC135" s="109">
        <f ca="1">(AC73*c_on*12)+(AC73*(ct_int4+ca_int4)*'Time on treatment'!$F$15)</f>
        <v>0</v>
      </c>
      <c r="AD135" s="109">
        <f ca="1">(AD73*c_on*12)+(AD73*(ct_int4+ca_int4)*'Time on treatment'!$G$15)</f>
        <v>0</v>
      </c>
      <c r="AE135" s="110">
        <f ca="1">(AE73*c_on*12)+(AE73*(ct_int4+ca_int4)*'Time on treatment'!$H$15)</f>
        <v>0</v>
      </c>
      <c r="AH135" s="87" t="s">
        <v>170</v>
      </c>
      <c r="AI135" s="109">
        <f ca="1">(AI73*c_inicial)+(AI73*c_on*12)+(AI73*ci_comp1)+(AI73*(ct_comp1+ca_comp1)*'Time on treatment'!$D$19)</f>
        <v>7765965.20382345</v>
      </c>
      <c r="AJ135" s="109">
        <f ca="1">(AJ73*c_on*12)+(AJ73*(ct_comp1+ca_comp1)*'Time on treatment'!$E$19)</f>
        <v>6789850.9248109506</v>
      </c>
      <c r="AK135" s="109">
        <f ca="1">(AK73*c_on*12)+(AK73*(ct_comp1+ca_comp1)*'Time on treatment'!$F$19)</f>
        <v>6789850.9248109506</v>
      </c>
      <c r="AL135" s="109">
        <f ca="1">(AL73*c_on*12)+(AL73*(ct_comp1+ca_comp1)*'Time on treatment'!$G$19)</f>
        <v>6789850.9248109506</v>
      </c>
      <c r="AM135" s="110">
        <f ca="1">(AM73*c_on*12)+(AM73*(ct_comp1+ca_comp1)*'Time on treatment'!$H$19)</f>
        <v>6789850.9248109506</v>
      </c>
      <c r="AP135" s="87" t="s">
        <v>170</v>
      </c>
      <c r="AQ135" s="109">
        <f ca="1">(AQ73*c_inicial)+(AQ73*c_on*12)+(AQ73*ci_comp2)+(AQ73*(ct_comp2+ca_comp2)*'Time on treatment'!$D$20)</f>
        <v>0</v>
      </c>
      <c r="AR135" s="109">
        <f ca="1">(AR73*c_on*12)+(AR73*(ct_comp2+ca_comp2)*'Time on treatment'!$E$20)</f>
        <v>0</v>
      </c>
      <c r="AS135" s="109">
        <f ca="1">(AS73*c_on*12)+(AS73*(ct_comp2+ca_comp2)*'Time on treatment'!$F$20)</f>
        <v>0</v>
      </c>
      <c r="AT135" s="109">
        <f ca="1">(AT73*c_on*12)+(AT73*(ct_comp2+ca_comp2)*'Time on treatment'!$G$20)</f>
        <v>0</v>
      </c>
      <c r="AU135" s="110">
        <f ca="1">(AU73*c_on*12)+(AU73*(ct_comp2+ca_comp2)*'Time on treatment'!$H$20)</f>
        <v>0</v>
      </c>
      <c r="AX135" s="87" t="s">
        <v>170</v>
      </c>
      <c r="AY135" s="109">
        <f ca="1">(AY73*c_inicial)+(AY73*c_on*12)+(AY73*ci_comp3)+(AY73*(ct_comp3+ca_comp3)*'Time on treatment'!$D$21)</f>
        <v>0</v>
      </c>
      <c r="AZ135" s="109">
        <f ca="1">(AZ73*c_on*12)+(AZ73*(ct_comp3+ca_comp3)*'Time on treatment'!$E$21)</f>
        <v>0</v>
      </c>
      <c r="BA135" s="109">
        <f ca="1">(BA73*c_on*12)+(BA73*(ct_comp3+ca_comp3)*'Time on treatment'!$F$21)</f>
        <v>0</v>
      </c>
      <c r="BB135" s="109">
        <f ca="1">(BB73*c_on*12)+(BB73*(ct_comp3+ca_comp3)*'Time on treatment'!$G$21)</f>
        <v>0</v>
      </c>
      <c r="BC135" s="110">
        <f ca="1">(BC73*c_on*12)+(BC73*(ct_comp3+ca_comp3)*'Time on treatment'!$H$21)</f>
        <v>0</v>
      </c>
      <c r="BF135" s="87" t="s">
        <v>170</v>
      </c>
      <c r="BG135" s="109">
        <f ca="1">(BG73*c_inicial)+(BG73*c_on*12)+(BG73*ci_comp4)+(BG73*(ct_comp4+ca_comp4)*'Time on treatment'!$D$22)</f>
        <v>0</v>
      </c>
      <c r="BH135" s="109">
        <f ca="1">(BH73*c_on*12)+(BH73*(ct_comp4+ca_comp4)*'Time on treatment'!$E$22)</f>
        <v>0</v>
      </c>
      <c r="BI135" s="109">
        <f ca="1">(BI73*c_on*12)+(BI73*(ct_comp4+ca_comp4)*'Time on treatment'!$F$22)</f>
        <v>0</v>
      </c>
      <c r="BJ135" s="109">
        <f ca="1">(BJ73*c_on*12)+(BJ73*(ct_comp4+ca_comp4)*'Time on treatment'!$G$22)</f>
        <v>0</v>
      </c>
      <c r="BK135" s="110">
        <f ca="1">(BK73*c_on*12)+(BK73*(ct_comp4+ca_comp4)*'Time on treatment'!$H$22)</f>
        <v>0</v>
      </c>
      <c r="BN135" s="87" t="s">
        <v>170</v>
      </c>
      <c r="BO135" s="109">
        <f ca="1">(BO73*c_inicial)+(BO73*c_on*12)+(BO73*ci_comp5)+(BO73*(ct_comp5+ca_comp5)*'Time on treatment'!$D$23)</f>
        <v>0</v>
      </c>
      <c r="BP135" s="109">
        <f ca="1">(BP73*c_on*12)+(BP73*(ct_comp5+ca_comp5)*'Time on treatment'!$E$23)</f>
        <v>0</v>
      </c>
      <c r="BQ135" s="109">
        <f ca="1">(BQ73*c_on*12)+(BQ73*(ct_comp5+ca_comp5)*'Time on treatment'!$F$23)</f>
        <v>0</v>
      </c>
      <c r="BR135" s="109">
        <f ca="1">(BR73*c_on*12)+(BR73*(ct_comp5+ca_comp5)*'Time on treatment'!$G$23)</f>
        <v>0</v>
      </c>
      <c r="BS135" s="110">
        <f ca="1">(BS73*c_on*12)+(BS73*(ct_comp5+ca_comp5)*'Time on treatment'!$H$23)</f>
        <v>0</v>
      </c>
      <c r="BV135" s="87" t="s">
        <v>170</v>
      </c>
      <c r="BW135" s="109">
        <f ca="1">(BW73*c_inicial)+(BW73*c_on*12)+(BW73*ci_comp6)+(BW73*(ct_comp6+ca_comp6)*'Time on treatment'!$D$24)</f>
        <v>0</v>
      </c>
      <c r="BX135" s="109">
        <f ca="1">(BX73*c_on*12)+(BX73*(ct_comp6+ca_comp6)*'Time on treatment'!$E$24)</f>
        <v>0</v>
      </c>
      <c r="BY135" s="109">
        <f ca="1">(BY73*c_on*12)+(BY73*(ct_comp6+ca_comp6)*'Time on treatment'!$F$24)</f>
        <v>0</v>
      </c>
      <c r="BZ135" s="109">
        <f ca="1">(BZ73*c_on*12)+(BZ73*(ct_comp6+ca_comp6)*'Time on treatment'!$G$24)</f>
        <v>0</v>
      </c>
      <c r="CA135" s="110">
        <f ca="1">(CA73*c_on*12)+(CA73*(ct_comp6+ca_comp6)*'Time on treatment'!$H$24)</f>
        <v>0</v>
      </c>
      <c r="CD135" s="87" t="s">
        <v>170</v>
      </c>
      <c r="CE135" s="109">
        <f ca="1">(CE73*c_inicial)+(CE73*c_on*12)+(CE73*ci_comp7)+(CE73*(ct_comp7+ca_comp7)*'Time on treatment'!$D$25)</f>
        <v>0</v>
      </c>
      <c r="CF135" s="109">
        <f ca="1">(CF73*c_on*12)+(CF73*(ct_comp7+ca_comp7)*'Time on treatment'!$E$25)</f>
        <v>0</v>
      </c>
      <c r="CG135" s="109">
        <f ca="1">(CG73*c_on*12)+(CG73*(ct_comp7+ca_comp7)*'Time on treatment'!$F$25)</f>
        <v>0</v>
      </c>
      <c r="CH135" s="109">
        <f ca="1">(CH73*c_on*12)+(CH73*(ct_comp7+ca_comp7)*'Time on treatment'!$G$25)</f>
        <v>0</v>
      </c>
      <c r="CI135" s="110">
        <f ca="1">(CI73*c_on*12)+(CI73*(ct_comp7+ca_comp7)*'Time on treatment'!$H$25)</f>
        <v>0</v>
      </c>
      <c r="CL135" s="87" t="s">
        <v>170</v>
      </c>
      <c r="CM135" s="109">
        <f ca="1">(CM73*c_inicial)+(CM73*c_on*12)+(CM73*ci_comp8)+(CM73*(ct_comp8+ca_comp8)*'Time on treatment'!$D$26)</f>
        <v>0</v>
      </c>
      <c r="CN135" s="109">
        <f ca="1">(CN73*c_on*12)+(CN73*(ct_comp8+ca_comp8)*'Time on treatment'!$E$26)</f>
        <v>0</v>
      </c>
      <c r="CO135" s="109">
        <f ca="1">(CO73*c_on*12)+(CO73*(ct_comp8+ca_comp8)*'Time on treatment'!$F$26)</f>
        <v>0</v>
      </c>
      <c r="CP135" s="109">
        <f ca="1">(CP73*c_on*12)+(CP73*(ct_comp8+ca_comp8)*'Time on treatment'!$G$26)</f>
        <v>0</v>
      </c>
      <c r="CQ135" s="110">
        <f ca="1">(CQ73*c_on*12)+(CQ73*(ct_comp8+ca_comp8)*'Time on treatment'!$H$26)</f>
        <v>0</v>
      </c>
      <c r="CT135" s="87" t="s">
        <v>170</v>
      </c>
      <c r="CU135" s="109">
        <f ca="1">(CU73*c_inicial)+(CU73*c_on*12)+(CU73*ci_comp9)+(CU73*(ct_comp9+ca_comp9)*'Time on treatment'!$D$27)</f>
        <v>0</v>
      </c>
      <c r="CV135" s="109">
        <f ca="1">(CV73*c_on*12)+(CV73*(ct_comp9+ca_comp9)*'Time on treatment'!$E$27)</f>
        <v>0</v>
      </c>
      <c r="CW135" s="109">
        <f ca="1">(CW73*c_on*12)+(CW73*(ct_comp9+ca_comp9)*'Time on treatment'!$F$27)</f>
        <v>0</v>
      </c>
      <c r="CX135" s="109">
        <f ca="1">(CX73*c_on*12)+(CX73*(ct_comp9+ca_comp9)*'Time on treatment'!$G$27)</f>
        <v>0</v>
      </c>
      <c r="CY135" s="110">
        <f ca="1">(CY73*c_on*12)+(CY73*(ct_comp9+ca_comp9)*'Time on treatment'!$H$27)</f>
        <v>0</v>
      </c>
      <c r="DB135" s="87" t="s">
        <v>170</v>
      </c>
      <c r="DC135" s="109">
        <f ca="1">(DC73*c_inicial)+(DC73*c_on*12)+(DC73*ci_comp10)+(DC73*(ct_comp10+ca_comp10)*'Time on treatment'!$D$28)</f>
        <v>0</v>
      </c>
      <c r="DD135" s="109">
        <f ca="1">(DD73*c_on*12)+(DD73*(ct_comp10+ca_comp10)*'Time on treatment'!$E$28)</f>
        <v>0</v>
      </c>
      <c r="DE135" s="109">
        <f ca="1">(DE73*c_on*12)+(DE73*(ct_comp10+ca_comp10)*'Time on treatment'!$F$28)</f>
        <v>0</v>
      </c>
      <c r="DF135" s="109">
        <f ca="1">(DF73*c_on*12)+(DF73*(ct_comp10+ca_comp10)*'Time on treatment'!$G$28)</f>
        <v>0</v>
      </c>
      <c r="DG135" s="110">
        <f ca="1">(DG73*c_on*12)+(DG73*(ct_comp10+ca_comp10)*'Time on treatment'!$H$28)</f>
        <v>0</v>
      </c>
    </row>
    <row r="136" spans="2:111">
      <c r="B136" s="87" t="s">
        <v>175</v>
      </c>
      <c r="C136" s="109">
        <f>C74*c_off</f>
        <v>0</v>
      </c>
      <c r="D136" s="109">
        <f>D74*c_off</f>
        <v>58.566856740750119</v>
      </c>
      <c r="E136" s="109">
        <f>E74*c_off</f>
        <v>105.42034213335005</v>
      </c>
      <c r="F136" s="109">
        <f>F74*c_off</f>
        <v>152.27382752594994</v>
      </c>
      <c r="G136" s="110">
        <f>G74*c_off</f>
        <v>199.12731291854985</v>
      </c>
      <c r="J136" s="87" t="s">
        <v>175</v>
      </c>
      <c r="K136" s="109">
        <f>K74*c_off</f>
        <v>0</v>
      </c>
      <c r="L136" s="109">
        <f>L74*c_off</f>
        <v>15.617828464200059</v>
      </c>
      <c r="M136" s="109">
        <f>M74*c_off</f>
        <v>23.426742696299979</v>
      </c>
      <c r="N136" s="109">
        <f>N74*c_off</f>
        <v>46.853485392599957</v>
      </c>
      <c r="O136" s="110">
        <f>O74*c_off</f>
        <v>54.662399624700015</v>
      </c>
      <c r="R136" s="87" t="s">
        <v>175</v>
      </c>
      <c r="S136" s="109">
        <f>S74*c_off</f>
        <v>0</v>
      </c>
      <c r="T136" s="109">
        <f>T74*c_off</f>
        <v>0</v>
      </c>
      <c r="U136" s="109">
        <f>U74*c_off</f>
        <v>0</v>
      </c>
      <c r="V136" s="109">
        <f>V74*c_off</f>
        <v>0</v>
      </c>
      <c r="W136" s="110">
        <f>W74*c_off</f>
        <v>0</v>
      </c>
      <c r="Z136" s="87" t="s">
        <v>175</v>
      </c>
      <c r="AA136" s="109">
        <f>AA74*c_off</f>
        <v>0</v>
      </c>
      <c r="AB136" s="109">
        <f>AB74*c_off</f>
        <v>0</v>
      </c>
      <c r="AC136" s="109">
        <f>AC74*c_off</f>
        <v>0</v>
      </c>
      <c r="AD136" s="109">
        <f>AD74*c_off</f>
        <v>0</v>
      </c>
      <c r="AE136" s="110">
        <f>AE74*c_off</f>
        <v>0</v>
      </c>
      <c r="AH136" s="87" t="s">
        <v>175</v>
      </c>
      <c r="AI136" s="109">
        <f>AI74*c_off</f>
        <v>0</v>
      </c>
      <c r="AJ136" s="109">
        <f>AJ74*c_off</f>
        <v>0</v>
      </c>
      <c r="AK136" s="109">
        <f>AK74*c_off</f>
        <v>0</v>
      </c>
      <c r="AL136" s="109">
        <f>AL74*c_off</f>
        <v>0</v>
      </c>
      <c r="AM136" s="110">
        <f>AM74*c_off</f>
        <v>0</v>
      </c>
      <c r="AP136" s="87" t="s">
        <v>175</v>
      </c>
      <c r="AQ136" s="109">
        <f>AQ74*c_off</f>
        <v>0</v>
      </c>
      <c r="AR136" s="109">
        <f>AR74*c_off</f>
        <v>0</v>
      </c>
      <c r="AS136" s="109">
        <f>AS74*c_off</f>
        <v>0</v>
      </c>
      <c r="AT136" s="109">
        <f>AT74*c_off</f>
        <v>0</v>
      </c>
      <c r="AU136" s="110">
        <f>AU74*c_off</f>
        <v>0</v>
      </c>
      <c r="AX136" s="87" t="s">
        <v>175</v>
      </c>
      <c r="AY136" s="109">
        <f>AY74*c_off</f>
        <v>0</v>
      </c>
      <c r="AZ136" s="109">
        <f>AZ74*c_off</f>
        <v>0</v>
      </c>
      <c r="BA136" s="109">
        <f>BA74*c_off</f>
        <v>0</v>
      </c>
      <c r="BB136" s="109">
        <f>BB74*c_off</f>
        <v>0</v>
      </c>
      <c r="BC136" s="110">
        <f>BC74*c_off</f>
        <v>0</v>
      </c>
      <c r="BF136" s="87" t="s">
        <v>175</v>
      </c>
      <c r="BG136" s="109">
        <f>BG74*c_off</f>
        <v>0</v>
      </c>
      <c r="BH136" s="109">
        <f>BH74*c_off</f>
        <v>0</v>
      </c>
      <c r="BI136" s="109">
        <f>BI74*c_off</f>
        <v>0</v>
      </c>
      <c r="BJ136" s="109">
        <f>BJ74*c_off</f>
        <v>0</v>
      </c>
      <c r="BK136" s="110">
        <f>BK74*c_off</f>
        <v>0</v>
      </c>
      <c r="BN136" s="87" t="s">
        <v>175</v>
      </c>
      <c r="BO136" s="109">
        <f>BO74*c_off</f>
        <v>0</v>
      </c>
      <c r="BP136" s="109">
        <f>BP74*c_off</f>
        <v>0</v>
      </c>
      <c r="BQ136" s="109">
        <f>BQ74*c_off</f>
        <v>0</v>
      </c>
      <c r="BR136" s="109">
        <f>BR74*c_off</f>
        <v>0</v>
      </c>
      <c r="BS136" s="110">
        <f>BS74*c_off</f>
        <v>0</v>
      </c>
      <c r="BV136" s="87" t="s">
        <v>175</v>
      </c>
      <c r="BW136" s="109">
        <f>BW74*c_off</f>
        <v>0</v>
      </c>
      <c r="BX136" s="109">
        <f>BX74*c_off</f>
        <v>0</v>
      </c>
      <c r="BY136" s="109">
        <f>BY74*c_off</f>
        <v>0</v>
      </c>
      <c r="BZ136" s="109">
        <f>BZ74*c_off</f>
        <v>0</v>
      </c>
      <c r="CA136" s="110">
        <f>CA74*c_off</f>
        <v>0</v>
      </c>
      <c r="CD136" s="87" t="s">
        <v>175</v>
      </c>
      <c r="CE136" s="109">
        <f>CE74*c_off</f>
        <v>0</v>
      </c>
      <c r="CF136" s="109">
        <f>CF74*c_off</f>
        <v>0</v>
      </c>
      <c r="CG136" s="109">
        <f>CG74*c_off</f>
        <v>0</v>
      </c>
      <c r="CH136" s="109">
        <f>CH74*c_off</f>
        <v>0</v>
      </c>
      <c r="CI136" s="110">
        <f>CI74*c_off</f>
        <v>0</v>
      </c>
      <c r="CL136" s="87" t="s">
        <v>175</v>
      </c>
      <c r="CM136" s="109">
        <f>CM74*c_off</f>
        <v>0</v>
      </c>
      <c r="CN136" s="109">
        <f>CN74*c_off</f>
        <v>0</v>
      </c>
      <c r="CO136" s="109">
        <f>CO74*c_off</f>
        <v>0</v>
      </c>
      <c r="CP136" s="109">
        <f>CP74*c_off</f>
        <v>0</v>
      </c>
      <c r="CQ136" s="110">
        <f>CQ74*c_off</f>
        <v>0</v>
      </c>
      <c r="CT136" s="87" t="s">
        <v>175</v>
      </c>
      <c r="CU136" s="109">
        <f>CU74*c_off</f>
        <v>0</v>
      </c>
      <c r="CV136" s="109">
        <f>CV74*c_off</f>
        <v>0</v>
      </c>
      <c r="CW136" s="109">
        <f>CW74*c_off</f>
        <v>0</v>
      </c>
      <c r="CX136" s="109">
        <f>CX74*c_off</f>
        <v>0</v>
      </c>
      <c r="CY136" s="110">
        <f>CY74*c_off</f>
        <v>0</v>
      </c>
      <c r="DB136" s="87" t="s">
        <v>175</v>
      </c>
      <c r="DC136" s="109">
        <f>DC74*c_off</f>
        <v>0</v>
      </c>
      <c r="DD136" s="109">
        <f>DD74*c_off</f>
        <v>0</v>
      </c>
      <c r="DE136" s="109">
        <f>DE74*c_off</f>
        <v>0</v>
      </c>
      <c r="DF136" s="109">
        <f>DF74*c_off</f>
        <v>0</v>
      </c>
      <c r="DG136" s="110">
        <f>DG74*c_off</f>
        <v>0</v>
      </c>
    </row>
    <row r="137" spans="2:111">
      <c r="B137" s="87" t="s">
        <v>171</v>
      </c>
      <c r="C137" s="111"/>
      <c r="D137" s="109">
        <f ca="1">(D75*c_inicial)+(D75*c_on*12)+(D75*ci_int1)+(D75*(ct_int1+ca_int1)*'Time on treatment'!$D$12)</f>
        <v>3158451.170859375</v>
      </c>
      <c r="E137" s="109">
        <f ca="1">(E75*c_on*12)+(E75*(ct_int1+ca_int1)*'Time on treatment'!$E$12)</f>
        <v>2902150.6250273446</v>
      </c>
      <c r="F137" s="109">
        <f ca="1">(F75*c_on*12)+(F75*(ct_int1+ca_int1)*'Time on treatment'!$F$12)</f>
        <v>65240.138939062512</v>
      </c>
      <c r="G137" s="110">
        <f ca="1">(G75*c_on*12)+(G75*(ct_int1+ca_int1)*'Time on treatment'!$G$12)</f>
        <v>61615.686775781243</v>
      </c>
      <c r="J137" s="87" t="s">
        <v>171</v>
      </c>
      <c r="K137" s="111"/>
      <c r="L137" s="109">
        <f ca="1">(L75*c_inicial)+(L75*c_on*12)+(L75*ci_int2)+(L75*(ct_int2+ca_int2)*'Time on treatment'!$D$13)</f>
        <v>1828988.309931</v>
      </c>
      <c r="M137" s="109">
        <f ca="1">(M75*c_on*12)+(M75*(ct_int2+ca_int2)*'Time on treatment'!$E$13)</f>
        <v>1700395.78481388</v>
      </c>
      <c r="N137" s="109">
        <f ca="1">(N75*c_on*12)+(N75*(ct_int2+ca_int2)*'Time on treatment'!$F$13)</f>
        <v>1665693.8300217602</v>
      </c>
      <c r="O137" s="110">
        <f ca="1">(O75*c_on*12)+(O75*(ct_int2+ca_int2)*'Time on treatment'!$G$13)</f>
        <v>1596289.9204375204</v>
      </c>
      <c r="R137" s="87" t="s">
        <v>171</v>
      </c>
      <c r="S137" s="111"/>
      <c r="T137" s="109">
        <f ca="1">(T75*c_inicial)+(T75*c_on*12)+(T75*ci_int3)+(T75*(ct_int3+ca_int3)*'Time on treatment'!$D$14)</f>
        <v>0</v>
      </c>
      <c r="U137" s="109">
        <f ca="1">(U75*c_on*12)+(U75*(ct_int3+ca_int3)*'Time on treatment'!$E$14)</f>
        <v>0</v>
      </c>
      <c r="V137" s="109">
        <f ca="1">(V75*c_on*12)+(V75*(ct_int3+ca_int3)*'Time on treatment'!$F$14)</f>
        <v>0</v>
      </c>
      <c r="W137" s="110">
        <f ca="1">(W75*c_on*12)+(W75*(ct_int3+ca_int3)*'Time on treatment'!$G$14)</f>
        <v>0</v>
      </c>
      <c r="Z137" s="87" t="s">
        <v>171</v>
      </c>
      <c r="AA137" s="111"/>
      <c r="AB137" s="109">
        <f ca="1">(AB75*c_inicial)+(AB75*c_on*12)+(AB75*ci_int4)+(AB75*(ct_int4+ca_int4)*'Time on treatment'!$D$15)</f>
        <v>0</v>
      </c>
      <c r="AC137" s="109">
        <f ca="1">(AC75*c_on*12)+(AC75*(ct_int4+ca_int4)*'Time on treatment'!$E$15)</f>
        <v>0</v>
      </c>
      <c r="AD137" s="109">
        <f ca="1">(AD75*c_on*12)+(AD75*(ct_int4+ca_int4)*'Time on treatment'!$F$15)</f>
        <v>0</v>
      </c>
      <c r="AE137" s="110">
        <f ca="1">(AE75*c_on*12)+(AE75*(ct_int4+ca_int4)*'Time on treatment'!$G$15)</f>
        <v>0</v>
      </c>
      <c r="AH137" s="87" t="s">
        <v>171</v>
      </c>
      <c r="AI137" s="111"/>
      <c r="AJ137" s="109">
        <f ca="1">(AJ75*c_inicial)+(AJ75*c_on*12)+(AJ75*ci_comp1)+(AJ75*(ct_comp1+ca_comp1)*'Time on treatment'!$D$19)</f>
        <v>6755895.9877353758</v>
      </c>
      <c r="AK137" s="109">
        <f ca="1">(AK75*c_on*12)+(AK75*(ct_comp1+ca_comp1)*'Time on treatment'!$E$19)</f>
        <v>5906738.6237666253</v>
      </c>
      <c r="AL137" s="109">
        <f ca="1">(AL75*c_on*12)+(AL75*(ct_comp1+ca_comp1)*'Time on treatment'!$F$19)</f>
        <v>5906738.6237666253</v>
      </c>
      <c r="AM137" s="110">
        <f ca="1">(AM75*c_on*12)+(AM75*(ct_comp1+ca_comp1)*'Time on treatment'!$G$19)</f>
        <v>5906738.6237666253</v>
      </c>
      <c r="AP137" s="87" t="s">
        <v>171</v>
      </c>
      <c r="AQ137" s="111"/>
      <c r="AR137" s="109">
        <f ca="1">(AR75*c_inicial)+(AR75*c_on*12)+(AR75*ci_comp2)+(AR75*(ct_comp2+ca_comp2)*'Time on treatment'!$D$20)</f>
        <v>0</v>
      </c>
      <c r="AS137" s="109">
        <f ca="1">(AS75*c_on*12)+(AS75*(ct_comp2+ca_comp2)*'Time on treatment'!$E$20)</f>
        <v>0</v>
      </c>
      <c r="AT137" s="109">
        <f ca="1">(AT75*c_on*12)+(AT75*(ct_comp2+ca_comp2)*'Time on treatment'!$F$20)</f>
        <v>0</v>
      </c>
      <c r="AU137" s="110">
        <f ca="1">(AU75*c_on*12)+(AU75*(ct_comp2+ca_comp2)*'Time on treatment'!$G$20)</f>
        <v>0</v>
      </c>
      <c r="AX137" s="87" t="s">
        <v>171</v>
      </c>
      <c r="AY137" s="111"/>
      <c r="AZ137" s="109">
        <f ca="1">(AZ75*c_inicial)+(AZ75*c_on*12)+(AZ75*ci_comp3)+(AZ75*(ct_comp3+ca_comp3)*'Time on treatment'!$D$21)</f>
        <v>0</v>
      </c>
      <c r="BA137" s="109">
        <f ca="1">(BA75*c_on*12)+(BA75*(ct_comp3+ca_comp3)*'Time on treatment'!$E$21)</f>
        <v>0</v>
      </c>
      <c r="BB137" s="109">
        <f ca="1">(BB75*c_on*12)+(BB75*(ct_comp3+ca_comp3)*'Time on treatment'!$F$21)</f>
        <v>0</v>
      </c>
      <c r="BC137" s="110">
        <f ca="1">(BC75*c_on*12)+(BC75*(ct_comp3+ca_comp3)*'Time on treatment'!$G$21)</f>
        <v>0</v>
      </c>
      <c r="BF137" s="87" t="s">
        <v>171</v>
      </c>
      <c r="BG137" s="111"/>
      <c r="BH137" s="109">
        <f ca="1">(BH75*c_inicial)+(BH75*c_on*12)+(BH75*ci_comp4)+(BH75*(ct_comp4+ca_comp4)*'Time on treatment'!$D$22)</f>
        <v>0</v>
      </c>
      <c r="BI137" s="109">
        <f ca="1">(BI75*c_on*12)+(BI75*(ct_comp4+ca_comp4)*'Time on treatment'!$E$22)</f>
        <v>0</v>
      </c>
      <c r="BJ137" s="109">
        <f ca="1">(BJ75*c_on*12)+(BJ75*(ct_comp4+ca_comp4)*'Time on treatment'!$F$22)</f>
        <v>0</v>
      </c>
      <c r="BK137" s="110">
        <f ca="1">(BK75*c_on*12)+(BK75*(ct_comp4+ca_comp4)*'Time on treatment'!$G$22)</f>
        <v>0</v>
      </c>
      <c r="BN137" s="87" t="s">
        <v>171</v>
      </c>
      <c r="BO137" s="111"/>
      <c r="BP137" s="109">
        <f ca="1">(BP75*c_inicial)+(BP75*c_on*12)+(BP75*ci_comp5)+(BP75*(ct_comp5+ca_comp5)*'Time on treatment'!$D$23)</f>
        <v>0</v>
      </c>
      <c r="BQ137" s="109">
        <f ca="1">(BQ75*c_on*12)+(BQ75*(ct_comp5+ca_comp5)*'Time on treatment'!$E$23)</f>
        <v>0</v>
      </c>
      <c r="BR137" s="109">
        <f ca="1">(BR75*c_on*12)+(BR75*(ct_comp5+ca_comp5)*'Time on treatment'!$F$23)</f>
        <v>0</v>
      </c>
      <c r="BS137" s="110">
        <f ca="1">(BS75*c_on*12)+(BS75*(ct_comp5+ca_comp5)*'Time on treatment'!$G$23)</f>
        <v>0</v>
      </c>
      <c r="BV137" s="87" t="s">
        <v>171</v>
      </c>
      <c r="BW137" s="111"/>
      <c r="BX137" s="109">
        <f ca="1">(BX75*c_inicial)+(BX75*c_on*12)+(BX75*ci_comp6)+(BX75*(ct_comp6+ca_comp6)*'Time on treatment'!$D$24)</f>
        <v>0</v>
      </c>
      <c r="BY137" s="109">
        <f ca="1">(BY75*c_on*12)+(BY75*(ct_comp6+ca_comp6)*'Time on treatment'!$E$24)</f>
        <v>0</v>
      </c>
      <c r="BZ137" s="109">
        <f ca="1">(BZ75*c_on*12)+(BZ75*(ct_comp6+ca_comp6)*'Time on treatment'!$F$24)</f>
        <v>0</v>
      </c>
      <c r="CA137" s="110">
        <f ca="1">(CA75*c_on*12)+(CA75*(ct_comp6+ca_comp6)*'Time on treatment'!$G$24)</f>
        <v>0</v>
      </c>
      <c r="CD137" s="87" t="s">
        <v>171</v>
      </c>
      <c r="CE137" s="111"/>
      <c r="CF137" s="109">
        <f ca="1">(CF75*c_inicial)+(CF75*c_on*12)+(CF75*ci_comp7)+(CF75*(ct_comp7+ca_comp7)*'Time on treatment'!$D$25)</f>
        <v>0</v>
      </c>
      <c r="CG137" s="109">
        <f ca="1">(CG75*c_on*12)+(CG75*(ct_comp7+ca_comp7)*'Time on treatment'!$E$25)</f>
        <v>0</v>
      </c>
      <c r="CH137" s="109">
        <f ca="1">(CH75*c_on*12)+(CH75*(ct_comp7+ca_comp7)*'Time on treatment'!$F$25)</f>
        <v>0</v>
      </c>
      <c r="CI137" s="110">
        <f ca="1">(CI75*c_on*12)+(CI75*(ct_comp7+ca_comp7)*'Time on treatment'!$G$25)</f>
        <v>0</v>
      </c>
      <c r="CL137" s="87" t="s">
        <v>171</v>
      </c>
      <c r="CM137" s="111"/>
      <c r="CN137" s="109">
        <f ca="1">(CN75*c_inicial)+(CN75*c_on*12)+(CN75*ci_comp8)+(CN75*(ct_comp8+ca_comp8)*'Time on treatment'!$D$26)</f>
        <v>0</v>
      </c>
      <c r="CO137" s="109">
        <f ca="1">(CO75*c_on*12)+(CO75*(ct_comp8+ca_comp8)*'Time on treatment'!$E$26)</f>
        <v>0</v>
      </c>
      <c r="CP137" s="109">
        <f ca="1">(CP75*c_on*12)+(CP75*(ct_comp8+ca_comp8)*'Time on treatment'!$F$26)</f>
        <v>0</v>
      </c>
      <c r="CQ137" s="110">
        <f ca="1">(CQ75*c_on*12)+(CQ75*(ct_comp8+ca_comp8)*'Time on treatment'!$G$26)</f>
        <v>0</v>
      </c>
      <c r="CT137" s="87" t="s">
        <v>171</v>
      </c>
      <c r="CU137" s="111"/>
      <c r="CV137" s="109">
        <f ca="1">(CV75*c_inicial)+(CV75*c_on*12)+(CV75*ci_comp9)+(CV75*(ct_comp9+ca_comp9)*'Time on treatment'!$D$27)</f>
        <v>0</v>
      </c>
      <c r="CW137" s="109">
        <f ca="1">(CW75*c_on*12)+(CW75*(ct_comp9+ca_comp9)*'Time on treatment'!$E$27)</f>
        <v>0</v>
      </c>
      <c r="CX137" s="109">
        <f ca="1">(CX75*c_on*12)+(CX75*(ct_comp9+ca_comp9)*'Time on treatment'!$F$27)</f>
        <v>0</v>
      </c>
      <c r="CY137" s="110">
        <f ca="1">(CY75*c_on*12)+(CY75*(ct_comp9+ca_comp9)*'Time on treatment'!$G$27)</f>
        <v>0</v>
      </c>
      <c r="DB137" s="87" t="s">
        <v>171</v>
      </c>
      <c r="DC137" s="111"/>
      <c r="DD137" s="109">
        <f ca="1">(DD75*c_inicial)+(DD75*c_on*12)+(DD75*ci_comp10)+(DD75*(ct_comp10+ca_comp10)*'Time on treatment'!$D$28)</f>
        <v>0</v>
      </c>
      <c r="DE137" s="109">
        <f ca="1">(DE75*c_on*12)+(DE75*(ct_comp10+ca_comp10)*'Time on treatment'!$E$28)</f>
        <v>0</v>
      </c>
      <c r="DF137" s="109">
        <f ca="1">(DF75*c_on*12)+(DF75*(ct_comp10+ca_comp10)*'Time on treatment'!$F$28)</f>
        <v>0</v>
      </c>
      <c r="DG137" s="110">
        <f ca="1">(DG75*c_on*12)+(DG75*(ct_comp10+ca_comp10)*'Time on treatment'!$G$28)</f>
        <v>0</v>
      </c>
    </row>
    <row r="138" spans="2:111">
      <c r="B138" s="87" t="s">
        <v>176</v>
      </c>
      <c r="C138" s="111"/>
      <c r="D138" s="109">
        <f>D76*c_off</f>
        <v>0</v>
      </c>
      <c r="E138" s="109">
        <f>E76*c_off</f>
        <v>196.75597457812515</v>
      </c>
      <c r="F138" s="109">
        <f>F76*c_off</f>
        <v>354.16075424062456</v>
      </c>
      <c r="G138" s="110">
        <f>G76*c_off</f>
        <v>511.56553390312536</v>
      </c>
      <c r="J138" s="87" t="s">
        <v>176</v>
      </c>
      <c r="K138" s="111"/>
      <c r="L138" s="109">
        <f>L76*c_off</f>
        <v>0</v>
      </c>
      <c r="M138" s="109">
        <f>M76*c_off</f>
        <v>62.961911864999941</v>
      </c>
      <c r="N138" s="109">
        <f>N76*c_off</f>
        <v>94.442867797499844</v>
      </c>
      <c r="O138" s="110">
        <f>O76*c_off</f>
        <v>188.88573559499969</v>
      </c>
      <c r="R138" s="87" t="s">
        <v>176</v>
      </c>
      <c r="S138" s="111"/>
      <c r="T138" s="109">
        <f>T76*c_off</f>
        <v>0</v>
      </c>
      <c r="U138" s="109">
        <f>U76*c_off</f>
        <v>0</v>
      </c>
      <c r="V138" s="109">
        <f>V76*c_off</f>
        <v>0</v>
      </c>
      <c r="W138" s="110">
        <f>W76*c_off</f>
        <v>0</v>
      </c>
      <c r="Z138" s="87" t="s">
        <v>176</v>
      </c>
      <c r="AA138" s="111"/>
      <c r="AB138" s="109">
        <f>AB76*c_off</f>
        <v>0</v>
      </c>
      <c r="AC138" s="109">
        <f>AC76*c_off</f>
        <v>0</v>
      </c>
      <c r="AD138" s="109">
        <f>AD76*c_off</f>
        <v>0</v>
      </c>
      <c r="AE138" s="110">
        <f>AE76*c_off</f>
        <v>0</v>
      </c>
      <c r="AH138" s="87" t="s">
        <v>176</v>
      </c>
      <c r="AI138" s="111"/>
      <c r="AJ138" s="109">
        <f>AJ76*c_off</f>
        <v>0</v>
      </c>
      <c r="AK138" s="109">
        <f>AK76*c_off</f>
        <v>0</v>
      </c>
      <c r="AL138" s="109">
        <f>AL76*c_off</f>
        <v>0</v>
      </c>
      <c r="AM138" s="110">
        <f>AM76*c_off</f>
        <v>0</v>
      </c>
      <c r="AP138" s="87" t="s">
        <v>176</v>
      </c>
      <c r="AQ138" s="111"/>
      <c r="AR138" s="109">
        <f>AR76*c_off</f>
        <v>0</v>
      </c>
      <c r="AS138" s="109">
        <f>AS76*c_off</f>
        <v>0</v>
      </c>
      <c r="AT138" s="109">
        <f>AT76*c_off</f>
        <v>0</v>
      </c>
      <c r="AU138" s="110">
        <f>AU76*c_off</f>
        <v>0</v>
      </c>
      <c r="AX138" s="87" t="s">
        <v>176</v>
      </c>
      <c r="AY138" s="111"/>
      <c r="AZ138" s="109">
        <f>AZ76*c_off</f>
        <v>0</v>
      </c>
      <c r="BA138" s="109">
        <f>BA76*c_off</f>
        <v>0</v>
      </c>
      <c r="BB138" s="109">
        <f>BB76*c_off</f>
        <v>0</v>
      </c>
      <c r="BC138" s="110">
        <f>BC76*c_off</f>
        <v>0</v>
      </c>
      <c r="BF138" s="87" t="s">
        <v>176</v>
      </c>
      <c r="BG138" s="111"/>
      <c r="BH138" s="109">
        <f>BH76*c_off</f>
        <v>0</v>
      </c>
      <c r="BI138" s="109">
        <f>BI76*c_off</f>
        <v>0</v>
      </c>
      <c r="BJ138" s="109">
        <f>BJ76*c_off</f>
        <v>0</v>
      </c>
      <c r="BK138" s="110">
        <f>BK76*c_off</f>
        <v>0</v>
      </c>
      <c r="BN138" s="87" t="s">
        <v>176</v>
      </c>
      <c r="BO138" s="111"/>
      <c r="BP138" s="109">
        <f>BP76*c_off</f>
        <v>0</v>
      </c>
      <c r="BQ138" s="109">
        <f>BQ76*c_off</f>
        <v>0</v>
      </c>
      <c r="BR138" s="109">
        <f>BR76*c_off</f>
        <v>0</v>
      </c>
      <c r="BS138" s="110">
        <f>BS76*c_off</f>
        <v>0</v>
      </c>
      <c r="BV138" s="87" t="s">
        <v>176</v>
      </c>
      <c r="BW138" s="111"/>
      <c r="BX138" s="109">
        <f>BX76*c_off</f>
        <v>0</v>
      </c>
      <c r="BY138" s="109">
        <f>BY76*c_off</f>
        <v>0</v>
      </c>
      <c r="BZ138" s="109">
        <f>BZ76*c_off</f>
        <v>0</v>
      </c>
      <c r="CA138" s="110">
        <f>CA76*c_off</f>
        <v>0</v>
      </c>
      <c r="CD138" s="87" t="s">
        <v>176</v>
      </c>
      <c r="CE138" s="111"/>
      <c r="CF138" s="109">
        <f>CF76*c_off</f>
        <v>0</v>
      </c>
      <c r="CG138" s="109">
        <f>CG76*c_off</f>
        <v>0</v>
      </c>
      <c r="CH138" s="109">
        <f>CH76*c_off</f>
        <v>0</v>
      </c>
      <c r="CI138" s="110">
        <f>CI76*c_off</f>
        <v>0</v>
      </c>
      <c r="CL138" s="87" t="s">
        <v>176</v>
      </c>
      <c r="CM138" s="111"/>
      <c r="CN138" s="109">
        <f>CN76*c_off</f>
        <v>0</v>
      </c>
      <c r="CO138" s="109">
        <f>CO76*c_off</f>
        <v>0</v>
      </c>
      <c r="CP138" s="109">
        <f>CP76*c_off</f>
        <v>0</v>
      </c>
      <c r="CQ138" s="110">
        <f>CQ76*c_off</f>
        <v>0</v>
      </c>
      <c r="CT138" s="87" t="s">
        <v>176</v>
      </c>
      <c r="CU138" s="111"/>
      <c r="CV138" s="109">
        <f>CV76*c_off</f>
        <v>0</v>
      </c>
      <c r="CW138" s="109">
        <f>CW76*c_off</f>
        <v>0</v>
      </c>
      <c r="CX138" s="109">
        <f>CX76*c_off</f>
        <v>0</v>
      </c>
      <c r="CY138" s="110">
        <f>CY76*c_off</f>
        <v>0</v>
      </c>
      <c r="DB138" s="87" t="s">
        <v>176</v>
      </c>
      <c r="DC138" s="111"/>
      <c r="DD138" s="109">
        <f>DD76*c_off</f>
        <v>0</v>
      </c>
      <c r="DE138" s="109">
        <f>DE76*c_off</f>
        <v>0</v>
      </c>
      <c r="DF138" s="109">
        <f>DF76*c_off</f>
        <v>0</v>
      </c>
      <c r="DG138" s="110">
        <f>DG76*c_off</f>
        <v>0</v>
      </c>
    </row>
    <row r="139" spans="2:111">
      <c r="B139" s="87" t="s">
        <v>172</v>
      </c>
      <c r="C139" s="111"/>
      <c r="D139" s="111"/>
      <c r="E139" s="109">
        <f ca="1">(E77*c_inicial)+(E77*c_on*12)+(E77*ci_int1)+(E77*(ct_int1+ca_int1)*'Time on treatment'!$D$12)</f>
        <v>6364708.99636875</v>
      </c>
      <c r="F139" s="109">
        <f ca="1">(F77*c_on*12)+(F77*(ct_int1+ca_int1)*'Time on treatment'!$E$12)</f>
        <v>5848228.5122371875</v>
      </c>
      <c r="G139" s="110">
        <f ca="1">(G77*c_on*12)+(G77*(ct_int1+ca_int1)*'Time on treatment'!$F$12)</f>
        <v>131467.759597125</v>
      </c>
      <c r="J139" s="87" t="s">
        <v>172</v>
      </c>
      <c r="K139" s="111"/>
      <c r="L139" s="111"/>
      <c r="M139" s="109">
        <f ca="1">(M77*c_inicial)+(M77*c_on*12)+(M77*ci_int2)+(M77*(ct_int2+ca_int2)*'Time on treatment'!$D$13)</f>
        <v>4146367.9303032304</v>
      </c>
      <c r="N139" s="109">
        <f ca="1">(N77*c_on*12)+(N77*(ct_int2+ca_int2)*'Time on treatment'!$E$13)</f>
        <v>3854845.0598030603</v>
      </c>
      <c r="O139" s="110">
        <f ca="1">(O77*c_on*12)+(O77*(ct_int2+ca_int2)*'Time on treatment'!$F$13)</f>
        <v>3776174.7524601407</v>
      </c>
      <c r="R139" s="87" t="s">
        <v>172</v>
      </c>
      <c r="S139" s="111"/>
      <c r="T139" s="111"/>
      <c r="U139" s="109">
        <f ca="1">(U77*c_inicial)+(U77*c_on*12)+(U77*ci_int3)+(U77*(ct_int3+ca_int3)*'Time on treatment'!$D$14)</f>
        <v>0</v>
      </c>
      <c r="V139" s="109">
        <f ca="1">(V77*c_on*12)+(V77*(ct_int3+ca_int3)*'Time on treatment'!$E$14)</f>
        <v>0</v>
      </c>
      <c r="W139" s="110">
        <f ca="1">(W77*c_on*12)+(W77*(ct_int3+ca_int3)*'Time on treatment'!$F$14)</f>
        <v>0</v>
      </c>
      <c r="Z139" s="87" t="s">
        <v>172</v>
      </c>
      <c r="AA139" s="111"/>
      <c r="AB139" s="111"/>
      <c r="AC139" s="109">
        <f ca="1">(AC77*c_inicial)+(AC77*c_on*12)+(AC77*ci_int4)+(AC77*(ct_int4+ca_int4)*'Time on treatment'!$D$15)</f>
        <v>0</v>
      </c>
      <c r="AD139" s="109">
        <f ca="1">(AD77*c_on*12)+(AD77*(ct_int4+ca_int4)*'Time on treatment'!$E$15)</f>
        <v>0</v>
      </c>
      <c r="AE139" s="110">
        <f ca="1">(AE77*c_on*12)+(AE77*(ct_int4+ca_int4)*'Time on treatment'!$F$15)</f>
        <v>0</v>
      </c>
      <c r="AH139" s="87" t="s">
        <v>172</v>
      </c>
      <c r="AI139" s="111"/>
      <c r="AJ139" s="111"/>
      <c r="AK139" s="109">
        <f ca="1">(AK77*c_inicial)+(AK77*c_on*12)+(AK77*ci_comp1)+(AK77*(ct_comp1+ca_comp1)*'Time on treatment'!$D$19)</f>
        <v>5146774.977142306</v>
      </c>
      <c r="AL139" s="109">
        <f ca="1">(AL77*c_on*12)+(AL77*(ct_comp1+ca_comp1)*'Time on treatment'!$E$19)</f>
        <v>4499870.1283310559</v>
      </c>
      <c r="AM139" s="110">
        <f ca="1">(AM77*c_on*12)+(AM77*(ct_comp1+ca_comp1)*'Time on treatment'!$F$19)</f>
        <v>4499870.1283310559</v>
      </c>
      <c r="AP139" s="87" t="s">
        <v>172</v>
      </c>
      <c r="AQ139" s="111"/>
      <c r="AR139" s="111"/>
      <c r="AS139" s="109">
        <f ca="1">(AS77*c_inicial)+(AS77*c_on*12)+(AS77*ci_comp2)+(AS77*(ct_comp2+ca_comp2)*'Time on treatment'!$D$20)</f>
        <v>0</v>
      </c>
      <c r="AT139" s="109">
        <f ca="1">(AT77*c_on*12)+(AT77*(ct_comp2+ca_comp2)*'Time on treatment'!$E$20)</f>
        <v>0</v>
      </c>
      <c r="AU139" s="110">
        <f ca="1">(AU77*c_on*12)+(AU77*(ct_comp2+ca_comp2)*'Time on treatment'!$F$20)</f>
        <v>0</v>
      </c>
      <c r="AX139" s="87" t="s">
        <v>172</v>
      </c>
      <c r="AY139" s="111"/>
      <c r="AZ139" s="111"/>
      <c r="BA139" s="109">
        <f ca="1">(BA77*c_inicial)+(BA77*c_on*12)+(BA77*ci_comp3)+(BA77*(ct_comp3+ca_comp3)*'Time on treatment'!$D$21)</f>
        <v>0</v>
      </c>
      <c r="BB139" s="109">
        <f ca="1">(BB77*c_on*12)+(BB77*(ct_comp3+ca_comp3)*'Time on treatment'!$E$21)</f>
        <v>0</v>
      </c>
      <c r="BC139" s="110">
        <f ca="1">(BC77*c_on*12)+(BC77*(ct_comp3+ca_comp3)*'Time on treatment'!$F$21)</f>
        <v>0</v>
      </c>
      <c r="BF139" s="87" t="s">
        <v>172</v>
      </c>
      <c r="BG139" s="111"/>
      <c r="BH139" s="111"/>
      <c r="BI139" s="109">
        <f ca="1">(BI77*c_inicial)+(BI77*c_on*12)+(BI77*ci_comp4)+(BI77*(ct_comp4+ca_comp4)*'Time on treatment'!$D$22)</f>
        <v>0</v>
      </c>
      <c r="BJ139" s="109">
        <f ca="1">(BJ77*c_on*12)+(BJ77*(ct_comp4+ca_comp4)*'Time on treatment'!$E$22)</f>
        <v>0</v>
      </c>
      <c r="BK139" s="110">
        <f ca="1">(BK77*c_on*12)+(BK77*(ct_comp4+ca_comp4)*'Time on treatment'!$F$22)</f>
        <v>0</v>
      </c>
      <c r="BN139" s="87" t="s">
        <v>172</v>
      </c>
      <c r="BO139" s="111"/>
      <c r="BP139" s="111"/>
      <c r="BQ139" s="109">
        <f ca="1">(BQ77*c_inicial)+(BQ77*c_on*12)+(BQ77*ci_comp5)+(BQ77*(ct_comp5+ca_comp5)*'Time on treatment'!$D$23)</f>
        <v>0</v>
      </c>
      <c r="BR139" s="109">
        <f ca="1">(BR77*c_on*12)+(BR77*(ct_comp5+ca_comp5)*'Time on treatment'!$E$23)</f>
        <v>0</v>
      </c>
      <c r="BS139" s="110">
        <f ca="1">(BS77*c_on*12)+(BS77*(ct_comp5+ca_comp5)*'Time on treatment'!$F$23)</f>
        <v>0</v>
      </c>
      <c r="BV139" s="87" t="s">
        <v>172</v>
      </c>
      <c r="BW139" s="111"/>
      <c r="BX139" s="111"/>
      <c r="BY139" s="109">
        <f ca="1">(BY77*c_inicial)+(BY77*c_on*12)+(BY77*ci_comp6)+(BY77*(ct_comp6+ca_comp6)*'Time on treatment'!$D$24)</f>
        <v>0</v>
      </c>
      <c r="BZ139" s="109">
        <f ca="1">(BZ77*c_on*12)+(BZ77*(ct_comp6+ca_comp6)*'Time on treatment'!$E$24)</f>
        <v>0</v>
      </c>
      <c r="CA139" s="110">
        <f ca="1">(CA77*c_on*12)+(CA77*(ct_comp6+ca_comp6)*'Time on treatment'!$F$24)</f>
        <v>0</v>
      </c>
      <c r="CD139" s="87" t="s">
        <v>172</v>
      </c>
      <c r="CE139" s="111"/>
      <c r="CF139" s="111"/>
      <c r="CG139" s="109">
        <f ca="1">(CG77*c_inicial)+(CG77*c_on*12)+(CG77*ci_comp7)+(CG77*(ct_comp7+ca_comp7)*'Time on treatment'!$D$25)</f>
        <v>0</v>
      </c>
      <c r="CH139" s="109">
        <f ca="1">(CH77*c_on*12)+(CH77*(ct_comp7+ca_comp7)*'Time on treatment'!$E$25)</f>
        <v>0</v>
      </c>
      <c r="CI139" s="110">
        <f ca="1">(CI77*c_on*12)+(CI77*(ct_comp7+ca_comp7)*'Time on treatment'!$F$25)</f>
        <v>0</v>
      </c>
      <c r="CL139" s="87" t="s">
        <v>172</v>
      </c>
      <c r="CM139" s="111"/>
      <c r="CN139" s="111"/>
      <c r="CO139" s="109">
        <f ca="1">(CO77*c_inicial)+(CO77*c_on*12)+(CO77*ci_comp8)+(CO77*(ct_comp8+ca_comp8)*'Time on treatment'!$D$26)</f>
        <v>0</v>
      </c>
      <c r="CP139" s="109">
        <f ca="1">(CP77*c_on*12)+(CP77*(ct_comp8+ca_comp8)*'Time on treatment'!$E$26)</f>
        <v>0</v>
      </c>
      <c r="CQ139" s="110">
        <f ca="1">(CQ77*c_on*12)+(CQ77*(ct_comp8+ca_comp8)*'Time on treatment'!$F$26)</f>
        <v>0</v>
      </c>
      <c r="CT139" s="87" t="s">
        <v>172</v>
      </c>
      <c r="CU139" s="111"/>
      <c r="CV139" s="111"/>
      <c r="CW139" s="109">
        <f ca="1">(CW77*c_inicial)+(CW77*c_on*12)+(CW77*ci_comp9)+(CW77*(ct_comp9+ca_comp9)*'Time on treatment'!$D$27)</f>
        <v>0</v>
      </c>
      <c r="CX139" s="109">
        <f ca="1">(CX77*c_on*12)+(CX77*(ct_comp9+ca_comp9)*'Time on treatment'!$E$27)</f>
        <v>0</v>
      </c>
      <c r="CY139" s="110">
        <f ca="1">(CY77*c_on*12)+(CY77*(ct_comp9+ca_comp9)*'Time on treatment'!$F$27)</f>
        <v>0</v>
      </c>
      <c r="DB139" s="87" t="s">
        <v>172</v>
      </c>
      <c r="DC139" s="111"/>
      <c r="DD139" s="111"/>
      <c r="DE139" s="109">
        <f ca="1">(DE77*c_inicial)+(DE77*c_on*12)+(DE77*ci_comp10)+(DE77*(ct_comp10+ca_comp10)*'Time on treatment'!$D$28)</f>
        <v>0</v>
      </c>
      <c r="DF139" s="109">
        <f ca="1">(DF77*c_on*12)+(DF77*(ct_comp10+ca_comp10)*'Time on treatment'!$E$28)</f>
        <v>0</v>
      </c>
      <c r="DG139" s="110">
        <f ca="1">(DG77*c_on*12)+(DG77*(ct_comp10+ca_comp10)*'Time on treatment'!$F$28)</f>
        <v>0</v>
      </c>
    </row>
    <row r="140" spans="2:111">
      <c r="B140" s="87" t="s">
        <v>177</v>
      </c>
      <c r="C140" s="111"/>
      <c r="D140" s="111"/>
      <c r="E140" s="109">
        <f>E78*c_off</f>
        <v>0</v>
      </c>
      <c r="F140" s="109">
        <f>F78*c_off</f>
        <v>396.4900686262506</v>
      </c>
      <c r="G140" s="110">
        <f>G78*c_off</f>
        <v>713.68212352724993</v>
      </c>
      <c r="J140" s="87" t="s">
        <v>177</v>
      </c>
      <c r="K140" s="111"/>
      <c r="L140" s="111"/>
      <c r="M140" s="109">
        <f>M78*c_off</f>
        <v>0</v>
      </c>
      <c r="N140" s="109">
        <f>N78*c_off</f>
        <v>142.73642470545022</v>
      </c>
      <c r="O140" s="110">
        <f>O78*c_off</f>
        <v>214.10463705817534</v>
      </c>
      <c r="R140" s="87" t="s">
        <v>177</v>
      </c>
      <c r="S140" s="111"/>
      <c r="T140" s="111"/>
      <c r="U140" s="109">
        <f>U78*c_off</f>
        <v>0</v>
      </c>
      <c r="V140" s="109">
        <f>V78*c_off</f>
        <v>0</v>
      </c>
      <c r="W140" s="110">
        <f>W78*c_off</f>
        <v>0</v>
      </c>
      <c r="Z140" s="87" t="s">
        <v>177</v>
      </c>
      <c r="AA140" s="111"/>
      <c r="AB140" s="111"/>
      <c r="AC140" s="109">
        <f>AC78*c_off</f>
        <v>0</v>
      </c>
      <c r="AD140" s="109">
        <f>AD78*c_off</f>
        <v>0</v>
      </c>
      <c r="AE140" s="110">
        <f>AE78*c_off</f>
        <v>0</v>
      </c>
      <c r="AH140" s="87" t="s">
        <v>177</v>
      </c>
      <c r="AI140" s="111"/>
      <c r="AJ140" s="111"/>
      <c r="AK140" s="109">
        <f>AK78*c_off</f>
        <v>0</v>
      </c>
      <c r="AL140" s="109">
        <f>AL78*c_off</f>
        <v>0</v>
      </c>
      <c r="AM140" s="110">
        <f>AM78*c_off</f>
        <v>0</v>
      </c>
      <c r="AP140" s="87" t="s">
        <v>177</v>
      </c>
      <c r="AQ140" s="111"/>
      <c r="AR140" s="111"/>
      <c r="AS140" s="109">
        <f>AS78*c_off</f>
        <v>0</v>
      </c>
      <c r="AT140" s="109">
        <f>AT78*c_off</f>
        <v>0</v>
      </c>
      <c r="AU140" s="110">
        <f>AU78*c_off</f>
        <v>0</v>
      </c>
      <c r="AX140" s="87" t="s">
        <v>177</v>
      </c>
      <c r="AY140" s="111"/>
      <c r="AZ140" s="111"/>
      <c r="BA140" s="109">
        <f>BA78*c_off</f>
        <v>0</v>
      </c>
      <c r="BB140" s="109">
        <f>BB78*c_off</f>
        <v>0</v>
      </c>
      <c r="BC140" s="110">
        <f>BC78*c_off</f>
        <v>0</v>
      </c>
      <c r="BF140" s="87" t="s">
        <v>177</v>
      </c>
      <c r="BG140" s="111"/>
      <c r="BH140" s="111"/>
      <c r="BI140" s="109">
        <f>BI78*c_off</f>
        <v>0</v>
      </c>
      <c r="BJ140" s="109">
        <f>BJ78*c_off</f>
        <v>0</v>
      </c>
      <c r="BK140" s="110">
        <f>BK78*c_off</f>
        <v>0</v>
      </c>
      <c r="BN140" s="87" t="s">
        <v>177</v>
      </c>
      <c r="BO140" s="111"/>
      <c r="BP140" s="111"/>
      <c r="BQ140" s="109">
        <f>BQ78*c_off</f>
        <v>0</v>
      </c>
      <c r="BR140" s="109">
        <f>BR78*c_off</f>
        <v>0</v>
      </c>
      <c r="BS140" s="110">
        <f>BS78*c_off</f>
        <v>0</v>
      </c>
      <c r="BV140" s="87" t="s">
        <v>177</v>
      </c>
      <c r="BW140" s="111"/>
      <c r="BX140" s="111"/>
      <c r="BY140" s="109">
        <f>BY78*c_off</f>
        <v>0</v>
      </c>
      <c r="BZ140" s="109">
        <f>BZ78*c_off</f>
        <v>0</v>
      </c>
      <c r="CA140" s="110">
        <f>CA78*c_off</f>
        <v>0</v>
      </c>
      <c r="CD140" s="87" t="s">
        <v>177</v>
      </c>
      <c r="CE140" s="111"/>
      <c r="CF140" s="111"/>
      <c r="CG140" s="109">
        <f>CG78*c_off</f>
        <v>0</v>
      </c>
      <c r="CH140" s="109">
        <f>CH78*c_off</f>
        <v>0</v>
      </c>
      <c r="CI140" s="110">
        <f>CI78*c_off</f>
        <v>0</v>
      </c>
      <c r="CL140" s="87" t="s">
        <v>177</v>
      </c>
      <c r="CM140" s="111"/>
      <c r="CN140" s="111"/>
      <c r="CO140" s="109">
        <f>CO78*c_off</f>
        <v>0</v>
      </c>
      <c r="CP140" s="109">
        <f>CP78*c_off</f>
        <v>0</v>
      </c>
      <c r="CQ140" s="110">
        <f>CQ78*c_off</f>
        <v>0</v>
      </c>
      <c r="CT140" s="87" t="s">
        <v>177</v>
      </c>
      <c r="CU140" s="111"/>
      <c r="CV140" s="111"/>
      <c r="CW140" s="109">
        <f>CW78*c_off</f>
        <v>0</v>
      </c>
      <c r="CX140" s="109">
        <f>CX78*c_off</f>
        <v>0</v>
      </c>
      <c r="CY140" s="110">
        <f>CY78*c_off</f>
        <v>0</v>
      </c>
      <c r="DB140" s="87" t="s">
        <v>177</v>
      </c>
      <c r="DC140" s="111"/>
      <c r="DD140" s="111"/>
      <c r="DE140" s="109">
        <f>DE78*c_off</f>
        <v>0</v>
      </c>
      <c r="DF140" s="109">
        <f>DF78*c_off</f>
        <v>0</v>
      </c>
      <c r="DG140" s="110">
        <f>DG78*c_off</f>
        <v>0</v>
      </c>
    </row>
    <row r="141" spans="2:111">
      <c r="B141" s="87" t="s">
        <v>173</v>
      </c>
      <c r="C141" s="111"/>
      <c r="D141" s="111"/>
      <c r="E141" s="111"/>
      <c r="F141" s="109">
        <f ca="1">(F79*c_inicial)+(F79*c_on*12)+(F79*ci_int1)+(F79*(ct_int1+ca_int1)*'Time on treatment'!$D$12)</f>
        <v>9619090.0299281254</v>
      </c>
      <c r="G141" s="110">
        <f ca="1">(G79*c_on*12)+(G79*(ct_int1+ca_int1)*'Time on treatment'!$E$12)</f>
        <v>8838524.5274995305</v>
      </c>
      <c r="J141" s="87" t="s">
        <v>173</v>
      </c>
      <c r="K141" s="111"/>
      <c r="L141" s="111"/>
      <c r="M141" s="111"/>
      <c r="N141" s="109">
        <f ca="1">(N79*c_inicial)+(N79*c_on*12)+(N79*ci_int2)+(N79*(ct_int2+ca_int2)*'Time on treatment'!$D$13)</f>
        <v>5338107.8797197053</v>
      </c>
      <c r="O141" s="110">
        <f ca="1">(O79*c_on*12)+(O79*(ct_int2+ca_int2)*'Time on treatment'!$E$13)</f>
        <v>4962796.1470675431</v>
      </c>
      <c r="R141" s="87" t="s">
        <v>173</v>
      </c>
      <c r="S141" s="111"/>
      <c r="T141" s="111"/>
      <c r="U141" s="111"/>
      <c r="V141" s="109">
        <f ca="1">(V79*c_inicial)+(V79*c_on*12)+(V79*ci_int3)+(V79*(ct_int3+ca_int3)*'Time on treatment'!$D$14)</f>
        <v>0</v>
      </c>
      <c r="W141" s="110">
        <f ca="1">(W79*c_on*12)+(W79*(ct_int3+ca_int3)*'Time on treatment'!$E$14)</f>
        <v>0</v>
      </c>
      <c r="Z141" s="87" t="s">
        <v>173</v>
      </c>
      <c r="AA141" s="111"/>
      <c r="AB141" s="111"/>
      <c r="AC141" s="111"/>
      <c r="AD141" s="109">
        <f ca="1">(AD79*c_inicial)+(AD79*c_on*12)+(AD79*ci_int4)+(AD79*(ct_int4+ca_int4)*'Time on treatment'!$D$15)</f>
        <v>0</v>
      </c>
      <c r="AE141" s="110">
        <f ca="1">(AE79*c_on*12)+(AE79*(ct_int4+ca_int4)*'Time on treatment'!$E$15)</f>
        <v>0</v>
      </c>
      <c r="AH141" s="87" t="s">
        <v>173</v>
      </c>
      <c r="AI141" s="111"/>
      <c r="AJ141" s="111"/>
      <c r="AK141" s="111"/>
      <c r="AL141" s="109">
        <f ca="1">(AL79*c_inicial)+(AL79*c_on*12)+(AL79*ci_comp1)+(AL79*(ct_comp1+ca_comp1)*'Time on treatment'!$D$19)</f>
        <v>3931022.484230692</v>
      </c>
      <c r="AM141" s="110">
        <f ca="1">(AM79*c_on*12)+(AM79*(ct_comp1+ca_comp1)*'Time on treatment'!$E$19)</f>
        <v>3436927.1493600672</v>
      </c>
      <c r="AP141" s="87" t="s">
        <v>173</v>
      </c>
      <c r="AQ141" s="111"/>
      <c r="AR141" s="111"/>
      <c r="AS141" s="111"/>
      <c r="AT141" s="109">
        <f ca="1">(AT79*c_inicial)+(AT79*c_on*12)+(AT79*ci_comp2)+(AT79*(ct_comp2+ca_comp2)*'Time on treatment'!$D$20)</f>
        <v>0</v>
      </c>
      <c r="AU141" s="110">
        <f ca="1">(AU79*c_on*12)+(AU79*(ct_comp2+ca_comp2)*'Time on treatment'!$E$20)</f>
        <v>0</v>
      </c>
      <c r="AX141" s="87" t="s">
        <v>173</v>
      </c>
      <c r="AY141" s="111"/>
      <c r="AZ141" s="111"/>
      <c r="BA141" s="111"/>
      <c r="BB141" s="109">
        <f ca="1">(BB79*c_inicial)+(BB79*c_on*12)+(BB79*ci_comp3)+(BB79*(ct_comp3+ca_comp3)*'Time on treatment'!$D$21)</f>
        <v>0</v>
      </c>
      <c r="BC141" s="110">
        <f ca="1">(BC79*c_on*12)+(BC79*(ct_comp3+ca_comp3)*'Time on treatment'!$E$21)</f>
        <v>0</v>
      </c>
      <c r="BF141" s="87" t="s">
        <v>173</v>
      </c>
      <c r="BG141" s="111"/>
      <c r="BH141" s="111"/>
      <c r="BI141" s="111"/>
      <c r="BJ141" s="109">
        <f ca="1">(BJ79*c_inicial)+(BJ79*c_on*12)+(BJ79*ci_comp4)+(BJ79*(ct_comp4+ca_comp4)*'Time on treatment'!$D$22)</f>
        <v>0</v>
      </c>
      <c r="BK141" s="110">
        <f ca="1">(BK79*c_on*12)+(BK79*(ct_comp4+ca_comp4)*'Time on treatment'!$E$22)</f>
        <v>0</v>
      </c>
      <c r="BN141" s="87" t="s">
        <v>173</v>
      </c>
      <c r="BO141" s="111"/>
      <c r="BP141" s="111"/>
      <c r="BQ141" s="111"/>
      <c r="BR141" s="109">
        <f ca="1">(BR79*c_inicial)+(BR79*c_on*12)+(BR79*ci_comp5)+(BR79*(ct_comp5+ca_comp5)*'Time on treatment'!$D$23)</f>
        <v>0</v>
      </c>
      <c r="BS141" s="110">
        <f ca="1">(BS79*c_on*12)+(BS79*(ct_comp5+ca_comp5)*'Time on treatment'!$E$23)</f>
        <v>0</v>
      </c>
      <c r="BV141" s="87" t="s">
        <v>173</v>
      </c>
      <c r="BW141" s="111"/>
      <c r="BX141" s="111"/>
      <c r="BY141" s="111"/>
      <c r="BZ141" s="109">
        <f ca="1">(BZ79*c_inicial)+(BZ79*c_on*12)+(BZ79*ci_comp6)+(BZ79*(ct_comp6+ca_comp6)*'Time on treatment'!$D$24)</f>
        <v>0</v>
      </c>
      <c r="CA141" s="110">
        <f ca="1">(CA79*c_on*12)+(CA79*(ct_comp6+ca_comp6)*'Time on treatment'!$E$24)</f>
        <v>0</v>
      </c>
      <c r="CD141" s="87" t="s">
        <v>173</v>
      </c>
      <c r="CE141" s="111"/>
      <c r="CF141" s="111"/>
      <c r="CG141" s="111"/>
      <c r="CH141" s="109">
        <f ca="1">(CH79*c_inicial)+(CH79*c_on*12)+(CH79*ci_comp7)+(CH79*(ct_comp7+ca_comp7)*'Time on treatment'!$D$25)</f>
        <v>0</v>
      </c>
      <c r="CI141" s="110">
        <f ca="1">(CI79*c_on*12)+(CI79*(ct_comp7+ca_comp7)*'Time on treatment'!$E$25)</f>
        <v>0</v>
      </c>
      <c r="CL141" s="87" t="s">
        <v>173</v>
      </c>
      <c r="CM141" s="111"/>
      <c r="CN141" s="111"/>
      <c r="CO141" s="111"/>
      <c r="CP141" s="109">
        <f ca="1">(CP79*c_inicial)+(CP79*c_on*12)+(CP79*ci_comp8)+(CP79*(ct_comp8+ca_comp8)*'Time on treatment'!$D$26)</f>
        <v>0</v>
      </c>
      <c r="CQ141" s="110">
        <f ca="1">(CQ79*c_on*12)+(CQ79*(ct_comp8+ca_comp8)*'Time on treatment'!$E$26)</f>
        <v>0</v>
      </c>
      <c r="CT141" s="87" t="s">
        <v>173</v>
      </c>
      <c r="CU141" s="111"/>
      <c r="CV141" s="111"/>
      <c r="CW141" s="111"/>
      <c r="CX141" s="109">
        <f ca="1">(CX79*c_inicial)+(CX79*c_on*12)+(CX79*ci_comp9)+(CX79*(ct_comp9+ca_comp9)*'Time on treatment'!$D$27)</f>
        <v>0</v>
      </c>
      <c r="CY141" s="110">
        <f ca="1">(CY79*c_on*12)+(CY79*(ct_comp9+ca_comp9)*'Time on treatment'!$E$27)</f>
        <v>0</v>
      </c>
      <c r="DB141" s="87" t="s">
        <v>173</v>
      </c>
      <c r="DC141" s="111"/>
      <c r="DD141" s="111"/>
      <c r="DE141" s="111"/>
      <c r="DF141" s="109">
        <f ca="1">(DF79*c_inicial)+(DF79*c_on*12)+(DF79*ci_comp10)+(DF79*(ct_comp10+ca_comp10)*'Time on treatment'!$D$28)</f>
        <v>0</v>
      </c>
      <c r="DG141" s="110">
        <f ca="1">(DG79*c_on*12)+(DG79*(ct_comp10+ca_comp10)*'Time on treatment'!$E$28)</f>
        <v>0</v>
      </c>
    </row>
    <row r="142" spans="2:111">
      <c r="B142" s="87" t="s">
        <v>178</v>
      </c>
      <c r="C142" s="111"/>
      <c r="D142" s="111"/>
      <c r="E142" s="111"/>
      <c r="F142" s="109">
        <f>F80*c_off</f>
        <v>0</v>
      </c>
      <c r="G142" s="110">
        <f>G80*c_off</f>
        <v>599.22200186437601</v>
      </c>
      <c r="J142" s="87" t="s">
        <v>178</v>
      </c>
      <c r="K142" s="111"/>
      <c r="L142" s="111"/>
      <c r="M142" s="111"/>
      <c r="N142" s="109">
        <f>N80*c_off</f>
        <v>0</v>
      </c>
      <c r="O142" s="110">
        <f>O80*c_off</f>
        <v>183.76141390507533</v>
      </c>
      <c r="R142" s="87" t="s">
        <v>178</v>
      </c>
      <c r="S142" s="111"/>
      <c r="T142" s="111"/>
      <c r="U142" s="111"/>
      <c r="V142" s="109">
        <f>V80*c_off</f>
        <v>0</v>
      </c>
      <c r="W142" s="110">
        <f>W80*c_off</f>
        <v>0</v>
      </c>
      <c r="Z142" s="87" t="s">
        <v>178</v>
      </c>
      <c r="AA142" s="111"/>
      <c r="AB142" s="111"/>
      <c r="AC142" s="111"/>
      <c r="AD142" s="109">
        <f>AD80*c_off</f>
        <v>0</v>
      </c>
      <c r="AE142" s="110">
        <f>AE80*c_off</f>
        <v>0</v>
      </c>
      <c r="AH142" s="87" t="s">
        <v>178</v>
      </c>
      <c r="AI142" s="111"/>
      <c r="AJ142" s="111"/>
      <c r="AK142" s="111"/>
      <c r="AL142" s="109">
        <f>AL80*c_off</f>
        <v>0</v>
      </c>
      <c r="AM142" s="110">
        <f>AM80*c_off</f>
        <v>0</v>
      </c>
      <c r="AP142" s="87" t="s">
        <v>178</v>
      </c>
      <c r="AQ142" s="111"/>
      <c r="AR142" s="111"/>
      <c r="AS142" s="111"/>
      <c r="AT142" s="109">
        <f>AT80*c_off</f>
        <v>0</v>
      </c>
      <c r="AU142" s="110">
        <f>AU80*c_off</f>
        <v>0</v>
      </c>
      <c r="AX142" s="87" t="s">
        <v>178</v>
      </c>
      <c r="AY142" s="111"/>
      <c r="AZ142" s="111"/>
      <c r="BA142" s="111"/>
      <c r="BB142" s="109">
        <f>BB80*c_off</f>
        <v>0</v>
      </c>
      <c r="BC142" s="110">
        <f>BC80*c_off</f>
        <v>0</v>
      </c>
      <c r="BF142" s="87" t="s">
        <v>178</v>
      </c>
      <c r="BG142" s="111"/>
      <c r="BH142" s="111"/>
      <c r="BI142" s="111"/>
      <c r="BJ142" s="109">
        <f>BJ80*c_off</f>
        <v>0</v>
      </c>
      <c r="BK142" s="110">
        <f>BK80*c_off</f>
        <v>0</v>
      </c>
      <c r="BN142" s="87" t="s">
        <v>178</v>
      </c>
      <c r="BO142" s="111"/>
      <c r="BP142" s="111"/>
      <c r="BQ142" s="111"/>
      <c r="BR142" s="109">
        <f>BR80*c_off</f>
        <v>0</v>
      </c>
      <c r="BS142" s="110">
        <f>BS80*c_off</f>
        <v>0</v>
      </c>
      <c r="BV142" s="87" t="s">
        <v>178</v>
      </c>
      <c r="BW142" s="111"/>
      <c r="BX142" s="111"/>
      <c r="BY142" s="111"/>
      <c r="BZ142" s="109">
        <f>BZ80*c_off</f>
        <v>0</v>
      </c>
      <c r="CA142" s="110">
        <f>CA80*c_off</f>
        <v>0</v>
      </c>
      <c r="CD142" s="87" t="s">
        <v>178</v>
      </c>
      <c r="CE142" s="111"/>
      <c r="CF142" s="111"/>
      <c r="CG142" s="111"/>
      <c r="CH142" s="109">
        <f>CH80*c_off</f>
        <v>0</v>
      </c>
      <c r="CI142" s="110">
        <f>CI80*c_off</f>
        <v>0</v>
      </c>
      <c r="CL142" s="87" t="s">
        <v>178</v>
      </c>
      <c r="CM142" s="111"/>
      <c r="CN142" s="111"/>
      <c r="CO142" s="111"/>
      <c r="CP142" s="109">
        <f>CP80*c_off</f>
        <v>0</v>
      </c>
      <c r="CQ142" s="110">
        <f>CQ80*c_off</f>
        <v>0</v>
      </c>
      <c r="CT142" s="87" t="s">
        <v>178</v>
      </c>
      <c r="CU142" s="111"/>
      <c r="CV142" s="111"/>
      <c r="CW142" s="111"/>
      <c r="CX142" s="109">
        <f>CX80*c_off</f>
        <v>0</v>
      </c>
      <c r="CY142" s="110">
        <f>CY80*c_off</f>
        <v>0</v>
      </c>
      <c r="DB142" s="87" t="s">
        <v>178</v>
      </c>
      <c r="DC142" s="111"/>
      <c r="DD142" s="111"/>
      <c r="DE142" s="111"/>
      <c r="DF142" s="109">
        <f>DF80*c_off</f>
        <v>0</v>
      </c>
      <c r="DG142" s="110">
        <f>DG80*c_off</f>
        <v>0</v>
      </c>
    </row>
    <row r="143" spans="2:111">
      <c r="B143" s="87" t="s">
        <v>174</v>
      </c>
      <c r="C143" s="111"/>
      <c r="D143" s="111"/>
      <c r="E143" s="111"/>
      <c r="F143" s="111"/>
      <c r="G143" s="110">
        <f ca="1">(G81*c_inicial)+(G81*c_on*12)+(G81*ci_int1)+(G81*(ct_int1+ca_int1)*'Time on treatment'!$D$12)</f>
        <v>9692503.7733562496</v>
      </c>
      <c r="J143" s="87" t="s">
        <v>174</v>
      </c>
      <c r="K143" s="111"/>
      <c r="L143" s="111"/>
      <c r="M143" s="111"/>
      <c r="N143" s="111"/>
      <c r="O143" s="110">
        <f ca="1">(O81*c_inicial)+(O81*c_on*12)+(O81*ci_int2)+(O81*(ct_int2+ca_int2)*'Time on treatment'!$D$13)</f>
        <v>5846574.7715567509</v>
      </c>
      <c r="R143" s="87" t="s">
        <v>174</v>
      </c>
      <c r="S143" s="111"/>
      <c r="T143" s="111"/>
      <c r="U143" s="111"/>
      <c r="V143" s="111"/>
      <c r="W143" s="110">
        <f ca="1">(W81*c_inicial)+(W81*c_on*12)+(W81*ci_int3)+(W81*(ct_int3+ca_int3)*'Time on treatment'!$D$14)</f>
        <v>0</v>
      </c>
      <c r="Z143" s="87" t="s">
        <v>174</v>
      </c>
      <c r="AA143" s="111"/>
      <c r="AB143" s="111"/>
      <c r="AC143" s="111"/>
      <c r="AD143" s="111"/>
      <c r="AE143" s="110">
        <f ca="1">(AE81*c_inicial)+(AE81*c_on*12)+(AE81*ci_int4)+(AE81*(ct_int4+ca_int4)*'Time on treatment'!$D$15)</f>
        <v>0</v>
      </c>
      <c r="AH143" s="87" t="s">
        <v>174</v>
      </c>
      <c r="AI143" s="111"/>
      <c r="AJ143" s="111"/>
      <c r="AK143" s="111"/>
      <c r="AL143" s="111"/>
      <c r="AM143" s="110">
        <f ca="1">(AM81*c_inicial)+(AM81*c_on*12)+(AM81*ci_comp1)+(AM81*(ct_comp1+ca_comp1)*'Time on treatment'!$D$19)</f>
        <v>3792470.1649584761</v>
      </c>
      <c r="AP143" s="87" t="s">
        <v>174</v>
      </c>
      <c r="AQ143" s="111"/>
      <c r="AR143" s="111"/>
      <c r="AS143" s="111"/>
      <c r="AT143" s="111"/>
      <c r="AU143" s="110">
        <f ca="1">(AU81*c_inicial)+(AU81*c_on*12)+(AU81*ci_comp2)+(AU81*(ct_comp2+ca_comp2)*'Time on treatment'!$D$20)</f>
        <v>0</v>
      </c>
      <c r="AX143" s="87" t="s">
        <v>174</v>
      </c>
      <c r="AY143" s="111"/>
      <c r="AZ143" s="111"/>
      <c r="BA143" s="111"/>
      <c r="BB143" s="111"/>
      <c r="BC143" s="110">
        <f ca="1">(BC81*c_inicial)+(BC81*c_on*12)+(BC81*ci_comp3)+(BC81*(ct_comp3+ca_comp3)*'Time on treatment'!$D$21)</f>
        <v>0</v>
      </c>
      <c r="BF143" s="87" t="s">
        <v>174</v>
      </c>
      <c r="BG143" s="111"/>
      <c r="BH143" s="111"/>
      <c r="BI143" s="111"/>
      <c r="BJ143" s="111"/>
      <c r="BK143" s="110">
        <f ca="1">(BK81*c_inicial)+(BK81*c_on*12)+(BK81*ci_comp4)+(BK81*(ct_comp4+ca_comp4)*'Time on treatment'!$D$22)</f>
        <v>0</v>
      </c>
      <c r="BN143" s="87" t="s">
        <v>174</v>
      </c>
      <c r="BO143" s="111"/>
      <c r="BP143" s="111"/>
      <c r="BQ143" s="111"/>
      <c r="BR143" s="111"/>
      <c r="BS143" s="110">
        <f ca="1">(BS81*c_inicial)+(BS81*c_on*12)+(BS81*ci_comp5)+(BS81*(ct_comp5+ca_comp5)*'Time on treatment'!$D$23)</f>
        <v>0</v>
      </c>
      <c r="BV143" s="87" t="s">
        <v>174</v>
      </c>
      <c r="BW143" s="111"/>
      <c r="BX143" s="111"/>
      <c r="BY143" s="111"/>
      <c r="BZ143" s="111"/>
      <c r="CA143" s="110">
        <f ca="1">(CA81*c_inicial)+(CA81*c_on*12)+(CA81*ci_comp6)+(CA81*(ct_comp6+ca_comp6)*'Time on treatment'!$D$24)</f>
        <v>0</v>
      </c>
      <c r="CD143" s="87" t="s">
        <v>174</v>
      </c>
      <c r="CE143" s="111"/>
      <c r="CF143" s="111"/>
      <c r="CG143" s="111"/>
      <c r="CH143" s="111"/>
      <c r="CI143" s="110">
        <f ca="1">(CI81*c_inicial)+(CI81*c_on*12)+(CI81*ci_comp7)+(CI81*(ct_comp7+ca_comp7)*'Time on treatment'!$D$25)</f>
        <v>0</v>
      </c>
      <c r="CL143" s="87" t="s">
        <v>174</v>
      </c>
      <c r="CM143" s="111"/>
      <c r="CN143" s="111"/>
      <c r="CO143" s="111"/>
      <c r="CP143" s="111"/>
      <c r="CQ143" s="110">
        <f ca="1">(CQ81*c_inicial)+(CQ81*c_on*12)+(CQ81*ci_comp8)+(CQ81*(ct_comp8+ca_comp8)*'Time on treatment'!$D$26)</f>
        <v>0</v>
      </c>
      <c r="CT143" s="87" t="s">
        <v>174</v>
      </c>
      <c r="CU143" s="111"/>
      <c r="CV143" s="111"/>
      <c r="CW143" s="111"/>
      <c r="CX143" s="111"/>
      <c r="CY143" s="110">
        <f ca="1">(CY81*c_inicial)+(CY81*c_on*12)+(CY81*ci_comp9)+(CY81*(ct_comp9+ca_comp9)*'Time on treatment'!$D$27)</f>
        <v>0</v>
      </c>
      <c r="DB143" s="87" t="s">
        <v>174</v>
      </c>
      <c r="DC143" s="111"/>
      <c r="DD143" s="111"/>
      <c r="DE143" s="111"/>
      <c r="DF143" s="111"/>
      <c r="DG143" s="110">
        <f ca="1">(DG81*c_inicial)+(DG81*c_on*12)+(DG81*ci_comp10)+(DG81*(ct_comp10+ca_comp10)*'Time on treatment'!$D$28)</f>
        <v>0</v>
      </c>
    </row>
    <row r="144" spans="2:111" ht="15" thickBot="1">
      <c r="B144" s="87" t="s">
        <v>179</v>
      </c>
      <c r="C144" s="111"/>
      <c r="D144" s="111"/>
      <c r="E144" s="111"/>
      <c r="F144" s="111"/>
      <c r="G144" s="112">
        <v>0</v>
      </c>
      <c r="J144" s="87" t="s">
        <v>179</v>
      </c>
      <c r="K144" s="111"/>
      <c r="L144" s="111"/>
      <c r="M144" s="111"/>
      <c r="N144" s="111"/>
      <c r="O144" s="112">
        <v>0</v>
      </c>
      <c r="R144" s="87" t="s">
        <v>179</v>
      </c>
      <c r="S144" s="111"/>
      <c r="T144" s="111"/>
      <c r="U144" s="111"/>
      <c r="V144" s="111"/>
      <c r="W144" s="112">
        <v>0</v>
      </c>
      <c r="Z144" s="87" t="s">
        <v>179</v>
      </c>
      <c r="AA144" s="111"/>
      <c r="AB144" s="111"/>
      <c r="AC144" s="111"/>
      <c r="AD144" s="111"/>
      <c r="AE144" s="112">
        <v>0</v>
      </c>
      <c r="AH144" s="87" t="s">
        <v>179</v>
      </c>
      <c r="AI144" s="111"/>
      <c r="AJ144" s="111"/>
      <c r="AK144" s="111"/>
      <c r="AL144" s="111"/>
      <c r="AM144" s="112">
        <v>0</v>
      </c>
      <c r="AP144" s="87" t="s">
        <v>179</v>
      </c>
      <c r="AQ144" s="111"/>
      <c r="AR144" s="111"/>
      <c r="AS144" s="111"/>
      <c r="AT144" s="111"/>
      <c r="AU144" s="112">
        <v>0</v>
      </c>
      <c r="AX144" s="87" t="s">
        <v>179</v>
      </c>
      <c r="AY144" s="111"/>
      <c r="AZ144" s="111"/>
      <c r="BA144" s="111"/>
      <c r="BB144" s="111"/>
      <c r="BC144" s="112">
        <v>0</v>
      </c>
      <c r="BF144" s="87" t="s">
        <v>179</v>
      </c>
      <c r="BG144" s="111"/>
      <c r="BH144" s="111"/>
      <c r="BI144" s="111"/>
      <c r="BJ144" s="111"/>
      <c r="BK144" s="112">
        <v>0</v>
      </c>
      <c r="BN144" s="87" t="s">
        <v>179</v>
      </c>
      <c r="BO144" s="111"/>
      <c r="BP144" s="111"/>
      <c r="BQ144" s="111"/>
      <c r="BR144" s="111"/>
      <c r="BS144" s="112">
        <v>0</v>
      </c>
      <c r="BV144" s="87" t="s">
        <v>179</v>
      </c>
      <c r="BW144" s="111"/>
      <c r="BX144" s="111"/>
      <c r="BY144" s="111"/>
      <c r="BZ144" s="111"/>
      <c r="CA144" s="112">
        <v>0</v>
      </c>
      <c r="CD144" s="87" t="s">
        <v>179</v>
      </c>
      <c r="CE144" s="111"/>
      <c r="CF144" s="111"/>
      <c r="CG144" s="111"/>
      <c r="CH144" s="111"/>
      <c r="CI144" s="112">
        <v>0</v>
      </c>
      <c r="CL144" s="87" t="s">
        <v>179</v>
      </c>
      <c r="CM144" s="111"/>
      <c r="CN144" s="111"/>
      <c r="CO144" s="111"/>
      <c r="CP144" s="111"/>
      <c r="CQ144" s="112">
        <v>0</v>
      </c>
      <c r="CT144" s="87" t="s">
        <v>179</v>
      </c>
      <c r="CU144" s="111"/>
      <c r="CV144" s="111"/>
      <c r="CW144" s="111"/>
      <c r="CX144" s="111"/>
      <c r="CY144" s="112">
        <v>0</v>
      </c>
      <c r="DB144" s="87" t="s">
        <v>179</v>
      </c>
      <c r="DC144" s="111"/>
      <c r="DD144" s="111"/>
      <c r="DE144" s="111"/>
      <c r="DF144" s="111"/>
      <c r="DG144" s="112">
        <v>0</v>
      </c>
    </row>
    <row r="145" spans="2:113" ht="15" thickBot="1">
      <c r="B145" s="85" t="str">
        <f>B131</f>
        <v>Drug 1</v>
      </c>
      <c r="C145" s="113">
        <f ca="1">SUM(C135:C143)</f>
        <v>940152.17399625003</v>
      </c>
      <c r="D145" s="113">
        <f ca="1">SUM(D135:D143)</f>
        <v>4022370.8746421784</v>
      </c>
      <c r="E145" s="113">
        <f ca="1">SUM(E135:E143)</f>
        <v>9286581.3344215807</v>
      </c>
      <c r="F145" s="113">
        <f ca="1">SUM(F135:F143)</f>
        <v>15551802.279313056</v>
      </c>
      <c r="G145" s="114">
        <f ca="1">SUM(G135:G143)</f>
        <v>18743397.154608697</v>
      </c>
      <c r="J145" s="85" t="str">
        <f>J131</f>
        <v>Drug 2</v>
      </c>
      <c r="K145" s="113">
        <f ca="1">SUM(K135:K143)</f>
        <v>453684.21703548008</v>
      </c>
      <c r="L145" s="113">
        <f ca="1">SUM(L135:L143)</f>
        <v>2250790.5111372545</v>
      </c>
      <c r="M145" s="113">
        <f ca="1">SUM(M135:M143)</f>
        <v>6260028.797692772</v>
      </c>
      <c r="N145" s="113">
        <f ca="1">SUM(N135:N143)</f>
        <v>11254893.717330143</v>
      </c>
      <c r="O145" s="114">
        <f ca="1">SUM(O135:O143)</f>
        <v>16569832.031259172</v>
      </c>
      <c r="R145" s="85">
        <f>R131</f>
        <v>0</v>
      </c>
      <c r="S145" s="113">
        <f ca="1">SUM(S135:S143)</f>
        <v>0</v>
      </c>
      <c r="T145" s="113">
        <f ca="1">SUM(T135:T143)</f>
        <v>0</v>
      </c>
      <c r="U145" s="113">
        <f ca="1">SUM(U135:U143)</f>
        <v>0</v>
      </c>
      <c r="V145" s="113">
        <f ca="1">SUM(V135:V143)</f>
        <v>0</v>
      </c>
      <c r="W145" s="114">
        <f ca="1">SUM(W135:W143)</f>
        <v>0</v>
      </c>
      <c r="Z145" s="85">
        <f>Z131</f>
        <v>0</v>
      </c>
      <c r="AA145" s="113">
        <f ca="1">SUM(AA135:AA143)</f>
        <v>0</v>
      </c>
      <c r="AB145" s="113">
        <f ca="1">SUM(AB135:AB143)</f>
        <v>0</v>
      </c>
      <c r="AC145" s="113">
        <f ca="1">SUM(AC135:AC143)</f>
        <v>0</v>
      </c>
      <c r="AD145" s="113">
        <f ca="1">SUM(AD135:AD143)</f>
        <v>0</v>
      </c>
      <c r="AE145" s="114">
        <f ca="1">SUM(AE135:AE143)</f>
        <v>0</v>
      </c>
      <c r="AH145" s="85" t="str">
        <f>AH131</f>
        <v>BSC</v>
      </c>
      <c r="AI145" s="113">
        <f ca="1">SUM(AI135:AI143)</f>
        <v>7765965.20382345</v>
      </c>
      <c r="AJ145" s="113">
        <f ca="1">SUM(AJ135:AJ143)</f>
        <v>13545746.912546325</v>
      </c>
      <c r="AK145" s="113">
        <f ca="1">SUM(AK135:AK143)</f>
        <v>17843364.525719881</v>
      </c>
      <c r="AL145" s="113">
        <f ca="1">SUM(AL135:AL143)</f>
        <v>21127482.161139328</v>
      </c>
      <c r="AM145" s="114">
        <f ca="1">SUM(AM135:AM143)</f>
        <v>24425856.99122718</v>
      </c>
      <c r="AP145" s="85">
        <f>AP131</f>
        <v>0</v>
      </c>
      <c r="AQ145" s="113">
        <f ca="1">SUM(AQ135:AQ143)</f>
        <v>0</v>
      </c>
      <c r="AR145" s="113">
        <f ca="1">SUM(AR135:AR143)</f>
        <v>0</v>
      </c>
      <c r="AS145" s="113">
        <f ca="1">SUM(AS135:AS143)</f>
        <v>0</v>
      </c>
      <c r="AT145" s="113">
        <f ca="1">SUM(AT135:AT143)</f>
        <v>0</v>
      </c>
      <c r="AU145" s="114">
        <f ca="1">SUM(AU135:AU143)</f>
        <v>0</v>
      </c>
      <c r="AX145" s="85">
        <f>AX131</f>
        <v>0</v>
      </c>
      <c r="AY145" s="113">
        <f ca="1">SUM(AY135:AY143)</f>
        <v>0</v>
      </c>
      <c r="AZ145" s="113">
        <f ca="1">SUM(AZ135:AZ143)</f>
        <v>0</v>
      </c>
      <c r="BA145" s="113">
        <f ca="1">SUM(BA135:BA143)</f>
        <v>0</v>
      </c>
      <c r="BB145" s="113">
        <f ca="1">SUM(BB135:BB143)</f>
        <v>0</v>
      </c>
      <c r="BC145" s="114">
        <f ca="1">SUM(BC135:BC143)</f>
        <v>0</v>
      </c>
      <c r="BF145" s="85">
        <f>BF131</f>
        <v>0</v>
      </c>
      <c r="BG145" s="113">
        <f ca="1">SUM(BG135:BG143)</f>
        <v>0</v>
      </c>
      <c r="BH145" s="113">
        <f ca="1">SUM(BH135:BH143)</f>
        <v>0</v>
      </c>
      <c r="BI145" s="113">
        <f ca="1">SUM(BI135:BI143)</f>
        <v>0</v>
      </c>
      <c r="BJ145" s="113">
        <f ca="1">SUM(BJ135:BJ143)</f>
        <v>0</v>
      </c>
      <c r="BK145" s="114">
        <f ca="1">SUM(BK135:BK143)</f>
        <v>0</v>
      </c>
      <c r="BN145" s="85">
        <f>BN131</f>
        <v>0</v>
      </c>
      <c r="BO145" s="113">
        <f ca="1">SUM(BO135:BO143)</f>
        <v>0</v>
      </c>
      <c r="BP145" s="113">
        <f ca="1">SUM(BP135:BP143)</f>
        <v>0</v>
      </c>
      <c r="BQ145" s="113">
        <f ca="1">SUM(BQ135:BQ143)</f>
        <v>0</v>
      </c>
      <c r="BR145" s="113">
        <f ca="1">SUM(BR135:BR143)</f>
        <v>0</v>
      </c>
      <c r="BS145" s="114">
        <f ca="1">SUM(BS135:BS143)</f>
        <v>0</v>
      </c>
      <c r="BV145" s="85">
        <f>BV131</f>
        <v>0</v>
      </c>
      <c r="BW145" s="113">
        <f ca="1">SUM(BW135:BW143)</f>
        <v>0</v>
      </c>
      <c r="BX145" s="113">
        <f ca="1">SUM(BX135:BX143)</f>
        <v>0</v>
      </c>
      <c r="BY145" s="113">
        <f ca="1">SUM(BY135:BY143)</f>
        <v>0</v>
      </c>
      <c r="BZ145" s="113">
        <f ca="1">SUM(BZ135:BZ143)</f>
        <v>0</v>
      </c>
      <c r="CA145" s="114">
        <f ca="1">SUM(CA135:CA143)</f>
        <v>0</v>
      </c>
      <c r="CD145" s="85">
        <f>CD131</f>
        <v>0</v>
      </c>
      <c r="CE145" s="113">
        <f ca="1">SUM(CE135:CE143)</f>
        <v>0</v>
      </c>
      <c r="CF145" s="113">
        <f ca="1">SUM(CF135:CF143)</f>
        <v>0</v>
      </c>
      <c r="CG145" s="113">
        <f ca="1">SUM(CG135:CG143)</f>
        <v>0</v>
      </c>
      <c r="CH145" s="113">
        <f ca="1">SUM(CH135:CH143)</f>
        <v>0</v>
      </c>
      <c r="CI145" s="114">
        <f ca="1">SUM(CI135:CI143)</f>
        <v>0</v>
      </c>
      <c r="CL145" s="85">
        <f>CL131</f>
        <v>0</v>
      </c>
      <c r="CM145" s="113">
        <f ca="1">SUM(CM135:CM143)</f>
        <v>0</v>
      </c>
      <c r="CN145" s="113">
        <f ca="1">SUM(CN135:CN143)</f>
        <v>0</v>
      </c>
      <c r="CO145" s="113">
        <f ca="1">SUM(CO135:CO143)</f>
        <v>0</v>
      </c>
      <c r="CP145" s="113">
        <f ca="1">SUM(CP135:CP143)</f>
        <v>0</v>
      </c>
      <c r="CQ145" s="114">
        <f ca="1">SUM(CQ135:CQ143)</f>
        <v>0</v>
      </c>
      <c r="CT145" s="85">
        <f>CT131</f>
        <v>0</v>
      </c>
      <c r="CU145" s="113">
        <f ca="1">SUM(CU135:CU143)</f>
        <v>0</v>
      </c>
      <c r="CV145" s="113">
        <f ca="1">SUM(CV135:CV143)</f>
        <v>0</v>
      </c>
      <c r="CW145" s="113">
        <f ca="1">SUM(CW135:CW143)</f>
        <v>0</v>
      </c>
      <c r="CX145" s="113">
        <f ca="1">SUM(CX135:CX143)</f>
        <v>0</v>
      </c>
      <c r="CY145" s="114">
        <f ca="1">SUM(CY135:CY143)</f>
        <v>0</v>
      </c>
      <c r="DB145" s="85">
        <f>DB131</f>
        <v>0</v>
      </c>
      <c r="DC145" s="113">
        <f ca="1">SUM(DC135:DC143)</f>
        <v>0</v>
      </c>
      <c r="DD145" s="113">
        <f ca="1">SUM(DD135:DD143)</f>
        <v>0</v>
      </c>
      <c r="DE145" s="113">
        <f ca="1">SUM(DE135:DE143)</f>
        <v>0</v>
      </c>
      <c r="DF145" s="113">
        <f ca="1">SUM(DF135:DF143)</f>
        <v>0</v>
      </c>
      <c r="DG145" s="114">
        <f ca="1">SUM(DG135:DG143)</f>
        <v>0</v>
      </c>
    </row>
    <row r="148" spans="2:113" s="81" customFormat="1">
      <c r="B148" s="120"/>
      <c r="C148" s="120"/>
      <c r="D148" s="120"/>
      <c r="E148" s="120"/>
      <c r="F148" s="120"/>
      <c r="G148" s="120"/>
      <c r="H148" s="82"/>
      <c r="I148" s="82"/>
      <c r="J148" s="120"/>
      <c r="K148" s="120"/>
      <c r="L148" s="120"/>
      <c r="M148" s="120"/>
      <c r="N148" s="120"/>
      <c r="O148" s="120"/>
      <c r="P148" s="82"/>
      <c r="Q148" s="82"/>
      <c r="R148" s="120"/>
      <c r="S148" s="120"/>
      <c r="T148" s="120"/>
      <c r="U148" s="120"/>
      <c r="V148" s="120"/>
      <c r="W148" s="120"/>
      <c r="X148" s="82"/>
      <c r="Y148" s="82"/>
      <c r="Z148" s="120"/>
      <c r="AA148" s="120"/>
      <c r="AB148" s="120"/>
      <c r="AC148" s="120"/>
      <c r="AD148" s="120"/>
      <c r="AE148" s="120"/>
      <c r="AF148" s="82"/>
      <c r="AG148" s="82"/>
      <c r="AH148" s="120"/>
      <c r="AI148" s="120"/>
      <c r="AJ148" s="120"/>
      <c r="AK148" s="120"/>
      <c r="AL148" s="120"/>
      <c r="AM148" s="120"/>
      <c r="AN148" s="82"/>
      <c r="AO148" s="82"/>
      <c r="AP148" s="120"/>
      <c r="AQ148" s="120"/>
      <c r="AR148" s="120"/>
      <c r="AS148" s="120"/>
      <c r="AT148" s="120"/>
      <c r="AU148" s="120"/>
      <c r="AV148" s="82"/>
      <c r="AW148" s="82"/>
      <c r="AX148" s="120"/>
      <c r="AY148" s="120"/>
      <c r="AZ148" s="120"/>
      <c r="BA148" s="120"/>
      <c r="BB148" s="120"/>
      <c r="BC148" s="120"/>
      <c r="BD148" s="82"/>
      <c r="BE148" s="82"/>
      <c r="BF148" s="120"/>
      <c r="BG148" s="120"/>
      <c r="BH148" s="120"/>
      <c r="BI148" s="120"/>
      <c r="BJ148" s="120"/>
      <c r="BK148" s="120"/>
      <c r="BL148" s="82"/>
      <c r="BM148" s="82"/>
      <c r="BN148" s="120"/>
      <c r="BO148" s="120"/>
      <c r="BP148" s="120"/>
      <c r="BQ148" s="120"/>
      <c r="BR148" s="120"/>
      <c r="BS148" s="120"/>
      <c r="BT148" s="82"/>
      <c r="BU148" s="82"/>
      <c r="BV148" s="120"/>
      <c r="BW148" s="120"/>
      <c r="BX148" s="120"/>
      <c r="BY148" s="120"/>
      <c r="BZ148" s="120"/>
      <c r="CA148" s="120"/>
      <c r="CB148" s="82"/>
      <c r="CC148" s="82"/>
      <c r="CD148" s="120"/>
      <c r="CE148" s="120"/>
      <c r="CF148" s="120"/>
      <c r="CG148" s="120"/>
      <c r="CH148" s="120"/>
      <c r="CI148" s="120"/>
      <c r="CJ148" s="82"/>
      <c r="CK148" s="82"/>
      <c r="CL148" s="120"/>
      <c r="CM148" s="120"/>
      <c r="CN148" s="120"/>
      <c r="CO148" s="120"/>
      <c r="CP148" s="120"/>
      <c r="CQ148" s="120"/>
      <c r="CR148" s="82"/>
      <c r="CS148" s="82"/>
      <c r="CT148" s="120"/>
      <c r="CU148" s="120"/>
      <c r="CV148" s="120"/>
      <c r="CW148" s="120"/>
      <c r="CX148" s="120"/>
      <c r="CY148" s="120"/>
      <c r="CZ148" s="82"/>
      <c r="DA148" s="82"/>
      <c r="DB148" s="120"/>
      <c r="DC148" s="120"/>
      <c r="DD148" s="120"/>
      <c r="DE148" s="120"/>
      <c r="DF148" s="120"/>
      <c r="DG148" s="120"/>
      <c r="DH148" s="82"/>
      <c r="DI148" s="82"/>
    </row>
    <row r="149" spans="2:113" s="76" customFormat="1" ht="21">
      <c r="B149" s="503" t="str">
        <f>intervencao1</f>
        <v>Drug 1</v>
      </c>
      <c r="C149" s="503"/>
      <c r="D149" s="503"/>
      <c r="E149" s="503"/>
      <c r="F149" s="503"/>
      <c r="G149" s="503"/>
      <c r="H149" s="503"/>
      <c r="I149" s="77"/>
      <c r="J149" s="503" t="str">
        <f>intervencao2</f>
        <v>Drug 2</v>
      </c>
      <c r="K149" s="503"/>
      <c r="L149" s="503"/>
      <c r="M149" s="503"/>
      <c r="N149" s="503"/>
      <c r="O149" s="503"/>
      <c r="P149" s="503"/>
      <c r="Q149" s="77"/>
      <c r="R149" s="503">
        <f>intervencao3</f>
        <v>0</v>
      </c>
      <c r="S149" s="503"/>
      <c r="T149" s="503"/>
      <c r="U149" s="503"/>
      <c r="V149" s="503"/>
      <c r="W149" s="503"/>
      <c r="X149" s="503"/>
      <c r="Y149" s="77"/>
      <c r="Z149" s="503">
        <f>intervencao4</f>
        <v>0</v>
      </c>
      <c r="AA149" s="503"/>
      <c r="AB149" s="503"/>
      <c r="AC149" s="503"/>
      <c r="AD149" s="503"/>
      <c r="AE149" s="503"/>
      <c r="AF149" s="503"/>
      <c r="AG149" s="77"/>
      <c r="AH149" s="503" t="str">
        <f>comparador1</f>
        <v>BSC</v>
      </c>
      <c r="AI149" s="503"/>
      <c r="AJ149" s="503"/>
      <c r="AK149" s="503"/>
      <c r="AL149" s="503"/>
      <c r="AM149" s="503"/>
      <c r="AN149" s="503"/>
      <c r="AO149" s="77"/>
      <c r="AP149" s="503">
        <f>comparador2</f>
        <v>0</v>
      </c>
      <c r="AQ149" s="503"/>
      <c r="AR149" s="503"/>
      <c r="AS149" s="503"/>
      <c r="AT149" s="503"/>
      <c r="AU149" s="503"/>
      <c r="AV149" s="503"/>
      <c r="AW149" s="77"/>
      <c r="AX149" s="503">
        <f>comparador3</f>
        <v>0</v>
      </c>
      <c r="AY149" s="503"/>
      <c r="AZ149" s="503"/>
      <c r="BA149" s="503"/>
      <c r="BB149" s="503"/>
      <c r="BC149" s="503"/>
      <c r="BD149" s="503"/>
      <c r="BE149" s="77"/>
      <c r="BF149" s="503">
        <f>comparador4</f>
        <v>0</v>
      </c>
      <c r="BG149" s="503"/>
      <c r="BH149" s="503"/>
      <c r="BI149" s="503"/>
      <c r="BJ149" s="503"/>
      <c r="BK149" s="503"/>
      <c r="BL149" s="503"/>
      <c r="BM149" s="77"/>
      <c r="BN149" s="503">
        <f>comparador5</f>
        <v>0</v>
      </c>
      <c r="BO149" s="503"/>
      <c r="BP149" s="503"/>
      <c r="BQ149" s="503"/>
      <c r="BR149" s="503"/>
      <c r="BS149" s="503"/>
      <c r="BT149" s="503"/>
      <c r="BU149" s="77"/>
      <c r="BV149" s="503">
        <f>comparador6</f>
        <v>0</v>
      </c>
      <c r="BW149" s="503"/>
      <c r="BX149" s="503"/>
      <c r="BY149" s="503"/>
      <c r="BZ149" s="503"/>
      <c r="CA149" s="503"/>
      <c r="CB149" s="503"/>
      <c r="CC149" s="77"/>
      <c r="CD149" s="503">
        <f>comparador7</f>
        <v>0</v>
      </c>
      <c r="CE149" s="503"/>
      <c r="CF149" s="503"/>
      <c r="CG149" s="503"/>
      <c r="CH149" s="503"/>
      <c r="CI149" s="503"/>
      <c r="CJ149" s="503"/>
      <c r="CK149" s="77"/>
      <c r="CL149" s="503">
        <f>comparador8</f>
        <v>0</v>
      </c>
      <c r="CM149" s="503"/>
      <c r="CN149" s="503"/>
      <c r="CO149" s="503"/>
      <c r="CP149" s="503"/>
      <c r="CQ149" s="503"/>
      <c r="CR149" s="503"/>
      <c r="CS149" s="77"/>
      <c r="CT149" s="503">
        <f>comparador9</f>
        <v>0</v>
      </c>
      <c r="CU149" s="503"/>
      <c r="CV149" s="503"/>
      <c r="CW149" s="503"/>
      <c r="CX149" s="503"/>
      <c r="CY149" s="503"/>
      <c r="CZ149" s="503"/>
      <c r="DA149" s="77"/>
      <c r="DB149" s="503">
        <f>comparador10</f>
        <v>0</v>
      </c>
      <c r="DC149" s="503"/>
      <c r="DD149" s="503"/>
      <c r="DE149" s="503"/>
      <c r="DF149" s="503"/>
      <c r="DG149" s="503"/>
      <c r="DH149" s="503"/>
      <c r="DI149" s="77"/>
    </row>
    <row r="150" spans="2:113" ht="18">
      <c r="B150" s="504" t="s">
        <v>182</v>
      </c>
      <c r="C150" s="504"/>
      <c r="D150" s="504"/>
      <c r="E150" s="504"/>
      <c r="F150" s="504"/>
      <c r="G150" s="504"/>
      <c r="H150" s="71"/>
      <c r="I150" s="71"/>
      <c r="J150" s="504" t="s">
        <v>182</v>
      </c>
      <c r="K150" s="504"/>
      <c r="L150" s="504"/>
      <c r="M150" s="504"/>
      <c r="N150" s="504"/>
      <c r="O150" s="504"/>
      <c r="P150" s="71"/>
      <c r="Q150" s="71"/>
      <c r="R150" s="504" t="s">
        <v>182</v>
      </c>
      <c r="S150" s="504"/>
      <c r="T150" s="504"/>
      <c r="U150" s="504"/>
      <c r="V150" s="504"/>
      <c r="W150" s="504"/>
      <c r="X150" s="71"/>
      <c r="Y150" s="71"/>
      <c r="Z150" s="504" t="s">
        <v>182</v>
      </c>
      <c r="AA150" s="504"/>
      <c r="AB150" s="504"/>
      <c r="AC150" s="504"/>
      <c r="AD150" s="504"/>
      <c r="AE150" s="504"/>
      <c r="AF150" s="71"/>
      <c r="AG150" s="71"/>
      <c r="AH150" s="504" t="s">
        <v>182</v>
      </c>
      <c r="AI150" s="504"/>
      <c r="AJ150" s="504"/>
      <c r="AK150" s="504"/>
      <c r="AL150" s="504"/>
      <c r="AM150" s="504"/>
      <c r="AN150" s="71"/>
      <c r="AO150" s="71"/>
      <c r="AP150" s="504" t="s">
        <v>182</v>
      </c>
      <c r="AQ150" s="504"/>
      <c r="AR150" s="504"/>
      <c r="AS150" s="504"/>
      <c r="AT150" s="504"/>
      <c r="AU150" s="504"/>
      <c r="AV150" s="71"/>
      <c r="AW150" s="71"/>
      <c r="AX150" s="504" t="s">
        <v>182</v>
      </c>
      <c r="AY150" s="504"/>
      <c r="AZ150" s="504"/>
      <c r="BA150" s="504"/>
      <c r="BB150" s="504"/>
      <c r="BC150" s="504"/>
      <c r="BD150" s="71"/>
      <c r="BE150" s="71"/>
      <c r="BF150" s="504" t="s">
        <v>182</v>
      </c>
      <c r="BG150" s="504"/>
      <c r="BH150" s="504"/>
      <c r="BI150" s="504"/>
      <c r="BJ150" s="504"/>
      <c r="BK150" s="504"/>
      <c r="BL150" s="71"/>
      <c r="BM150" s="71"/>
      <c r="BN150" s="504" t="s">
        <v>182</v>
      </c>
      <c r="BO150" s="504"/>
      <c r="BP150" s="504"/>
      <c r="BQ150" s="504"/>
      <c r="BR150" s="504"/>
      <c r="BS150" s="504"/>
      <c r="BT150" s="71"/>
      <c r="BU150" s="71"/>
      <c r="BV150" s="504" t="s">
        <v>182</v>
      </c>
      <c r="BW150" s="504"/>
      <c r="BX150" s="504"/>
      <c r="BY150" s="504"/>
      <c r="BZ150" s="504"/>
      <c r="CA150" s="504"/>
      <c r="CB150" s="71"/>
      <c r="CC150" s="71"/>
      <c r="CD150" s="504" t="s">
        <v>182</v>
      </c>
      <c r="CE150" s="504"/>
      <c r="CF150" s="504"/>
      <c r="CG150" s="504"/>
      <c r="CH150" s="504"/>
      <c r="CI150" s="504"/>
      <c r="CJ150" s="71"/>
      <c r="CK150" s="71"/>
      <c r="CL150" s="504" t="s">
        <v>182</v>
      </c>
      <c r="CM150" s="504"/>
      <c r="CN150" s="504"/>
      <c r="CO150" s="504"/>
      <c r="CP150" s="504"/>
      <c r="CQ150" s="504"/>
      <c r="CR150" s="71"/>
      <c r="CS150" s="71"/>
      <c r="CT150" s="504" t="s">
        <v>182</v>
      </c>
      <c r="CU150" s="504"/>
      <c r="CV150" s="504"/>
      <c r="CW150" s="504"/>
      <c r="CX150" s="504"/>
      <c r="CY150" s="504"/>
      <c r="CZ150" s="71"/>
      <c r="DA150" s="71"/>
      <c r="DB150" s="504" t="s">
        <v>182</v>
      </c>
      <c r="DC150" s="504"/>
      <c r="DD150" s="504"/>
      <c r="DE150" s="504"/>
      <c r="DF150" s="504"/>
      <c r="DG150" s="504"/>
      <c r="DH150" s="71"/>
    </row>
    <row r="151" spans="2:113" ht="15" thickBot="1">
      <c r="B151" s="83"/>
      <c r="C151" s="83"/>
      <c r="D151" s="83"/>
      <c r="E151" s="83"/>
      <c r="F151" s="83"/>
      <c r="G151" s="83"/>
      <c r="J151" s="83"/>
      <c r="K151" s="83"/>
      <c r="L151" s="83"/>
      <c r="M151" s="83"/>
      <c r="N151" s="83"/>
      <c r="O151" s="83"/>
      <c r="R151" s="83"/>
      <c r="S151" s="83"/>
      <c r="T151" s="83"/>
      <c r="U151" s="83"/>
      <c r="V151" s="83"/>
      <c r="W151" s="83"/>
      <c r="Z151" s="83"/>
      <c r="AA151" s="83"/>
      <c r="AB151" s="83"/>
      <c r="AC151" s="83"/>
      <c r="AD151" s="83"/>
      <c r="AE151" s="83"/>
      <c r="AH151" s="83"/>
      <c r="AI151" s="83"/>
      <c r="AJ151" s="83"/>
      <c r="AK151" s="83"/>
      <c r="AL151" s="83"/>
      <c r="AM151" s="83"/>
      <c r="AP151" s="83"/>
      <c r="AQ151" s="83"/>
      <c r="AR151" s="83"/>
      <c r="AS151" s="83"/>
      <c r="AT151" s="83"/>
      <c r="AU151" s="83"/>
      <c r="AX151" s="83"/>
      <c r="AY151" s="83"/>
      <c r="AZ151" s="83"/>
      <c r="BA151" s="83"/>
      <c r="BB151" s="83"/>
      <c r="BC151" s="83"/>
      <c r="BF151" s="83"/>
      <c r="BG151" s="83"/>
      <c r="BH151" s="83"/>
      <c r="BI151" s="83"/>
      <c r="BJ151" s="83"/>
      <c r="BK151" s="83"/>
      <c r="BN151" s="83"/>
      <c r="BO151" s="83"/>
      <c r="BP151" s="83"/>
      <c r="BQ151" s="83"/>
      <c r="BR151" s="83"/>
      <c r="BS151" s="83"/>
      <c r="BV151" s="83"/>
      <c r="BW151" s="83"/>
      <c r="BX151" s="83"/>
      <c r="BY151" s="83"/>
      <c r="BZ151" s="83"/>
      <c r="CA151" s="83"/>
      <c r="CD151" s="83"/>
      <c r="CE151" s="83"/>
      <c r="CF151" s="83"/>
      <c r="CG151" s="83"/>
      <c r="CH151" s="83"/>
      <c r="CI151" s="83"/>
      <c r="CL151" s="83"/>
      <c r="CM151" s="83"/>
      <c r="CN151" s="83"/>
      <c r="CO151" s="83"/>
      <c r="CP151" s="83"/>
      <c r="CQ151" s="83"/>
      <c r="CT151" s="83"/>
      <c r="CU151" s="83"/>
      <c r="CV151" s="83"/>
      <c r="CW151" s="83"/>
      <c r="CX151" s="83"/>
      <c r="CY151" s="83"/>
      <c r="DB151" s="83"/>
      <c r="DC151" s="83"/>
      <c r="DD151" s="83"/>
      <c r="DE151" s="83"/>
      <c r="DF151" s="83"/>
      <c r="DG151" s="83"/>
    </row>
    <row r="152" spans="2:113" ht="15" thickBot="1">
      <c r="B152" s="505" t="str">
        <f>B91</f>
        <v>BSC only</v>
      </c>
      <c r="C152" s="506"/>
      <c r="D152" s="506"/>
      <c r="E152" s="506"/>
      <c r="F152" s="506"/>
      <c r="G152" s="507"/>
      <c r="J152" s="505" t="str">
        <f>J91</f>
        <v>BSC only</v>
      </c>
      <c r="K152" s="506"/>
      <c r="L152" s="506"/>
      <c r="M152" s="506"/>
      <c r="N152" s="506"/>
      <c r="O152" s="507"/>
      <c r="R152" s="505" t="str">
        <f>R91</f>
        <v>BSC only</v>
      </c>
      <c r="S152" s="506"/>
      <c r="T152" s="506"/>
      <c r="U152" s="506"/>
      <c r="V152" s="506"/>
      <c r="W152" s="507"/>
      <c r="Z152" s="505" t="str">
        <f>Z91</f>
        <v>BSC only</v>
      </c>
      <c r="AA152" s="506"/>
      <c r="AB152" s="506"/>
      <c r="AC152" s="506"/>
      <c r="AD152" s="506"/>
      <c r="AE152" s="507"/>
      <c r="AH152" s="505" t="str">
        <f>AH91</f>
        <v>BSC only</v>
      </c>
      <c r="AI152" s="506"/>
      <c r="AJ152" s="506"/>
      <c r="AK152" s="506"/>
      <c r="AL152" s="506"/>
      <c r="AM152" s="507"/>
      <c r="AP152" s="505" t="str">
        <f>AP91</f>
        <v>BSC only</v>
      </c>
      <c r="AQ152" s="506"/>
      <c r="AR152" s="506"/>
      <c r="AS152" s="506"/>
      <c r="AT152" s="506"/>
      <c r="AU152" s="507"/>
      <c r="AX152" s="505" t="str">
        <f>AX91</f>
        <v>BSC only</v>
      </c>
      <c r="AY152" s="506"/>
      <c r="AZ152" s="506"/>
      <c r="BA152" s="506"/>
      <c r="BB152" s="506"/>
      <c r="BC152" s="507"/>
      <c r="BF152" s="505" t="str">
        <f>BF91</f>
        <v>BSC only</v>
      </c>
      <c r="BG152" s="506"/>
      <c r="BH152" s="506"/>
      <c r="BI152" s="506"/>
      <c r="BJ152" s="506"/>
      <c r="BK152" s="507"/>
      <c r="BN152" s="505" t="str">
        <f>BN91</f>
        <v>BSC only</v>
      </c>
      <c r="BO152" s="506"/>
      <c r="BP152" s="506"/>
      <c r="BQ152" s="506"/>
      <c r="BR152" s="506"/>
      <c r="BS152" s="507"/>
      <c r="BV152" s="505" t="str">
        <f>BV91</f>
        <v>BSC only</v>
      </c>
      <c r="BW152" s="506"/>
      <c r="BX152" s="506"/>
      <c r="BY152" s="506"/>
      <c r="BZ152" s="506"/>
      <c r="CA152" s="507"/>
      <c r="CD152" s="505" t="str">
        <f>CD91</f>
        <v>BSC only</v>
      </c>
      <c r="CE152" s="506"/>
      <c r="CF152" s="506"/>
      <c r="CG152" s="506"/>
      <c r="CH152" s="506"/>
      <c r="CI152" s="507"/>
      <c r="CL152" s="505" t="str">
        <f>CL91</f>
        <v>BSC only</v>
      </c>
      <c r="CM152" s="506"/>
      <c r="CN152" s="506"/>
      <c r="CO152" s="506"/>
      <c r="CP152" s="506"/>
      <c r="CQ152" s="507"/>
      <c r="CT152" s="505" t="str">
        <f>CT91</f>
        <v>BSC only</v>
      </c>
      <c r="CU152" s="506"/>
      <c r="CV152" s="506"/>
      <c r="CW152" s="506"/>
      <c r="CX152" s="506"/>
      <c r="CY152" s="507"/>
      <c r="DB152" s="505" t="str">
        <f>DB91</f>
        <v>BSC only</v>
      </c>
      <c r="DC152" s="506"/>
      <c r="DD152" s="506"/>
      <c r="DE152" s="506"/>
      <c r="DF152" s="506"/>
      <c r="DG152" s="507"/>
    </row>
    <row r="153" spans="2:113">
      <c r="B153" s="84"/>
      <c r="C153" s="101">
        <f>C92</f>
        <v>2026</v>
      </c>
      <c r="D153" s="101">
        <f t="shared" ref="D153:F153" si="328">D92</f>
        <v>2027</v>
      </c>
      <c r="E153" s="101">
        <f t="shared" si="328"/>
        <v>2028</v>
      </c>
      <c r="F153" s="101">
        <f t="shared" si="328"/>
        <v>2029</v>
      </c>
      <c r="G153" s="102">
        <f>G92</f>
        <v>2030</v>
      </c>
      <c r="J153" s="84"/>
      <c r="K153" s="101">
        <f>K92</f>
        <v>2026</v>
      </c>
      <c r="L153" s="101">
        <f t="shared" ref="L153:N153" si="329">L92</f>
        <v>2027</v>
      </c>
      <c r="M153" s="101">
        <f t="shared" si="329"/>
        <v>2028</v>
      </c>
      <c r="N153" s="101">
        <f t="shared" si="329"/>
        <v>2029</v>
      </c>
      <c r="O153" s="102">
        <f>O92</f>
        <v>2030</v>
      </c>
      <c r="R153" s="84"/>
      <c r="S153" s="101">
        <f>S92</f>
        <v>2026</v>
      </c>
      <c r="T153" s="101">
        <f t="shared" ref="T153:V153" si="330">T92</f>
        <v>2027</v>
      </c>
      <c r="U153" s="101">
        <f t="shared" si="330"/>
        <v>2028</v>
      </c>
      <c r="V153" s="101">
        <f t="shared" si="330"/>
        <v>2029</v>
      </c>
      <c r="W153" s="102">
        <f>W92</f>
        <v>2030</v>
      </c>
      <c r="Z153" s="84"/>
      <c r="AA153" s="101">
        <f>AA92</f>
        <v>2026</v>
      </c>
      <c r="AB153" s="101">
        <f t="shared" ref="AB153:AD153" si="331">AB92</f>
        <v>2027</v>
      </c>
      <c r="AC153" s="101">
        <f t="shared" si="331"/>
        <v>2028</v>
      </c>
      <c r="AD153" s="101">
        <f t="shared" si="331"/>
        <v>2029</v>
      </c>
      <c r="AE153" s="102">
        <f>AE92</f>
        <v>2030</v>
      </c>
      <c r="AH153" s="84"/>
      <c r="AI153" s="101">
        <f>AI92</f>
        <v>2026</v>
      </c>
      <c r="AJ153" s="101">
        <f t="shared" ref="AJ153:AL153" si="332">AJ92</f>
        <v>2027</v>
      </c>
      <c r="AK153" s="101">
        <f t="shared" si="332"/>
        <v>2028</v>
      </c>
      <c r="AL153" s="101">
        <f t="shared" si="332"/>
        <v>2029</v>
      </c>
      <c r="AM153" s="102">
        <f>AM92</f>
        <v>2030</v>
      </c>
      <c r="AP153" s="84"/>
      <c r="AQ153" s="101">
        <f>AQ92</f>
        <v>2026</v>
      </c>
      <c r="AR153" s="101">
        <f t="shared" ref="AR153:AT153" si="333">AR92</f>
        <v>2027</v>
      </c>
      <c r="AS153" s="101">
        <f t="shared" si="333"/>
        <v>2028</v>
      </c>
      <c r="AT153" s="101">
        <f t="shared" si="333"/>
        <v>2029</v>
      </c>
      <c r="AU153" s="102">
        <f>AU92</f>
        <v>2030</v>
      </c>
      <c r="AX153" s="84"/>
      <c r="AY153" s="101">
        <f>AY92</f>
        <v>2026</v>
      </c>
      <c r="AZ153" s="101">
        <f t="shared" ref="AZ153:BB153" si="334">AZ92</f>
        <v>2027</v>
      </c>
      <c r="BA153" s="101">
        <f t="shared" si="334"/>
        <v>2028</v>
      </c>
      <c r="BB153" s="101">
        <f t="shared" si="334"/>
        <v>2029</v>
      </c>
      <c r="BC153" s="102">
        <f>BC92</f>
        <v>2030</v>
      </c>
      <c r="BF153" s="84"/>
      <c r="BG153" s="101">
        <f>BG92</f>
        <v>2026</v>
      </c>
      <c r="BH153" s="101">
        <f t="shared" ref="BH153:BJ153" si="335">BH92</f>
        <v>2027</v>
      </c>
      <c r="BI153" s="101">
        <f t="shared" si="335"/>
        <v>2028</v>
      </c>
      <c r="BJ153" s="101">
        <f t="shared" si="335"/>
        <v>2029</v>
      </c>
      <c r="BK153" s="102">
        <f>BK92</f>
        <v>2030</v>
      </c>
      <c r="BN153" s="84"/>
      <c r="BO153" s="101">
        <f>BO92</f>
        <v>2026</v>
      </c>
      <c r="BP153" s="101">
        <f t="shared" ref="BP153:BR153" si="336">BP92</f>
        <v>2027</v>
      </c>
      <c r="BQ153" s="101">
        <f t="shared" si="336"/>
        <v>2028</v>
      </c>
      <c r="BR153" s="101">
        <f t="shared" si="336"/>
        <v>2029</v>
      </c>
      <c r="BS153" s="102">
        <f>BS92</f>
        <v>2030</v>
      </c>
      <c r="BV153" s="84"/>
      <c r="BW153" s="101">
        <f>BW92</f>
        <v>2026</v>
      </c>
      <c r="BX153" s="101">
        <f t="shared" ref="BX153:BZ153" si="337">BX92</f>
        <v>2027</v>
      </c>
      <c r="BY153" s="101">
        <f t="shared" si="337"/>
        <v>2028</v>
      </c>
      <c r="BZ153" s="101">
        <f t="shared" si="337"/>
        <v>2029</v>
      </c>
      <c r="CA153" s="102">
        <f>CA92</f>
        <v>2030</v>
      </c>
      <c r="CD153" s="84"/>
      <c r="CE153" s="101">
        <f>CE92</f>
        <v>2026</v>
      </c>
      <c r="CF153" s="101">
        <f t="shared" ref="CF153:CH153" si="338">CF92</f>
        <v>2027</v>
      </c>
      <c r="CG153" s="101">
        <f t="shared" si="338"/>
        <v>2028</v>
      </c>
      <c r="CH153" s="101">
        <f t="shared" si="338"/>
        <v>2029</v>
      </c>
      <c r="CI153" s="102">
        <f>CI92</f>
        <v>2030</v>
      </c>
      <c r="CL153" s="84"/>
      <c r="CM153" s="101">
        <f>CM92</f>
        <v>2026</v>
      </c>
      <c r="CN153" s="101">
        <f t="shared" ref="CN153:CP153" si="339">CN92</f>
        <v>2027</v>
      </c>
      <c r="CO153" s="101">
        <f t="shared" si="339"/>
        <v>2028</v>
      </c>
      <c r="CP153" s="101">
        <f t="shared" si="339"/>
        <v>2029</v>
      </c>
      <c r="CQ153" s="102">
        <f>CQ92</f>
        <v>2030</v>
      </c>
      <c r="CT153" s="84"/>
      <c r="CU153" s="101">
        <f>CU92</f>
        <v>2026</v>
      </c>
      <c r="CV153" s="101">
        <f t="shared" ref="CV153:CX153" si="340">CV92</f>
        <v>2027</v>
      </c>
      <c r="CW153" s="101">
        <f t="shared" si="340"/>
        <v>2028</v>
      </c>
      <c r="CX153" s="101">
        <f t="shared" si="340"/>
        <v>2029</v>
      </c>
      <c r="CY153" s="102">
        <f>CY92</f>
        <v>2030</v>
      </c>
      <c r="DB153" s="84"/>
      <c r="DC153" s="101">
        <f>DC92</f>
        <v>2026</v>
      </c>
      <c r="DD153" s="101">
        <f t="shared" ref="DD153:DF153" si="341">DD92</f>
        <v>2027</v>
      </c>
      <c r="DE153" s="101">
        <f t="shared" si="341"/>
        <v>2028</v>
      </c>
      <c r="DF153" s="101">
        <f t="shared" si="341"/>
        <v>2029</v>
      </c>
      <c r="DG153" s="102">
        <f>DG92</f>
        <v>2030</v>
      </c>
    </row>
    <row r="154" spans="2:113">
      <c r="B154" s="87" t="s">
        <v>170</v>
      </c>
      <c r="C154" s="109">
        <f ca="1">(C28*ci_int1)+(C28*ct_int1*'Time on treatment'!$D$12)</f>
        <v>0</v>
      </c>
      <c r="D154" s="109">
        <f ca="1">(D28*ct_int1*'Time on treatment'!$E$12)</f>
        <v>0</v>
      </c>
      <c r="E154" s="109">
        <f ca="1">(E28*ct_int1*'Time on treatment'!$F$12)</f>
        <v>0</v>
      </c>
      <c r="F154" s="109">
        <f ca="1">(F28*ct_int1*'Time on treatment'!$G$12)</f>
        <v>0</v>
      </c>
      <c r="G154" s="110">
        <f ca="1">(G28*ct_int1*'Time on treatment'!$H$12)</f>
        <v>0</v>
      </c>
      <c r="J154" s="87" t="s">
        <v>170</v>
      </c>
      <c r="K154" s="109">
        <f ca="1">(K28*ci_int2)+(K28*ct_int2*'Time on treatment'!$D$13)</f>
        <v>0</v>
      </c>
      <c r="L154" s="109">
        <f ca="1">(L28*ct_int2*'Time on treatment'!$E$13)</f>
        <v>0</v>
      </c>
      <c r="M154" s="109">
        <f ca="1">(M28*ct_int2*'Time on treatment'!$F$13)</f>
        <v>0</v>
      </c>
      <c r="N154" s="109">
        <f ca="1">(N28*ct_int2*'Time on treatment'!$G$13)</f>
        <v>0</v>
      </c>
      <c r="O154" s="110">
        <f ca="1">(O28*ct_int2*'Time on treatment'!$H$13)</f>
        <v>0</v>
      </c>
      <c r="R154" s="87" t="s">
        <v>170</v>
      </c>
      <c r="S154" s="109">
        <f ca="1">(S28*ci_int3)+(S28*ct_int3*'Time on treatment'!$D$14)</f>
        <v>0</v>
      </c>
      <c r="T154" s="109">
        <f ca="1">(T28*ct_int3*'Time on treatment'!$E$14)</f>
        <v>0</v>
      </c>
      <c r="U154" s="109">
        <f ca="1">(U28*ct_int3*'Time on treatment'!$F$14)</f>
        <v>0</v>
      </c>
      <c r="V154" s="109">
        <f ca="1">(V28*ct_int3*'Time on treatment'!$G$14)</f>
        <v>0</v>
      </c>
      <c r="W154" s="110">
        <f ca="1">(W28*ct_int3*'Time on treatment'!$H$14)</f>
        <v>0</v>
      </c>
      <c r="Z154" s="87" t="s">
        <v>170</v>
      </c>
      <c r="AA154" s="109">
        <f ca="1">(AA28*ci_int4)+(AA28*ct_int4*'Time on treatment'!$D$15)</f>
        <v>0</v>
      </c>
      <c r="AB154" s="109">
        <f ca="1">(AB28*ct_int4*'Time on treatment'!$E$15)</f>
        <v>0</v>
      </c>
      <c r="AC154" s="109">
        <f ca="1">(AC28*ct_int4*'Time on treatment'!$F$15)</f>
        <v>0</v>
      </c>
      <c r="AD154" s="109">
        <f ca="1">(AD28*ct_int4*'Time on treatment'!$G$15)</f>
        <v>0</v>
      </c>
      <c r="AE154" s="110">
        <f ca="1">(AE28*ct_int4*'Time on treatment'!$H$15)</f>
        <v>0</v>
      </c>
      <c r="AH154" s="87" t="s">
        <v>170</v>
      </c>
      <c r="AI154" s="109">
        <f ca="1">(AI28*ci_comp1)+(AI28*ct_comp1*'Time on treatment'!$D$19)</f>
        <v>6427969.3994760001</v>
      </c>
      <c r="AJ154" s="109">
        <f ca="1">(AJ28*ct_comp1*'Time on treatment'!$E$19)</f>
        <v>6427969.3994760001</v>
      </c>
      <c r="AK154" s="109">
        <f ca="1">(AK28*ct_comp1*'Time on treatment'!$F$19)</f>
        <v>6427969.3994760001</v>
      </c>
      <c r="AL154" s="109">
        <f ca="1">(AL28*ct_comp1*'Time on treatment'!$G$19)</f>
        <v>6427969.3994760001</v>
      </c>
      <c r="AM154" s="110">
        <f ca="1">(AM28*ct_comp1*'Time on treatment'!$H$19)</f>
        <v>6427969.3994760001</v>
      </c>
      <c r="AP154" s="87" t="s">
        <v>170</v>
      </c>
      <c r="AQ154" s="109">
        <f ca="1">(AQ28*ci_comp2)+(AQ28*ct_comp2*'Time on treatment'!$D$20)</f>
        <v>0</v>
      </c>
      <c r="AR154" s="109">
        <f ca="1">(AR28*ct_comp2*'Time on treatment'!$E$20)</f>
        <v>0</v>
      </c>
      <c r="AS154" s="109">
        <f ca="1">(AS28*ct_comp2*'Time on treatment'!$F$20)</f>
        <v>0</v>
      </c>
      <c r="AT154" s="109">
        <f ca="1">(AT28*ct_comp2*'Time on treatment'!$G$20)</f>
        <v>0</v>
      </c>
      <c r="AU154" s="110">
        <f ca="1">(AU28*ct_comp2*'Time on treatment'!$H$20)</f>
        <v>0</v>
      </c>
      <c r="AX154" s="87" t="s">
        <v>170</v>
      </c>
      <c r="AY154" s="109">
        <f ca="1">(AY28*ci_comp3)+(AY28*ct_comp3*'Time on treatment'!$D$21)</f>
        <v>0</v>
      </c>
      <c r="AZ154" s="109">
        <f ca="1">(AZ28*ct_comp3*'Time on treatment'!$E$21)</f>
        <v>0</v>
      </c>
      <c r="BA154" s="109">
        <f ca="1">(BA28*ct_comp3*'Time on treatment'!$F$21)</f>
        <v>0</v>
      </c>
      <c r="BB154" s="109">
        <f ca="1">(BB28*ct_comp3*'Time on treatment'!$G$21)</f>
        <v>0</v>
      </c>
      <c r="BC154" s="110">
        <f ca="1">(BC28*ct_comp3*'Time on treatment'!$H$21)</f>
        <v>0</v>
      </c>
      <c r="BF154" s="87" t="s">
        <v>170</v>
      </c>
      <c r="BG154" s="109">
        <f ca="1">(BG28*ci_comp4)+(BG28*ct_comp4*'Time on treatment'!$D$22)</f>
        <v>0</v>
      </c>
      <c r="BH154" s="109">
        <f ca="1">(BH28*ct_comp4*'Time on treatment'!$E$22)</f>
        <v>0</v>
      </c>
      <c r="BI154" s="109">
        <f ca="1">(BI28*ct_comp4*'Time on treatment'!$F$22)</f>
        <v>0</v>
      </c>
      <c r="BJ154" s="109">
        <f ca="1">(BJ28*ct_comp4*'Time on treatment'!$G$22)</f>
        <v>0</v>
      </c>
      <c r="BK154" s="110">
        <f ca="1">(BK28*ct_comp4*'Time on treatment'!$H$22)</f>
        <v>0</v>
      </c>
      <c r="BN154" s="87" t="s">
        <v>170</v>
      </c>
      <c r="BO154" s="109">
        <f ca="1">(BO28*ci_comp5)+(BO28*ct_comp5*'Time on treatment'!$D$23)</f>
        <v>0</v>
      </c>
      <c r="BP154" s="109">
        <f ca="1">(BP28*ct_comp5*'Time on treatment'!$E$23)</f>
        <v>0</v>
      </c>
      <c r="BQ154" s="109">
        <f ca="1">(BQ28*ct_comp5*'Time on treatment'!$F$23)</f>
        <v>0</v>
      </c>
      <c r="BR154" s="109">
        <f ca="1">(BR28*ct_comp5*'Time on treatment'!$G$23)</f>
        <v>0</v>
      </c>
      <c r="BS154" s="110">
        <f ca="1">(BS28*ct_comp5*'Time on treatment'!$H$23)</f>
        <v>0</v>
      </c>
      <c r="BV154" s="87" t="s">
        <v>170</v>
      </c>
      <c r="BW154" s="109">
        <f ca="1">(BW28*ci_comp6)+(BW28*ct_comp6*'Time on treatment'!$D$24)</f>
        <v>0</v>
      </c>
      <c r="BX154" s="109">
        <f ca="1">(BX28*ct_comp6*'Time on treatment'!$E$24)</f>
        <v>0</v>
      </c>
      <c r="BY154" s="109">
        <f ca="1">(BY28*ct_comp6*'Time on treatment'!$F$24)</f>
        <v>0</v>
      </c>
      <c r="BZ154" s="109">
        <f ca="1">(BZ28*ct_comp6*'Time on treatment'!$G$24)</f>
        <v>0</v>
      </c>
      <c r="CA154" s="110">
        <f ca="1">(CA28*ct_comp6*'Time on treatment'!$H$24)</f>
        <v>0</v>
      </c>
      <c r="CD154" s="87" t="s">
        <v>170</v>
      </c>
      <c r="CE154" s="109">
        <f ca="1">(CE28*ci_comp7)+(CE28*ct_comp7*'Time on treatment'!$D$25)</f>
        <v>0</v>
      </c>
      <c r="CF154" s="109">
        <f ca="1">(CF28*ct_comp7*'Time on treatment'!$E$25)</f>
        <v>0</v>
      </c>
      <c r="CG154" s="109">
        <f ca="1">(CG28*ct_comp7*'Time on treatment'!$F$25)</f>
        <v>0</v>
      </c>
      <c r="CH154" s="109">
        <f ca="1">(CH28*ct_comp7*'Time on treatment'!$G$25)</f>
        <v>0</v>
      </c>
      <c r="CI154" s="110">
        <f ca="1">(CI28*ct_comp7*'Time on treatment'!$H$25)</f>
        <v>0</v>
      </c>
      <c r="CL154" s="87" t="s">
        <v>170</v>
      </c>
      <c r="CM154" s="109">
        <f ca="1">(CM28*ci_comp8)+(CM28*ct_comp8*'Time on treatment'!$D$26)</f>
        <v>0</v>
      </c>
      <c r="CN154" s="109">
        <f ca="1">(CN28*ct_comp8*'Time on treatment'!$E$26)</f>
        <v>0</v>
      </c>
      <c r="CO154" s="109">
        <f ca="1">(CO28*ct_comp8*'Time on treatment'!$F$26)</f>
        <v>0</v>
      </c>
      <c r="CP154" s="109">
        <f ca="1">(CP28*ct_comp8*'Time on treatment'!$G$26)</f>
        <v>0</v>
      </c>
      <c r="CQ154" s="110">
        <f ca="1">(CQ28*ct_comp8*'Time on treatment'!$H$26)</f>
        <v>0</v>
      </c>
      <c r="CT154" s="87" t="s">
        <v>170</v>
      </c>
      <c r="CU154" s="109">
        <f ca="1">(CU28*ci_comp9)+(CU28*ct_comp9*'Time on treatment'!$D$27)</f>
        <v>0</v>
      </c>
      <c r="CV154" s="109">
        <f ca="1">(CV28*ct_comp9*'Time on treatment'!$E$27)</f>
        <v>0</v>
      </c>
      <c r="CW154" s="109">
        <f ca="1">(CW28*ct_comp9*'Time on treatment'!$F$27)</f>
        <v>0</v>
      </c>
      <c r="CX154" s="109">
        <f ca="1">(CX28*ct_comp9*'Time on treatment'!$G$27)</f>
        <v>0</v>
      </c>
      <c r="CY154" s="110">
        <f ca="1">(CY28*ct_comp9*'Time on treatment'!$H$27)</f>
        <v>0</v>
      </c>
      <c r="DB154" s="87" t="s">
        <v>170</v>
      </c>
      <c r="DC154" s="109">
        <f ca="1">(DC28*ci_comp10)+(DC28*ct_comp10*'Time on treatment'!$D$28)</f>
        <v>0</v>
      </c>
      <c r="DD154" s="109">
        <f ca="1">(DD28*ct_comp10*'Time on treatment'!$E$28)</f>
        <v>0</v>
      </c>
      <c r="DE154" s="109">
        <f ca="1">(DE28*ct_comp10*'Time on treatment'!$F$28)</f>
        <v>0</v>
      </c>
      <c r="DF154" s="109">
        <f ca="1">(DF28*ct_comp10*'Time on treatment'!$G$28)</f>
        <v>0</v>
      </c>
      <c r="DG154" s="110">
        <f ca="1">(DG28*ct_comp10*'Time on treatment'!$H$28)</f>
        <v>0</v>
      </c>
    </row>
    <row r="155" spans="2:113">
      <c r="B155" s="87" t="s">
        <v>175</v>
      </c>
      <c r="C155" s="109"/>
      <c r="D155" s="109"/>
      <c r="E155" s="109"/>
      <c r="F155" s="109"/>
      <c r="G155" s="110"/>
      <c r="J155" s="87" t="s">
        <v>175</v>
      </c>
      <c r="K155" s="109"/>
      <c r="L155" s="109"/>
      <c r="M155" s="109"/>
      <c r="N155" s="109"/>
      <c r="O155" s="110"/>
      <c r="R155" s="87" t="s">
        <v>175</v>
      </c>
      <c r="S155" s="109"/>
      <c r="T155" s="109"/>
      <c r="U155" s="109"/>
      <c r="V155" s="109"/>
      <c r="W155" s="110"/>
      <c r="Z155" s="87" t="s">
        <v>175</v>
      </c>
      <c r="AA155" s="109"/>
      <c r="AB155" s="109"/>
      <c r="AC155" s="109"/>
      <c r="AD155" s="109"/>
      <c r="AE155" s="110"/>
      <c r="AH155" s="87" t="s">
        <v>175</v>
      </c>
      <c r="AI155" s="109"/>
      <c r="AJ155" s="109"/>
      <c r="AK155" s="109"/>
      <c r="AL155" s="109"/>
      <c r="AM155" s="110"/>
      <c r="AP155" s="87" t="s">
        <v>175</v>
      </c>
      <c r="AQ155" s="109"/>
      <c r="AR155" s="109"/>
      <c r="AS155" s="109"/>
      <c r="AT155" s="109"/>
      <c r="AU155" s="110"/>
      <c r="AX155" s="87" t="s">
        <v>175</v>
      </c>
      <c r="AY155" s="109"/>
      <c r="AZ155" s="109"/>
      <c r="BA155" s="109"/>
      <c r="BB155" s="109"/>
      <c r="BC155" s="110"/>
      <c r="BF155" s="87" t="s">
        <v>175</v>
      </c>
      <c r="BG155" s="109"/>
      <c r="BH155" s="109"/>
      <c r="BI155" s="109"/>
      <c r="BJ155" s="109"/>
      <c r="BK155" s="110"/>
      <c r="BN155" s="87" t="s">
        <v>175</v>
      </c>
      <c r="BO155" s="109"/>
      <c r="BP155" s="109"/>
      <c r="BQ155" s="109"/>
      <c r="BR155" s="109"/>
      <c r="BS155" s="110"/>
      <c r="BV155" s="87" t="s">
        <v>175</v>
      </c>
      <c r="BW155" s="109"/>
      <c r="BX155" s="109"/>
      <c r="BY155" s="109"/>
      <c r="BZ155" s="109"/>
      <c r="CA155" s="110"/>
      <c r="CD155" s="87" t="s">
        <v>175</v>
      </c>
      <c r="CE155" s="109"/>
      <c r="CF155" s="109"/>
      <c r="CG155" s="109"/>
      <c r="CH155" s="109"/>
      <c r="CI155" s="110"/>
      <c r="CL155" s="87" t="s">
        <v>175</v>
      </c>
      <c r="CM155" s="109"/>
      <c r="CN155" s="109"/>
      <c r="CO155" s="109"/>
      <c r="CP155" s="109"/>
      <c r="CQ155" s="110"/>
      <c r="CT155" s="87" t="s">
        <v>175</v>
      </c>
      <c r="CU155" s="109"/>
      <c r="CV155" s="109"/>
      <c r="CW155" s="109"/>
      <c r="CX155" s="109"/>
      <c r="CY155" s="110"/>
      <c r="DB155" s="87" t="s">
        <v>175</v>
      </c>
      <c r="DC155" s="109"/>
      <c r="DD155" s="109"/>
      <c r="DE155" s="109"/>
      <c r="DF155" s="109"/>
      <c r="DG155" s="110"/>
    </row>
    <row r="156" spans="2:113">
      <c r="B156" s="87" t="s">
        <v>171</v>
      </c>
      <c r="C156" s="111"/>
      <c r="D156" s="109">
        <f ca="1">(D30*ci_int1)+(D30*ct_int1*'Time on treatment'!$D$12)</f>
        <v>0</v>
      </c>
      <c r="E156" s="109">
        <f ca="1">(E30*ct_int1*'Time on treatment'!$E$12)</f>
        <v>0</v>
      </c>
      <c r="F156" s="109">
        <f ca="1">(F30*ct_int1*'Time on treatment'!$F$12)</f>
        <v>0</v>
      </c>
      <c r="G156" s="110">
        <f ca="1">(G30*ct_int1*'Time on treatment'!$G$12)</f>
        <v>0</v>
      </c>
      <c r="J156" s="87" t="s">
        <v>171</v>
      </c>
      <c r="K156" s="111"/>
      <c r="L156" s="109">
        <f ca="1">(L30*ci_int2)+(L30*ct_int2*'Time on treatment'!$D$13)</f>
        <v>0</v>
      </c>
      <c r="M156" s="109">
        <f ca="1">(M30*ct_int2*'Time on treatment'!$E$13)</f>
        <v>0</v>
      </c>
      <c r="N156" s="109">
        <f ca="1">(N30*ct_int2*'Time on treatment'!$F$13)</f>
        <v>0</v>
      </c>
      <c r="O156" s="110">
        <f ca="1">(O30*ct_int2*'Time on treatment'!$G$13)</f>
        <v>0</v>
      </c>
      <c r="R156" s="87" t="s">
        <v>171</v>
      </c>
      <c r="S156" s="111"/>
      <c r="T156" s="109">
        <f ca="1">(T30*ci_int3)+(T30*ct_int3*'Time on treatment'!$D$14)</f>
        <v>0</v>
      </c>
      <c r="U156" s="109">
        <f ca="1">(U30*ct_int3*'Time on treatment'!$E$14)</f>
        <v>0</v>
      </c>
      <c r="V156" s="109">
        <f ca="1">(V30*ct_int3*'Time on treatment'!$F$14)</f>
        <v>0</v>
      </c>
      <c r="W156" s="110">
        <f ca="1">(W30*ct_int3*'Time on treatment'!$G$14)</f>
        <v>0</v>
      </c>
      <c r="Z156" s="87" t="s">
        <v>171</v>
      </c>
      <c r="AA156" s="111"/>
      <c r="AB156" s="109">
        <f ca="1">(AB30*ci_int4)+(AB30*ct_int4*'Time on treatment'!$D$15)</f>
        <v>0</v>
      </c>
      <c r="AC156" s="109">
        <f ca="1">(AC30*ct_int4*'Time on treatment'!$E$15)</f>
        <v>0</v>
      </c>
      <c r="AD156" s="109">
        <f ca="1">(AD30*ct_int4*'Time on treatment'!$F$15)</f>
        <v>0</v>
      </c>
      <c r="AE156" s="110">
        <f ca="1">(AE30*ct_int4*'Time on treatment'!$G$15)</f>
        <v>0</v>
      </c>
      <c r="AH156" s="87" t="s">
        <v>171</v>
      </c>
      <c r="AI156" s="111"/>
      <c r="AJ156" s="109">
        <f ca="1">(AJ30*ci_comp1)+(AJ30*ct_comp1*'Time on treatment'!$D$19)</f>
        <v>6478449.3524250006</v>
      </c>
      <c r="AK156" s="109">
        <f ca="1">(AK30*ct_comp1*'Time on treatment'!$E$19)</f>
        <v>6478449.3524250006</v>
      </c>
      <c r="AL156" s="109">
        <f ca="1">(AL30*ct_comp1*'Time on treatment'!$F$19)</f>
        <v>6478449.3524250006</v>
      </c>
      <c r="AM156" s="110">
        <f ca="1">(AM30*ct_comp1*'Time on treatment'!$G$19)</f>
        <v>6478449.3524250006</v>
      </c>
      <c r="AP156" s="87" t="s">
        <v>171</v>
      </c>
      <c r="AQ156" s="111"/>
      <c r="AR156" s="109">
        <f ca="1">(AR30*ci_comp2)+(AR30*ct_comp2*'Time on treatment'!$D$20)</f>
        <v>0</v>
      </c>
      <c r="AS156" s="109">
        <f ca="1">(AS30*ct_comp2*'Time on treatment'!$E$20)</f>
        <v>0</v>
      </c>
      <c r="AT156" s="109">
        <f ca="1">(AT30*ct_comp2*'Time on treatment'!$F$20)</f>
        <v>0</v>
      </c>
      <c r="AU156" s="110">
        <f ca="1">(AU30*ct_comp2*'Time on treatment'!$G$20)</f>
        <v>0</v>
      </c>
      <c r="AX156" s="87" t="s">
        <v>171</v>
      </c>
      <c r="AY156" s="111"/>
      <c r="AZ156" s="109">
        <f ca="1">(AZ30*ci_comp3)+(AZ30*ct_comp3*'Time on treatment'!$D$21)</f>
        <v>0</v>
      </c>
      <c r="BA156" s="109">
        <f ca="1">(BA30*ct_comp3*'Time on treatment'!$E$21)</f>
        <v>0</v>
      </c>
      <c r="BB156" s="109">
        <f ca="1">(BB30*ct_comp3*'Time on treatment'!$F$21)</f>
        <v>0</v>
      </c>
      <c r="BC156" s="110">
        <f ca="1">(BC30*ct_comp3*'Time on treatment'!$G$21)</f>
        <v>0</v>
      </c>
      <c r="BF156" s="87" t="s">
        <v>171</v>
      </c>
      <c r="BG156" s="111"/>
      <c r="BH156" s="109">
        <f ca="1">(BH30*ci_comp4)+(BH30*ct_comp4*'Time on treatment'!$D$22)</f>
        <v>0</v>
      </c>
      <c r="BI156" s="109">
        <f ca="1">(BI30*ct_comp4*'Time on treatment'!$E$22)</f>
        <v>0</v>
      </c>
      <c r="BJ156" s="109">
        <f ca="1">(BJ30*ct_comp4*'Time on treatment'!$F$22)</f>
        <v>0</v>
      </c>
      <c r="BK156" s="110">
        <f ca="1">(BK30*ct_comp4*'Time on treatment'!$G$22)</f>
        <v>0</v>
      </c>
      <c r="BN156" s="87" t="s">
        <v>171</v>
      </c>
      <c r="BO156" s="111"/>
      <c r="BP156" s="109">
        <f ca="1">(BP30*ci_comp5)+(BP30*ct_comp5*'Time on treatment'!$D$23)</f>
        <v>0</v>
      </c>
      <c r="BQ156" s="109">
        <f ca="1">(BQ30*ct_comp5*'Time on treatment'!$E$23)</f>
        <v>0</v>
      </c>
      <c r="BR156" s="109">
        <f ca="1">(BR30*ct_comp5*'Time on treatment'!$F$23)</f>
        <v>0</v>
      </c>
      <c r="BS156" s="110">
        <f ca="1">(BS30*ct_comp5*'Time on treatment'!$G$23)</f>
        <v>0</v>
      </c>
      <c r="BV156" s="87" t="s">
        <v>171</v>
      </c>
      <c r="BW156" s="111"/>
      <c r="BX156" s="109">
        <f ca="1">(BX30*ci_comp6)+(BX30*ct_comp6*'Time on treatment'!$D$24)</f>
        <v>0</v>
      </c>
      <c r="BY156" s="109">
        <f ca="1">(BY30*ct_comp6*'Time on treatment'!$E$24)</f>
        <v>0</v>
      </c>
      <c r="BZ156" s="109">
        <f ca="1">(BZ30*ct_comp6*'Time on treatment'!$F$24)</f>
        <v>0</v>
      </c>
      <c r="CA156" s="110">
        <f ca="1">(CA30*ct_comp6*'Time on treatment'!$G$24)</f>
        <v>0</v>
      </c>
      <c r="CD156" s="87" t="s">
        <v>171</v>
      </c>
      <c r="CE156" s="111"/>
      <c r="CF156" s="109">
        <f ca="1">(CF30*ci_comp7)+(CF30*ct_comp7*'Time on treatment'!$D$25)</f>
        <v>0</v>
      </c>
      <c r="CG156" s="109">
        <f ca="1">(CG30*ct_comp7*'Time on treatment'!$E$25)</f>
        <v>0</v>
      </c>
      <c r="CH156" s="109">
        <f ca="1">(CH30*ct_comp7*'Time on treatment'!$F$25)</f>
        <v>0</v>
      </c>
      <c r="CI156" s="110">
        <f ca="1">(CI30*ct_comp7*'Time on treatment'!$G$25)</f>
        <v>0</v>
      </c>
      <c r="CL156" s="87" t="s">
        <v>171</v>
      </c>
      <c r="CM156" s="111"/>
      <c r="CN156" s="109">
        <f ca="1">(CN30*ci_comp8)+(CN30*ct_comp8*'Time on treatment'!$D$26)</f>
        <v>0</v>
      </c>
      <c r="CO156" s="109">
        <f ca="1">(CO30*ct_comp8*'Time on treatment'!$E$26)</f>
        <v>0</v>
      </c>
      <c r="CP156" s="109">
        <f ca="1">(CP30*ct_comp8*'Time on treatment'!$F$26)</f>
        <v>0</v>
      </c>
      <c r="CQ156" s="110">
        <f ca="1">(CQ30*ct_comp8*'Time on treatment'!$G$26)</f>
        <v>0</v>
      </c>
      <c r="CT156" s="87" t="s">
        <v>171</v>
      </c>
      <c r="CU156" s="111"/>
      <c r="CV156" s="109">
        <f ca="1">(CV30*ci_comp9)+(CV30*ct_comp9*'Time on treatment'!$D$27)</f>
        <v>0</v>
      </c>
      <c r="CW156" s="109">
        <f ca="1">(CW30*ct_comp9*'Time on treatment'!$E$27)</f>
        <v>0</v>
      </c>
      <c r="CX156" s="109">
        <f ca="1">(CX30*ct_comp9*'Time on treatment'!$F$27)</f>
        <v>0</v>
      </c>
      <c r="CY156" s="110">
        <f ca="1">(CY30*ct_comp9*'Time on treatment'!$G$27)</f>
        <v>0</v>
      </c>
      <c r="DB156" s="87" t="s">
        <v>171</v>
      </c>
      <c r="DC156" s="111"/>
      <c r="DD156" s="109">
        <f ca="1">(DD30*ci_comp10)+(DD30*ct_comp10*'Time on treatment'!$D$28)</f>
        <v>0</v>
      </c>
      <c r="DE156" s="109">
        <f ca="1">(DE30*ct_comp10*'Time on treatment'!$E$28)</f>
        <v>0</v>
      </c>
      <c r="DF156" s="109">
        <f ca="1">(DF30*ct_comp10*'Time on treatment'!$F$28)</f>
        <v>0</v>
      </c>
      <c r="DG156" s="110">
        <f ca="1">(DG30*ct_comp10*'Time on treatment'!$G$28)</f>
        <v>0</v>
      </c>
    </row>
    <row r="157" spans="2:113">
      <c r="B157" s="87" t="s">
        <v>176</v>
      </c>
      <c r="C157" s="111"/>
      <c r="D157" s="109"/>
      <c r="E157" s="109"/>
      <c r="F157" s="109"/>
      <c r="G157" s="110"/>
      <c r="J157" s="87" t="s">
        <v>176</v>
      </c>
      <c r="K157" s="111"/>
      <c r="L157" s="109"/>
      <c r="M157" s="109"/>
      <c r="N157" s="109"/>
      <c r="O157" s="110"/>
      <c r="R157" s="87" t="s">
        <v>176</v>
      </c>
      <c r="S157" s="111"/>
      <c r="T157" s="109"/>
      <c r="U157" s="109"/>
      <c r="V157" s="109"/>
      <c r="W157" s="110"/>
      <c r="Z157" s="87" t="s">
        <v>176</v>
      </c>
      <c r="AA157" s="111"/>
      <c r="AB157" s="109"/>
      <c r="AC157" s="109"/>
      <c r="AD157" s="109"/>
      <c r="AE157" s="110"/>
      <c r="AH157" s="87" t="s">
        <v>176</v>
      </c>
      <c r="AI157" s="111"/>
      <c r="AJ157" s="109"/>
      <c r="AK157" s="109"/>
      <c r="AL157" s="109"/>
      <c r="AM157" s="110"/>
      <c r="AP157" s="87" t="s">
        <v>176</v>
      </c>
      <c r="AQ157" s="111"/>
      <c r="AR157" s="109"/>
      <c r="AS157" s="109"/>
      <c r="AT157" s="109"/>
      <c r="AU157" s="110"/>
      <c r="AX157" s="87" t="s">
        <v>176</v>
      </c>
      <c r="AY157" s="111"/>
      <c r="AZ157" s="109"/>
      <c r="BA157" s="109"/>
      <c r="BB157" s="109"/>
      <c r="BC157" s="110"/>
      <c r="BF157" s="87" t="s">
        <v>176</v>
      </c>
      <c r="BG157" s="111"/>
      <c r="BH157" s="109"/>
      <c r="BI157" s="109"/>
      <c r="BJ157" s="109"/>
      <c r="BK157" s="110"/>
      <c r="BN157" s="87" t="s">
        <v>176</v>
      </c>
      <c r="BO157" s="111"/>
      <c r="BP157" s="109"/>
      <c r="BQ157" s="109"/>
      <c r="BR157" s="109"/>
      <c r="BS157" s="110"/>
      <c r="BV157" s="87" t="s">
        <v>176</v>
      </c>
      <c r="BW157" s="111"/>
      <c r="BX157" s="109"/>
      <c r="BY157" s="109"/>
      <c r="BZ157" s="109"/>
      <c r="CA157" s="110"/>
      <c r="CD157" s="87" t="s">
        <v>176</v>
      </c>
      <c r="CE157" s="111"/>
      <c r="CF157" s="109"/>
      <c r="CG157" s="109"/>
      <c r="CH157" s="109"/>
      <c r="CI157" s="110"/>
      <c r="CL157" s="87" t="s">
        <v>176</v>
      </c>
      <c r="CM157" s="111"/>
      <c r="CN157" s="109"/>
      <c r="CO157" s="109"/>
      <c r="CP157" s="109"/>
      <c r="CQ157" s="110"/>
      <c r="CT157" s="87" t="s">
        <v>176</v>
      </c>
      <c r="CU157" s="111"/>
      <c r="CV157" s="109"/>
      <c r="CW157" s="109"/>
      <c r="CX157" s="109"/>
      <c r="CY157" s="110"/>
      <c r="DB157" s="87" t="s">
        <v>176</v>
      </c>
      <c r="DC157" s="111"/>
      <c r="DD157" s="109"/>
      <c r="DE157" s="109"/>
      <c r="DF157" s="109"/>
      <c r="DG157" s="110"/>
    </row>
    <row r="158" spans="2:113">
      <c r="B158" s="87" t="s">
        <v>172</v>
      </c>
      <c r="C158" s="111"/>
      <c r="D158" s="111"/>
      <c r="E158" s="109">
        <f ca="1">(E32*ci_int1)+(E32*ct_int1*'Time on treatment'!$D$12)</f>
        <v>0</v>
      </c>
      <c r="F158" s="109">
        <f ca="1">(F32*ct_int1*'Time on treatment'!$E$12)</f>
        <v>0</v>
      </c>
      <c r="G158" s="110">
        <f ca="1">(G32*ct_int1*'Time on treatment'!$F$12)</f>
        <v>0</v>
      </c>
      <c r="J158" s="87" t="s">
        <v>172</v>
      </c>
      <c r="K158" s="111"/>
      <c r="L158" s="111"/>
      <c r="M158" s="109">
        <f ca="1">(M32*ci_int2)+(M32*ct_int2*'Time on treatment'!$D$13)</f>
        <v>0</v>
      </c>
      <c r="N158" s="109">
        <f ca="1">(N32*ct_int2*'Time on treatment'!$E$13)</f>
        <v>0</v>
      </c>
      <c r="O158" s="110">
        <f ca="1">(O32*ct_int2*'Time on treatment'!$F$13)</f>
        <v>0</v>
      </c>
      <c r="R158" s="87" t="s">
        <v>172</v>
      </c>
      <c r="S158" s="111"/>
      <c r="T158" s="111"/>
      <c r="U158" s="109">
        <f ca="1">(U32*ci_int3)+(U32*ct_int3*'Time on treatment'!$D$14)</f>
        <v>0</v>
      </c>
      <c r="V158" s="109">
        <f ca="1">(V32*ct_int3*'Time on treatment'!$E$14)</f>
        <v>0</v>
      </c>
      <c r="W158" s="110">
        <f ca="1">(W32*ct_int3*'Time on treatment'!$F$14)</f>
        <v>0</v>
      </c>
      <c r="Z158" s="87" t="s">
        <v>172</v>
      </c>
      <c r="AA158" s="111"/>
      <c r="AB158" s="111"/>
      <c r="AC158" s="109">
        <f ca="1">(AC32*ci_int4)+(AC32*ct_int4*'Time on treatment'!$D$15)</f>
        <v>0</v>
      </c>
      <c r="AD158" s="109">
        <f ca="1">(AD32*ct_int4*'Time on treatment'!$E$15)</f>
        <v>0</v>
      </c>
      <c r="AE158" s="110">
        <f ca="1">(AE32*ct_int4*'Time on treatment'!$F$15)</f>
        <v>0</v>
      </c>
      <c r="AH158" s="87" t="s">
        <v>172</v>
      </c>
      <c r="AI158" s="111"/>
      <c r="AJ158" s="111"/>
      <c r="AK158" s="109">
        <f ca="1">(AK32*ci_comp1)+(AK32*ct_comp1*'Time on treatment'!$D$19)</f>
        <v>6527478.6034890004</v>
      </c>
      <c r="AL158" s="109">
        <f ca="1">(AL32*ct_comp1*'Time on treatment'!$E$19)</f>
        <v>6527478.6034890004</v>
      </c>
      <c r="AM158" s="110">
        <f ca="1">(AM32*ct_comp1*'Time on treatment'!$F$19)</f>
        <v>6527478.6034890004</v>
      </c>
      <c r="AP158" s="87" t="s">
        <v>172</v>
      </c>
      <c r="AQ158" s="111"/>
      <c r="AR158" s="111"/>
      <c r="AS158" s="109">
        <f ca="1">(AS32*ci_comp2)+(AS32*ct_comp2*'Time on treatment'!$D$20)</f>
        <v>0</v>
      </c>
      <c r="AT158" s="109">
        <f ca="1">(AT32*ct_comp2*'Time on treatment'!$E$20)</f>
        <v>0</v>
      </c>
      <c r="AU158" s="110">
        <f ca="1">(AU32*ct_comp2*'Time on treatment'!$F$20)</f>
        <v>0</v>
      </c>
      <c r="AX158" s="87" t="s">
        <v>172</v>
      </c>
      <c r="AY158" s="111"/>
      <c r="AZ158" s="111"/>
      <c r="BA158" s="109">
        <f ca="1">(BA32*ci_comp3)+(BA32*ct_comp3*'Time on treatment'!$D$21)</f>
        <v>0</v>
      </c>
      <c r="BB158" s="109">
        <f ca="1">(BB32*ct_comp3*'Time on treatment'!$E$21)</f>
        <v>0</v>
      </c>
      <c r="BC158" s="110">
        <f ca="1">(BC32*ct_comp3*'Time on treatment'!$F$21)</f>
        <v>0</v>
      </c>
      <c r="BF158" s="87" t="s">
        <v>172</v>
      </c>
      <c r="BG158" s="111"/>
      <c r="BH158" s="111"/>
      <c r="BI158" s="109">
        <f ca="1">(BI32*ci_comp4)+(BI32*ct_comp4*'Time on treatment'!$D$22)</f>
        <v>0</v>
      </c>
      <c r="BJ158" s="109">
        <f ca="1">(BJ32*ct_comp4*'Time on treatment'!$E$22)</f>
        <v>0</v>
      </c>
      <c r="BK158" s="110">
        <f ca="1">(BK32*ct_comp4*'Time on treatment'!$F$22)</f>
        <v>0</v>
      </c>
      <c r="BN158" s="87" t="s">
        <v>172</v>
      </c>
      <c r="BO158" s="111"/>
      <c r="BP158" s="111"/>
      <c r="BQ158" s="109">
        <f ca="1">(BQ32*ci_comp5)+(BQ32*ct_comp5*'Time on treatment'!$D$23)</f>
        <v>0</v>
      </c>
      <c r="BR158" s="109">
        <f ca="1">(BR32*ct_comp5*'Time on treatment'!$E$23)</f>
        <v>0</v>
      </c>
      <c r="BS158" s="110">
        <f ca="1">(BS32*ct_comp5*'Time on treatment'!$F$23)</f>
        <v>0</v>
      </c>
      <c r="BV158" s="87" t="s">
        <v>172</v>
      </c>
      <c r="BW158" s="111"/>
      <c r="BX158" s="111"/>
      <c r="BY158" s="109">
        <f ca="1">(BY32*ci_comp6)+(BY32*ct_comp6*'Time on treatment'!$D$24)</f>
        <v>0</v>
      </c>
      <c r="BZ158" s="109">
        <f ca="1">(BZ32*ct_comp6*'Time on treatment'!$E$24)</f>
        <v>0</v>
      </c>
      <c r="CA158" s="110">
        <f ca="1">(CA32*ct_comp6*'Time on treatment'!$F$24)</f>
        <v>0</v>
      </c>
      <c r="CD158" s="87" t="s">
        <v>172</v>
      </c>
      <c r="CE158" s="111"/>
      <c r="CF158" s="111"/>
      <c r="CG158" s="109">
        <f ca="1">(CG32*ci_comp7)+(CG32*ct_comp7*'Time on treatment'!$D$25)</f>
        <v>0</v>
      </c>
      <c r="CH158" s="109">
        <f ca="1">(CH32*ct_comp7*'Time on treatment'!$E$25)</f>
        <v>0</v>
      </c>
      <c r="CI158" s="110">
        <f ca="1">(CI32*ct_comp7*'Time on treatment'!$F$25)</f>
        <v>0</v>
      </c>
      <c r="CL158" s="87" t="s">
        <v>172</v>
      </c>
      <c r="CM158" s="111"/>
      <c r="CN158" s="111"/>
      <c r="CO158" s="109">
        <f ca="1">(CO32*ci_comp8)+(CO32*ct_comp8*'Time on treatment'!$D$26)</f>
        <v>0</v>
      </c>
      <c r="CP158" s="109">
        <f ca="1">(CP32*ct_comp8*'Time on treatment'!$E$26)</f>
        <v>0</v>
      </c>
      <c r="CQ158" s="110">
        <f ca="1">(CQ32*ct_comp8*'Time on treatment'!$F$26)</f>
        <v>0</v>
      </c>
      <c r="CT158" s="87" t="s">
        <v>172</v>
      </c>
      <c r="CU158" s="111"/>
      <c r="CV158" s="111"/>
      <c r="CW158" s="109">
        <f ca="1">(CW32*ci_comp9)+(CW32*ct_comp9*'Time on treatment'!$D$27)</f>
        <v>0</v>
      </c>
      <c r="CX158" s="109">
        <f ca="1">(CX32*ct_comp9*'Time on treatment'!$E$27)</f>
        <v>0</v>
      </c>
      <c r="CY158" s="110">
        <f ca="1">(CY32*ct_comp9*'Time on treatment'!$F$27)</f>
        <v>0</v>
      </c>
      <c r="DB158" s="87" t="s">
        <v>172</v>
      </c>
      <c r="DC158" s="111"/>
      <c r="DD158" s="111"/>
      <c r="DE158" s="109">
        <f ca="1">(DE32*ci_comp10)+(DE32*ct_comp10*'Time on treatment'!$D$28)</f>
        <v>0</v>
      </c>
      <c r="DF158" s="109">
        <f ca="1">(DF32*ct_comp10*'Time on treatment'!$E$28)</f>
        <v>0</v>
      </c>
      <c r="DG158" s="110">
        <f ca="1">(DG32*ct_comp10*'Time on treatment'!$F$28)</f>
        <v>0</v>
      </c>
    </row>
    <row r="159" spans="2:113">
      <c r="B159" s="87" t="s">
        <v>177</v>
      </c>
      <c r="C159" s="111"/>
      <c r="D159" s="111"/>
      <c r="E159" s="109"/>
      <c r="F159" s="109"/>
      <c r="G159" s="110"/>
      <c r="J159" s="87" t="s">
        <v>177</v>
      </c>
      <c r="K159" s="111"/>
      <c r="L159" s="111"/>
      <c r="M159" s="109"/>
      <c r="N159" s="109"/>
      <c r="O159" s="110"/>
      <c r="R159" s="87" t="s">
        <v>177</v>
      </c>
      <c r="S159" s="111"/>
      <c r="T159" s="111"/>
      <c r="U159" s="109"/>
      <c r="V159" s="109"/>
      <c r="W159" s="110"/>
      <c r="Z159" s="87" t="s">
        <v>177</v>
      </c>
      <c r="AA159" s="111"/>
      <c r="AB159" s="111"/>
      <c r="AC159" s="109"/>
      <c r="AD159" s="109"/>
      <c r="AE159" s="110"/>
      <c r="AH159" s="87" t="s">
        <v>177</v>
      </c>
      <c r="AI159" s="111"/>
      <c r="AJ159" s="111"/>
      <c r="AK159" s="109"/>
      <c r="AL159" s="109"/>
      <c r="AM159" s="110"/>
      <c r="AP159" s="87" t="s">
        <v>177</v>
      </c>
      <c r="AQ159" s="111"/>
      <c r="AR159" s="111"/>
      <c r="AS159" s="109"/>
      <c r="AT159" s="109"/>
      <c r="AU159" s="110"/>
      <c r="AX159" s="87" t="s">
        <v>177</v>
      </c>
      <c r="AY159" s="111"/>
      <c r="AZ159" s="111"/>
      <c r="BA159" s="109"/>
      <c r="BB159" s="109"/>
      <c r="BC159" s="110"/>
      <c r="BF159" s="87" t="s">
        <v>177</v>
      </c>
      <c r="BG159" s="111"/>
      <c r="BH159" s="111"/>
      <c r="BI159" s="109"/>
      <c r="BJ159" s="109"/>
      <c r="BK159" s="110"/>
      <c r="BN159" s="87" t="s">
        <v>177</v>
      </c>
      <c r="BO159" s="111"/>
      <c r="BP159" s="111"/>
      <c r="BQ159" s="109"/>
      <c r="BR159" s="109"/>
      <c r="BS159" s="110"/>
      <c r="BV159" s="87" t="s">
        <v>177</v>
      </c>
      <c r="BW159" s="111"/>
      <c r="BX159" s="111"/>
      <c r="BY159" s="109"/>
      <c r="BZ159" s="109"/>
      <c r="CA159" s="110"/>
      <c r="CD159" s="87" t="s">
        <v>177</v>
      </c>
      <c r="CE159" s="111"/>
      <c r="CF159" s="111"/>
      <c r="CG159" s="109"/>
      <c r="CH159" s="109"/>
      <c r="CI159" s="110"/>
      <c r="CL159" s="87" t="s">
        <v>177</v>
      </c>
      <c r="CM159" s="111"/>
      <c r="CN159" s="111"/>
      <c r="CO159" s="109"/>
      <c r="CP159" s="109"/>
      <c r="CQ159" s="110"/>
      <c r="CT159" s="87" t="s">
        <v>177</v>
      </c>
      <c r="CU159" s="111"/>
      <c r="CV159" s="111"/>
      <c r="CW159" s="109"/>
      <c r="CX159" s="109"/>
      <c r="CY159" s="110"/>
      <c r="DB159" s="87" t="s">
        <v>177</v>
      </c>
      <c r="DC159" s="111"/>
      <c r="DD159" s="111"/>
      <c r="DE159" s="109"/>
      <c r="DF159" s="109"/>
      <c r="DG159" s="110"/>
    </row>
    <row r="160" spans="2:113">
      <c r="B160" s="87" t="s">
        <v>173</v>
      </c>
      <c r="C160" s="111"/>
      <c r="D160" s="111"/>
      <c r="E160" s="111"/>
      <c r="F160" s="109">
        <f ca="1">(F34*ci_int1)+(F34*ct_int1*'Time on treatment'!$D$12)</f>
        <v>0</v>
      </c>
      <c r="G160" s="110">
        <f ca="1">(G34*ct_int1*'Time on treatment'!$E$12)</f>
        <v>0</v>
      </c>
      <c r="J160" s="87" t="s">
        <v>173</v>
      </c>
      <c r="K160" s="111"/>
      <c r="L160" s="111"/>
      <c r="M160" s="111"/>
      <c r="N160" s="109">
        <f ca="1">(N34*ci_int2)+(N34*ct_int2*'Time on treatment'!$D$13)</f>
        <v>0</v>
      </c>
      <c r="O160" s="110">
        <f ca="1">(O34*ct_int2*'Time on treatment'!$E$13)</f>
        <v>0</v>
      </c>
      <c r="R160" s="87" t="s">
        <v>173</v>
      </c>
      <c r="S160" s="111"/>
      <c r="T160" s="111"/>
      <c r="U160" s="111"/>
      <c r="V160" s="109">
        <f ca="1">(V34*ci_int3)+(V34*ct_int3*'Time on treatment'!$D$14)</f>
        <v>0</v>
      </c>
      <c r="W160" s="110">
        <f ca="1">(W34*ct_int3*'Time on treatment'!$E$14)</f>
        <v>0</v>
      </c>
      <c r="Z160" s="87" t="s">
        <v>173</v>
      </c>
      <c r="AA160" s="111"/>
      <c r="AB160" s="111"/>
      <c r="AC160" s="111"/>
      <c r="AD160" s="109">
        <f ca="1">(AD34*ci_int4)+(AD34*ct_int4*'Time on treatment'!$D$15)</f>
        <v>0</v>
      </c>
      <c r="AE160" s="110">
        <f ca="1">(AE34*ct_int4*'Time on treatment'!$E$15)</f>
        <v>0</v>
      </c>
      <c r="AH160" s="87" t="s">
        <v>173</v>
      </c>
      <c r="AI160" s="111"/>
      <c r="AJ160" s="111"/>
      <c r="AK160" s="111"/>
      <c r="AL160" s="109">
        <f ca="1">(AL34*ci_comp1)+(AL34*ct_comp1*'Time on treatment'!$D$19)</f>
        <v>6576724.2871289998</v>
      </c>
      <c r="AM160" s="110">
        <f ca="1">(AM34*ct_comp1*'Time on treatment'!$E$19)</f>
        <v>6576724.2871289998</v>
      </c>
      <c r="AP160" s="87" t="s">
        <v>173</v>
      </c>
      <c r="AQ160" s="111"/>
      <c r="AR160" s="111"/>
      <c r="AS160" s="111"/>
      <c r="AT160" s="109">
        <f ca="1">(AT34*ci_comp2)+(AT34*ct_comp2*'Time on treatment'!$D$20)</f>
        <v>0</v>
      </c>
      <c r="AU160" s="110">
        <f ca="1">(AU34*ct_comp2*'Time on treatment'!$E$20)</f>
        <v>0</v>
      </c>
      <c r="AX160" s="87" t="s">
        <v>173</v>
      </c>
      <c r="AY160" s="111"/>
      <c r="AZ160" s="111"/>
      <c r="BA160" s="111"/>
      <c r="BB160" s="109">
        <f ca="1">(BB34*ci_comp3)+(BB34*ct_comp3*'Time on treatment'!$D$21)</f>
        <v>0</v>
      </c>
      <c r="BC160" s="110">
        <f ca="1">(BC34*ct_comp3*'Time on treatment'!$E$21)</f>
        <v>0</v>
      </c>
      <c r="BF160" s="87" t="s">
        <v>173</v>
      </c>
      <c r="BG160" s="111"/>
      <c r="BH160" s="111"/>
      <c r="BI160" s="111"/>
      <c r="BJ160" s="109">
        <f ca="1">(BJ34*ci_comp4)+(BJ34*ct_comp4*'Time on treatment'!$D$22)</f>
        <v>0</v>
      </c>
      <c r="BK160" s="110">
        <f ca="1">(BK34*ct_comp4*'Time on treatment'!$E$22)</f>
        <v>0</v>
      </c>
      <c r="BN160" s="87" t="s">
        <v>173</v>
      </c>
      <c r="BO160" s="111"/>
      <c r="BP160" s="111"/>
      <c r="BQ160" s="111"/>
      <c r="BR160" s="109">
        <f ca="1">(BR34*ci_comp5)+(BR34*ct_comp5*'Time on treatment'!$D$23)</f>
        <v>0</v>
      </c>
      <c r="BS160" s="110">
        <f ca="1">(BS34*ct_comp5*'Time on treatment'!$E$23)</f>
        <v>0</v>
      </c>
      <c r="BV160" s="87" t="s">
        <v>173</v>
      </c>
      <c r="BW160" s="111"/>
      <c r="BX160" s="111"/>
      <c r="BY160" s="111"/>
      <c r="BZ160" s="109">
        <f ca="1">(BZ34*ci_comp6)+(BZ34*ct_comp6*'Time on treatment'!$D$24)</f>
        <v>0</v>
      </c>
      <c r="CA160" s="110">
        <f ca="1">(CA34*ct_comp6*'Time on treatment'!$E$24)</f>
        <v>0</v>
      </c>
      <c r="CD160" s="87" t="s">
        <v>173</v>
      </c>
      <c r="CE160" s="111"/>
      <c r="CF160" s="111"/>
      <c r="CG160" s="111"/>
      <c r="CH160" s="109">
        <f ca="1">(CH34*ci_comp7)+(CH34*ct_comp7*'Time on treatment'!$D$25)</f>
        <v>0</v>
      </c>
      <c r="CI160" s="110">
        <f ca="1">(CI34*ct_comp7*'Time on treatment'!$E$25)</f>
        <v>0</v>
      </c>
      <c r="CL160" s="87" t="s">
        <v>173</v>
      </c>
      <c r="CM160" s="111"/>
      <c r="CN160" s="111"/>
      <c r="CO160" s="111"/>
      <c r="CP160" s="109">
        <f ca="1">(CP34*ci_comp8)+(CP34*ct_comp8*'Time on treatment'!$D$26)</f>
        <v>0</v>
      </c>
      <c r="CQ160" s="110">
        <f ca="1">(CQ34*ct_comp8*'Time on treatment'!$E$26)</f>
        <v>0</v>
      </c>
      <c r="CT160" s="87" t="s">
        <v>173</v>
      </c>
      <c r="CU160" s="111"/>
      <c r="CV160" s="111"/>
      <c r="CW160" s="111"/>
      <c r="CX160" s="109">
        <f ca="1">(CX34*ci_comp9)+(CX34*ct_comp9*'Time on treatment'!$D$27)</f>
        <v>0</v>
      </c>
      <c r="CY160" s="110">
        <f ca="1">(CY34*ct_comp9*'Time on treatment'!$E$27)</f>
        <v>0</v>
      </c>
      <c r="DB160" s="87" t="s">
        <v>173</v>
      </c>
      <c r="DC160" s="111"/>
      <c r="DD160" s="111"/>
      <c r="DE160" s="111"/>
      <c r="DF160" s="109">
        <f ca="1">(DF34*ci_comp10)+(DF34*ct_comp10*'Time on treatment'!$D$28)</f>
        <v>0</v>
      </c>
      <c r="DG160" s="110">
        <f ca="1">(DG34*ct_comp10*'Time on treatment'!$E$28)</f>
        <v>0</v>
      </c>
    </row>
    <row r="161" spans="2:111">
      <c r="B161" s="87" t="s">
        <v>178</v>
      </c>
      <c r="C161" s="111"/>
      <c r="D161" s="111"/>
      <c r="E161" s="111"/>
      <c r="F161" s="109"/>
      <c r="G161" s="110"/>
      <c r="J161" s="87" t="s">
        <v>178</v>
      </c>
      <c r="K161" s="111"/>
      <c r="L161" s="111"/>
      <c r="M161" s="111"/>
      <c r="N161" s="109"/>
      <c r="O161" s="110"/>
      <c r="R161" s="87" t="s">
        <v>178</v>
      </c>
      <c r="S161" s="111"/>
      <c r="T161" s="111"/>
      <c r="U161" s="111"/>
      <c r="V161" s="109"/>
      <c r="W161" s="110"/>
      <c r="Z161" s="87" t="s">
        <v>178</v>
      </c>
      <c r="AA161" s="111"/>
      <c r="AB161" s="111"/>
      <c r="AC161" s="111"/>
      <c r="AD161" s="109"/>
      <c r="AE161" s="110"/>
      <c r="AH161" s="87" t="s">
        <v>178</v>
      </c>
      <c r="AI161" s="111"/>
      <c r="AJ161" s="111"/>
      <c r="AK161" s="111"/>
      <c r="AL161" s="109"/>
      <c r="AM161" s="110"/>
      <c r="AP161" s="87" t="s">
        <v>178</v>
      </c>
      <c r="AQ161" s="111"/>
      <c r="AR161" s="111"/>
      <c r="AS161" s="111"/>
      <c r="AT161" s="109"/>
      <c r="AU161" s="110"/>
      <c r="AX161" s="87" t="s">
        <v>178</v>
      </c>
      <c r="AY161" s="111"/>
      <c r="AZ161" s="111"/>
      <c r="BA161" s="111"/>
      <c r="BB161" s="109"/>
      <c r="BC161" s="110"/>
      <c r="BF161" s="87" t="s">
        <v>178</v>
      </c>
      <c r="BG161" s="111"/>
      <c r="BH161" s="111"/>
      <c r="BI161" s="111"/>
      <c r="BJ161" s="109"/>
      <c r="BK161" s="110"/>
      <c r="BN161" s="87" t="s">
        <v>178</v>
      </c>
      <c r="BO161" s="111"/>
      <c r="BP161" s="111"/>
      <c r="BQ161" s="111"/>
      <c r="BR161" s="109"/>
      <c r="BS161" s="110"/>
      <c r="BV161" s="87" t="s">
        <v>178</v>
      </c>
      <c r="BW161" s="111"/>
      <c r="BX161" s="111"/>
      <c r="BY161" s="111"/>
      <c r="BZ161" s="109"/>
      <c r="CA161" s="110"/>
      <c r="CD161" s="87" t="s">
        <v>178</v>
      </c>
      <c r="CE161" s="111"/>
      <c r="CF161" s="111"/>
      <c r="CG161" s="111"/>
      <c r="CH161" s="109"/>
      <c r="CI161" s="110"/>
      <c r="CL161" s="87" t="s">
        <v>178</v>
      </c>
      <c r="CM161" s="111"/>
      <c r="CN161" s="111"/>
      <c r="CO161" s="111"/>
      <c r="CP161" s="109"/>
      <c r="CQ161" s="110"/>
      <c r="CT161" s="87" t="s">
        <v>178</v>
      </c>
      <c r="CU161" s="111"/>
      <c r="CV161" s="111"/>
      <c r="CW161" s="111"/>
      <c r="CX161" s="109"/>
      <c r="CY161" s="110"/>
      <c r="DB161" s="87" t="s">
        <v>178</v>
      </c>
      <c r="DC161" s="111"/>
      <c r="DD161" s="111"/>
      <c r="DE161" s="111"/>
      <c r="DF161" s="109"/>
      <c r="DG161" s="110"/>
    </row>
    <row r="162" spans="2:111">
      <c r="B162" s="87" t="s">
        <v>174</v>
      </c>
      <c r="C162" s="111"/>
      <c r="D162" s="111"/>
      <c r="E162" s="111"/>
      <c r="F162" s="111"/>
      <c r="G162" s="110">
        <f ca="1">(G36*ci_int1)+(G36*ct_int1*'Time on treatment'!$D$12)</f>
        <v>0</v>
      </c>
      <c r="J162" s="87" t="s">
        <v>174</v>
      </c>
      <c r="K162" s="111"/>
      <c r="L162" s="111"/>
      <c r="M162" s="111"/>
      <c r="N162" s="111"/>
      <c r="O162" s="110">
        <f ca="1">(O36*ci_int2)+(O36*ct_int2*'Time on treatment'!$D$13)</f>
        <v>0</v>
      </c>
      <c r="R162" s="87" t="s">
        <v>174</v>
      </c>
      <c r="S162" s="111"/>
      <c r="T162" s="111"/>
      <c r="U162" s="111"/>
      <c r="V162" s="111"/>
      <c r="W162" s="110">
        <f ca="1">(W36*ci_int3)+(W36*ct_int3*'Time on treatment'!$D$14)</f>
        <v>0</v>
      </c>
      <c r="Z162" s="87" t="s">
        <v>174</v>
      </c>
      <c r="AA162" s="111"/>
      <c r="AB162" s="111"/>
      <c r="AC162" s="111"/>
      <c r="AD162" s="111"/>
      <c r="AE162" s="110">
        <f ca="1">(AE36*ci_int4)+(AE36*ct_int4*'Time on treatment'!$D$15)</f>
        <v>0</v>
      </c>
      <c r="AH162" s="87" t="s">
        <v>174</v>
      </c>
      <c r="AI162" s="111"/>
      <c r="AJ162" s="111"/>
      <c r="AK162" s="111"/>
      <c r="AL162" s="111"/>
      <c r="AM162" s="110">
        <f ca="1">(AM36*ci_comp1)+(AM36*ct_comp1*'Time on treatment'!$D$19)</f>
        <v>6626918.4268980008</v>
      </c>
      <c r="AP162" s="87" t="s">
        <v>174</v>
      </c>
      <c r="AQ162" s="111"/>
      <c r="AR162" s="111"/>
      <c r="AS162" s="111"/>
      <c r="AT162" s="111"/>
      <c r="AU162" s="110">
        <f ca="1">(AU36*ci_comp2)+(AU36*ct_comp2*'Time on treatment'!$D$20)</f>
        <v>0</v>
      </c>
      <c r="AX162" s="87" t="s">
        <v>174</v>
      </c>
      <c r="AY162" s="111"/>
      <c r="AZ162" s="111"/>
      <c r="BA162" s="111"/>
      <c r="BB162" s="111"/>
      <c r="BC162" s="110">
        <f ca="1">(BC36*ci_comp3)+(BC36*ct_comp3*'Time on treatment'!$D$21)</f>
        <v>0</v>
      </c>
      <c r="BF162" s="87" t="s">
        <v>174</v>
      </c>
      <c r="BG162" s="111"/>
      <c r="BH162" s="111"/>
      <c r="BI162" s="111"/>
      <c r="BJ162" s="111"/>
      <c r="BK162" s="110">
        <f ca="1">(BK36*ci_comp4)+(BK36*ct_comp4*'Time on treatment'!$D$22)</f>
        <v>0</v>
      </c>
      <c r="BN162" s="87" t="s">
        <v>174</v>
      </c>
      <c r="BO162" s="111"/>
      <c r="BP162" s="111"/>
      <c r="BQ162" s="111"/>
      <c r="BR162" s="111"/>
      <c r="BS162" s="110">
        <f ca="1">(BS36*ci_comp5)+(BS36*ct_comp5*'Time on treatment'!$D$23)</f>
        <v>0</v>
      </c>
      <c r="BV162" s="87" t="s">
        <v>174</v>
      </c>
      <c r="BW162" s="111"/>
      <c r="BX162" s="111"/>
      <c r="BY162" s="111"/>
      <c r="BZ162" s="111"/>
      <c r="CA162" s="110">
        <f ca="1">(CA36*ci_comp6)+(CA36*ct_comp6*'Time on treatment'!$D$24)</f>
        <v>0</v>
      </c>
      <c r="CD162" s="87" t="s">
        <v>174</v>
      </c>
      <c r="CE162" s="111"/>
      <c r="CF162" s="111"/>
      <c r="CG162" s="111"/>
      <c r="CH162" s="111"/>
      <c r="CI162" s="110">
        <f ca="1">(CI36*ci_comp7)+(CI36*ct_comp7*'Time on treatment'!$D$25)</f>
        <v>0</v>
      </c>
      <c r="CL162" s="87" t="s">
        <v>174</v>
      </c>
      <c r="CM162" s="111"/>
      <c r="CN162" s="111"/>
      <c r="CO162" s="111"/>
      <c r="CP162" s="111"/>
      <c r="CQ162" s="110">
        <f ca="1">(CQ36*ci_comp8)+(CQ36*ct_comp8*'Time on treatment'!$D$26)</f>
        <v>0</v>
      </c>
      <c r="CT162" s="87" t="s">
        <v>174</v>
      </c>
      <c r="CU162" s="111"/>
      <c r="CV162" s="111"/>
      <c r="CW162" s="111"/>
      <c r="CX162" s="111"/>
      <c r="CY162" s="110">
        <f ca="1">(CY36*ci_comp9)+(CY36*ct_comp9*'Time on treatment'!$D$27)</f>
        <v>0</v>
      </c>
      <c r="DB162" s="87" t="s">
        <v>174</v>
      </c>
      <c r="DC162" s="111"/>
      <c r="DD162" s="111"/>
      <c r="DE162" s="111"/>
      <c r="DF162" s="111"/>
      <c r="DG162" s="110">
        <f ca="1">(DG36*ci_comp10)+(DG36*ct_comp10*'Time on treatment'!$D$28)</f>
        <v>0</v>
      </c>
    </row>
    <row r="163" spans="2:111" ht="15" thickBot="1">
      <c r="B163" s="87" t="s">
        <v>179</v>
      </c>
      <c r="C163" s="111"/>
      <c r="D163" s="111"/>
      <c r="E163" s="111"/>
      <c r="F163" s="111"/>
      <c r="G163" s="112"/>
      <c r="J163" s="87" t="s">
        <v>179</v>
      </c>
      <c r="K163" s="111"/>
      <c r="L163" s="111"/>
      <c r="M163" s="111"/>
      <c r="N163" s="111"/>
      <c r="O163" s="112"/>
      <c r="R163" s="87" t="s">
        <v>179</v>
      </c>
      <c r="S163" s="111"/>
      <c r="T163" s="111"/>
      <c r="U163" s="111"/>
      <c r="V163" s="111"/>
      <c r="W163" s="112"/>
      <c r="Z163" s="87" t="s">
        <v>179</v>
      </c>
      <c r="AA163" s="111"/>
      <c r="AB163" s="111"/>
      <c r="AC163" s="111"/>
      <c r="AD163" s="111"/>
      <c r="AE163" s="112"/>
      <c r="AH163" s="87" t="s">
        <v>179</v>
      </c>
      <c r="AI163" s="111"/>
      <c r="AJ163" s="111"/>
      <c r="AK163" s="111"/>
      <c r="AL163" s="111"/>
      <c r="AM163" s="112"/>
      <c r="AP163" s="87" t="s">
        <v>179</v>
      </c>
      <c r="AQ163" s="111"/>
      <c r="AR163" s="111"/>
      <c r="AS163" s="111"/>
      <c r="AT163" s="111"/>
      <c r="AU163" s="112"/>
      <c r="AX163" s="87" t="s">
        <v>179</v>
      </c>
      <c r="AY163" s="111"/>
      <c r="AZ163" s="111"/>
      <c r="BA163" s="111"/>
      <c r="BB163" s="111"/>
      <c r="BC163" s="112"/>
      <c r="BF163" s="87" t="s">
        <v>179</v>
      </c>
      <c r="BG163" s="111"/>
      <c r="BH163" s="111"/>
      <c r="BI163" s="111"/>
      <c r="BJ163" s="111"/>
      <c r="BK163" s="112"/>
      <c r="BN163" s="87" t="s">
        <v>179</v>
      </c>
      <c r="BO163" s="111"/>
      <c r="BP163" s="111"/>
      <c r="BQ163" s="111"/>
      <c r="BR163" s="111"/>
      <c r="BS163" s="112"/>
      <c r="BV163" s="87" t="s">
        <v>179</v>
      </c>
      <c r="BW163" s="111"/>
      <c r="BX163" s="111"/>
      <c r="BY163" s="111"/>
      <c r="BZ163" s="111"/>
      <c r="CA163" s="112"/>
      <c r="CD163" s="87" t="s">
        <v>179</v>
      </c>
      <c r="CE163" s="111"/>
      <c r="CF163" s="111"/>
      <c r="CG163" s="111"/>
      <c r="CH163" s="111"/>
      <c r="CI163" s="112"/>
      <c r="CL163" s="87" t="s">
        <v>179</v>
      </c>
      <c r="CM163" s="111"/>
      <c r="CN163" s="111"/>
      <c r="CO163" s="111"/>
      <c r="CP163" s="111"/>
      <c r="CQ163" s="112"/>
      <c r="CT163" s="87" t="s">
        <v>179</v>
      </c>
      <c r="CU163" s="111"/>
      <c r="CV163" s="111"/>
      <c r="CW163" s="111"/>
      <c r="CX163" s="111"/>
      <c r="CY163" s="112"/>
      <c r="DB163" s="87" t="s">
        <v>179</v>
      </c>
      <c r="DC163" s="111"/>
      <c r="DD163" s="111"/>
      <c r="DE163" s="111"/>
      <c r="DF163" s="111"/>
      <c r="DG163" s="112"/>
    </row>
    <row r="164" spans="2:111" ht="15" thickBot="1">
      <c r="B164" s="85" t="str">
        <f>B145</f>
        <v>Drug 1</v>
      </c>
      <c r="C164" s="113">
        <f ca="1">SUM(C154:C162)</f>
        <v>0</v>
      </c>
      <c r="D164" s="113">
        <f ca="1">SUM(D154:D162)</f>
        <v>0</v>
      </c>
      <c r="E164" s="113">
        <f ca="1">SUM(E154:E162)</f>
        <v>0</v>
      </c>
      <c r="F164" s="113">
        <f ca="1">SUM(F154:F162)</f>
        <v>0</v>
      </c>
      <c r="G164" s="114">
        <f ca="1">SUM(G154:G162)</f>
        <v>0</v>
      </c>
      <c r="J164" s="85" t="str">
        <f>J145</f>
        <v>Drug 2</v>
      </c>
      <c r="K164" s="113">
        <f ca="1">SUM(K154:K162)</f>
        <v>0</v>
      </c>
      <c r="L164" s="113">
        <f ca="1">SUM(L154:L162)</f>
        <v>0</v>
      </c>
      <c r="M164" s="113">
        <f ca="1">SUM(M154:M162)</f>
        <v>0</v>
      </c>
      <c r="N164" s="113">
        <f ca="1">SUM(N154:N162)</f>
        <v>0</v>
      </c>
      <c r="O164" s="114">
        <f ca="1">SUM(O154:O162)</f>
        <v>0</v>
      </c>
      <c r="R164" s="85">
        <f>R145</f>
        <v>0</v>
      </c>
      <c r="S164" s="113">
        <f ca="1">SUM(S154:S162)</f>
        <v>0</v>
      </c>
      <c r="T164" s="113">
        <f ca="1">SUM(T154:T162)</f>
        <v>0</v>
      </c>
      <c r="U164" s="113">
        <f ca="1">SUM(U154:U162)</f>
        <v>0</v>
      </c>
      <c r="V164" s="113">
        <f ca="1">SUM(V154:V162)</f>
        <v>0</v>
      </c>
      <c r="W164" s="114">
        <f ca="1">SUM(W154:W162)</f>
        <v>0</v>
      </c>
      <c r="Z164" s="85">
        <f>Z145</f>
        <v>0</v>
      </c>
      <c r="AA164" s="113">
        <f ca="1">SUM(AA154:AA162)</f>
        <v>0</v>
      </c>
      <c r="AB164" s="113">
        <f ca="1">SUM(AB154:AB162)</f>
        <v>0</v>
      </c>
      <c r="AC164" s="113">
        <f ca="1">SUM(AC154:AC162)</f>
        <v>0</v>
      </c>
      <c r="AD164" s="113">
        <f ca="1">SUM(AD154:AD162)</f>
        <v>0</v>
      </c>
      <c r="AE164" s="114">
        <f ca="1">SUM(AE154:AE162)</f>
        <v>0</v>
      </c>
      <c r="AH164" s="85" t="str">
        <f>AH145</f>
        <v>BSC</v>
      </c>
      <c r="AI164" s="113">
        <f ca="1">SUM(AI154:AI162)</f>
        <v>6427969.3994760001</v>
      </c>
      <c r="AJ164" s="113">
        <f ca="1">SUM(AJ154:AJ162)</f>
        <v>12906418.751901001</v>
      </c>
      <c r="AK164" s="113">
        <f ca="1">SUM(AK154:AK162)</f>
        <v>19433897.355390001</v>
      </c>
      <c r="AL164" s="113">
        <f ca="1">SUM(AL154:AL162)</f>
        <v>26010621.642519001</v>
      </c>
      <c r="AM164" s="114">
        <f ca="1">SUM(AM154:AM162)</f>
        <v>32637540.069417</v>
      </c>
      <c r="AP164" s="85">
        <f>AP145</f>
        <v>0</v>
      </c>
      <c r="AQ164" s="113">
        <f ca="1">SUM(AQ154:AQ162)</f>
        <v>0</v>
      </c>
      <c r="AR164" s="113">
        <f ca="1">SUM(AR154:AR162)</f>
        <v>0</v>
      </c>
      <c r="AS164" s="113">
        <f ca="1">SUM(AS154:AS162)</f>
        <v>0</v>
      </c>
      <c r="AT164" s="113">
        <f ca="1">SUM(AT154:AT162)</f>
        <v>0</v>
      </c>
      <c r="AU164" s="114">
        <f ca="1">SUM(AU154:AU162)</f>
        <v>0</v>
      </c>
      <c r="AX164" s="85">
        <f>AX145</f>
        <v>0</v>
      </c>
      <c r="AY164" s="113">
        <f ca="1">SUM(AY154:AY162)</f>
        <v>0</v>
      </c>
      <c r="AZ164" s="113">
        <f ca="1">SUM(AZ154:AZ162)</f>
        <v>0</v>
      </c>
      <c r="BA164" s="113">
        <f ca="1">SUM(BA154:BA162)</f>
        <v>0</v>
      </c>
      <c r="BB164" s="113">
        <f ca="1">SUM(BB154:BB162)</f>
        <v>0</v>
      </c>
      <c r="BC164" s="114">
        <f ca="1">SUM(BC154:BC162)</f>
        <v>0</v>
      </c>
      <c r="BF164" s="85">
        <f>BF145</f>
        <v>0</v>
      </c>
      <c r="BG164" s="113">
        <f ca="1">SUM(BG154:BG162)</f>
        <v>0</v>
      </c>
      <c r="BH164" s="113">
        <f ca="1">SUM(BH154:BH162)</f>
        <v>0</v>
      </c>
      <c r="BI164" s="113">
        <f ca="1">SUM(BI154:BI162)</f>
        <v>0</v>
      </c>
      <c r="BJ164" s="113">
        <f ca="1">SUM(BJ154:BJ162)</f>
        <v>0</v>
      </c>
      <c r="BK164" s="114">
        <f ca="1">SUM(BK154:BK162)</f>
        <v>0</v>
      </c>
      <c r="BN164" s="85">
        <f>BN145</f>
        <v>0</v>
      </c>
      <c r="BO164" s="113">
        <f ca="1">SUM(BO154:BO162)</f>
        <v>0</v>
      </c>
      <c r="BP164" s="113">
        <f ca="1">SUM(BP154:BP162)</f>
        <v>0</v>
      </c>
      <c r="BQ164" s="113">
        <f ca="1">SUM(BQ154:BQ162)</f>
        <v>0</v>
      </c>
      <c r="BR164" s="113">
        <f ca="1">SUM(BR154:BR162)</f>
        <v>0</v>
      </c>
      <c r="BS164" s="114">
        <f ca="1">SUM(BS154:BS162)</f>
        <v>0</v>
      </c>
      <c r="BV164" s="85">
        <f>BV145</f>
        <v>0</v>
      </c>
      <c r="BW164" s="113">
        <f ca="1">SUM(BW154:BW162)</f>
        <v>0</v>
      </c>
      <c r="BX164" s="113">
        <f ca="1">SUM(BX154:BX162)</f>
        <v>0</v>
      </c>
      <c r="BY164" s="113">
        <f ca="1">SUM(BY154:BY162)</f>
        <v>0</v>
      </c>
      <c r="BZ164" s="113">
        <f ca="1">SUM(BZ154:BZ162)</f>
        <v>0</v>
      </c>
      <c r="CA164" s="114">
        <f ca="1">SUM(CA154:CA162)</f>
        <v>0</v>
      </c>
      <c r="CD164" s="85">
        <f>CD145</f>
        <v>0</v>
      </c>
      <c r="CE164" s="113">
        <f ca="1">SUM(CE154:CE162)</f>
        <v>0</v>
      </c>
      <c r="CF164" s="113">
        <f ca="1">SUM(CF154:CF162)</f>
        <v>0</v>
      </c>
      <c r="CG164" s="113">
        <f ca="1">SUM(CG154:CG162)</f>
        <v>0</v>
      </c>
      <c r="CH164" s="113">
        <f ca="1">SUM(CH154:CH162)</f>
        <v>0</v>
      </c>
      <c r="CI164" s="114">
        <f ca="1">SUM(CI154:CI162)</f>
        <v>0</v>
      </c>
      <c r="CL164" s="85">
        <f>CL145</f>
        <v>0</v>
      </c>
      <c r="CM164" s="113">
        <f ca="1">SUM(CM154:CM162)</f>
        <v>0</v>
      </c>
      <c r="CN164" s="113">
        <f ca="1">SUM(CN154:CN162)</f>
        <v>0</v>
      </c>
      <c r="CO164" s="113">
        <f ca="1">SUM(CO154:CO162)</f>
        <v>0</v>
      </c>
      <c r="CP164" s="113">
        <f ca="1">SUM(CP154:CP162)</f>
        <v>0</v>
      </c>
      <c r="CQ164" s="114">
        <f ca="1">SUM(CQ154:CQ162)</f>
        <v>0</v>
      </c>
      <c r="CT164" s="85">
        <f>CT145</f>
        <v>0</v>
      </c>
      <c r="CU164" s="113">
        <f ca="1">SUM(CU154:CU162)</f>
        <v>0</v>
      </c>
      <c r="CV164" s="113">
        <f ca="1">SUM(CV154:CV162)</f>
        <v>0</v>
      </c>
      <c r="CW164" s="113">
        <f ca="1">SUM(CW154:CW162)</f>
        <v>0</v>
      </c>
      <c r="CX164" s="113">
        <f ca="1">SUM(CX154:CX162)</f>
        <v>0</v>
      </c>
      <c r="CY164" s="114">
        <f ca="1">SUM(CY154:CY162)</f>
        <v>0</v>
      </c>
      <c r="DB164" s="85">
        <f>DB145</f>
        <v>0</v>
      </c>
      <c r="DC164" s="113">
        <f ca="1">SUM(DC154:DC162)</f>
        <v>0</v>
      </c>
      <c r="DD164" s="113">
        <f ca="1">SUM(DD154:DD162)</f>
        <v>0</v>
      </c>
      <c r="DE164" s="113">
        <f ca="1">SUM(DE154:DE162)</f>
        <v>0</v>
      </c>
      <c r="DF164" s="113">
        <f ca="1">SUM(DF154:DF162)</f>
        <v>0</v>
      </c>
      <c r="DG164" s="114">
        <f ca="1">SUM(DG154:DG162)</f>
        <v>0</v>
      </c>
    </row>
    <row r="165" spans="2:111" ht="15" thickBot="1">
      <c r="B165" s="83"/>
      <c r="C165" s="86"/>
      <c r="D165" s="86"/>
      <c r="E165" s="86"/>
      <c r="F165" s="86"/>
      <c r="G165" s="86"/>
      <c r="J165" s="83"/>
      <c r="K165" s="86"/>
      <c r="L165" s="86"/>
      <c r="M165" s="86"/>
      <c r="N165" s="86"/>
      <c r="O165" s="86"/>
      <c r="R165" s="83"/>
      <c r="S165" s="86"/>
      <c r="T165" s="86"/>
      <c r="U165" s="86"/>
      <c r="V165" s="86"/>
      <c r="W165" s="86"/>
      <c r="Z165" s="83"/>
      <c r="AA165" s="86"/>
      <c r="AB165" s="86"/>
      <c r="AC165" s="86"/>
      <c r="AD165" s="86"/>
      <c r="AE165" s="86"/>
      <c r="AH165" s="83"/>
      <c r="AI165" s="86"/>
      <c r="AJ165" s="86"/>
      <c r="AK165" s="86"/>
      <c r="AL165" s="86"/>
      <c r="AM165" s="86"/>
      <c r="AP165" s="83"/>
      <c r="AQ165" s="86"/>
      <c r="AR165" s="86"/>
      <c r="AS165" s="86"/>
      <c r="AT165" s="86"/>
      <c r="AU165" s="86"/>
      <c r="AX165" s="83"/>
      <c r="AY165" s="86"/>
      <c r="AZ165" s="86"/>
      <c r="BA165" s="86"/>
      <c r="BB165" s="86"/>
      <c r="BC165" s="86"/>
      <c r="BF165" s="83"/>
      <c r="BG165" s="86"/>
      <c r="BH165" s="86"/>
      <c r="BI165" s="86"/>
      <c r="BJ165" s="86"/>
      <c r="BK165" s="86"/>
      <c r="BN165" s="83"/>
      <c r="BO165" s="86"/>
      <c r="BP165" s="86"/>
      <c r="BQ165" s="86"/>
      <c r="BR165" s="86"/>
      <c r="BS165" s="86"/>
      <c r="BV165" s="83"/>
      <c r="BW165" s="86"/>
      <c r="BX165" s="86"/>
      <c r="BY165" s="86"/>
      <c r="BZ165" s="86"/>
      <c r="CA165" s="86"/>
      <c r="CD165" s="83"/>
      <c r="CE165" s="86"/>
      <c r="CF165" s="86"/>
      <c r="CG165" s="86"/>
      <c r="CH165" s="86"/>
      <c r="CI165" s="86"/>
      <c r="CL165" s="83"/>
      <c r="CM165" s="86"/>
      <c r="CN165" s="86"/>
      <c r="CO165" s="86"/>
      <c r="CP165" s="86"/>
      <c r="CQ165" s="86"/>
      <c r="CT165" s="83"/>
      <c r="CU165" s="86"/>
      <c r="CV165" s="86"/>
      <c r="CW165" s="86"/>
      <c r="CX165" s="86"/>
      <c r="CY165" s="86"/>
      <c r="DB165" s="83"/>
      <c r="DC165" s="86"/>
      <c r="DD165" s="86"/>
      <c r="DE165" s="86"/>
      <c r="DF165" s="86"/>
      <c r="DG165" s="86"/>
    </row>
    <row r="166" spans="2:111" ht="15" thickBot="1">
      <c r="B166" s="508" t="str">
        <f>B105</f>
        <v>Drug 1 only</v>
      </c>
      <c r="C166" s="506"/>
      <c r="D166" s="506"/>
      <c r="E166" s="506"/>
      <c r="F166" s="506"/>
      <c r="G166" s="507"/>
      <c r="J166" s="508" t="str">
        <f>J105</f>
        <v>Drug 1 only</v>
      </c>
      <c r="K166" s="506"/>
      <c r="L166" s="506"/>
      <c r="M166" s="506"/>
      <c r="N166" s="506"/>
      <c r="O166" s="507"/>
      <c r="R166" s="508" t="str">
        <f>R105</f>
        <v>Drug 1 only</v>
      </c>
      <c r="S166" s="506"/>
      <c r="T166" s="506"/>
      <c r="U166" s="506"/>
      <c r="V166" s="506"/>
      <c r="W166" s="507"/>
      <c r="Z166" s="508" t="str">
        <f>Z105</f>
        <v>Drug 1 only</v>
      </c>
      <c r="AA166" s="506"/>
      <c r="AB166" s="506"/>
      <c r="AC166" s="506"/>
      <c r="AD166" s="506"/>
      <c r="AE166" s="507"/>
      <c r="AH166" s="508" t="str">
        <f>AH105</f>
        <v>Drug 1 only</v>
      </c>
      <c r="AI166" s="506"/>
      <c r="AJ166" s="506"/>
      <c r="AK166" s="506"/>
      <c r="AL166" s="506"/>
      <c r="AM166" s="507"/>
      <c r="AP166" s="508" t="str">
        <f>AP105</f>
        <v>Drug 1 only</v>
      </c>
      <c r="AQ166" s="506"/>
      <c r="AR166" s="506"/>
      <c r="AS166" s="506"/>
      <c r="AT166" s="506"/>
      <c r="AU166" s="507"/>
      <c r="AX166" s="508" t="str">
        <f>AX105</f>
        <v>Drug 1 only</v>
      </c>
      <c r="AY166" s="506"/>
      <c r="AZ166" s="506"/>
      <c r="BA166" s="506"/>
      <c r="BB166" s="506"/>
      <c r="BC166" s="507"/>
      <c r="BF166" s="508" t="str">
        <f>BF105</f>
        <v>Drug 1 only</v>
      </c>
      <c r="BG166" s="506"/>
      <c r="BH166" s="506"/>
      <c r="BI166" s="506"/>
      <c r="BJ166" s="506"/>
      <c r="BK166" s="507"/>
      <c r="BN166" s="508" t="str">
        <f>BN105</f>
        <v>Drug 1 only</v>
      </c>
      <c r="BO166" s="506"/>
      <c r="BP166" s="506"/>
      <c r="BQ166" s="506"/>
      <c r="BR166" s="506"/>
      <c r="BS166" s="507"/>
      <c r="BV166" s="508" t="str">
        <f>BV105</f>
        <v>Drug 1 only</v>
      </c>
      <c r="BW166" s="506"/>
      <c r="BX166" s="506"/>
      <c r="BY166" s="506"/>
      <c r="BZ166" s="506"/>
      <c r="CA166" s="507"/>
      <c r="CD166" s="508" t="str">
        <f>CD105</f>
        <v>Drug 1 only</v>
      </c>
      <c r="CE166" s="506"/>
      <c r="CF166" s="506"/>
      <c r="CG166" s="506"/>
      <c r="CH166" s="506"/>
      <c r="CI166" s="507"/>
      <c r="CL166" s="508" t="str">
        <f>CL105</f>
        <v>Drug 1 only</v>
      </c>
      <c r="CM166" s="506"/>
      <c r="CN166" s="506"/>
      <c r="CO166" s="506"/>
      <c r="CP166" s="506"/>
      <c r="CQ166" s="507"/>
      <c r="CT166" s="508" t="str">
        <f>CT105</f>
        <v>Drug 1 only</v>
      </c>
      <c r="CU166" s="506"/>
      <c r="CV166" s="506"/>
      <c r="CW166" s="506"/>
      <c r="CX166" s="506"/>
      <c r="CY166" s="507"/>
      <c r="DB166" s="508" t="str">
        <f>DB105</f>
        <v>Drug 1 only</v>
      </c>
      <c r="DC166" s="506"/>
      <c r="DD166" s="506"/>
      <c r="DE166" s="506"/>
      <c r="DF166" s="506"/>
      <c r="DG166" s="507"/>
    </row>
    <row r="167" spans="2:111">
      <c r="B167" s="84"/>
      <c r="C167" s="101">
        <f>C106</f>
        <v>2026</v>
      </c>
      <c r="D167" s="101">
        <f t="shared" ref="D167:F167" si="342">D106</f>
        <v>2027</v>
      </c>
      <c r="E167" s="101">
        <f t="shared" si="342"/>
        <v>2028</v>
      </c>
      <c r="F167" s="101">
        <f t="shared" si="342"/>
        <v>2029</v>
      </c>
      <c r="G167" s="102">
        <f>G106</f>
        <v>2030</v>
      </c>
      <c r="J167" s="84"/>
      <c r="K167" s="101">
        <f>K106</f>
        <v>2026</v>
      </c>
      <c r="L167" s="101">
        <f t="shared" ref="L167:N167" si="343">L106</f>
        <v>2027</v>
      </c>
      <c r="M167" s="101">
        <f t="shared" si="343"/>
        <v>2028</v>
      </c>
      <c r="N167" s="101">
        <f t="shared" si="343"/>
        <v>2029</v>
      </c>
      <c r="O167" s="102">
        <f>O106</f>
        <v>2030</v>
      </c>
      <c r="R167" s="84"/>
      <c r="S167" s="101">
        <f>S106</f>
        <v>2026</v>
      </c>
      <c r="T167" s="101">
        <f t="shared" ref="T167:V167" si="344">T106</f>
        <v>2027</v>
      </c>
      <c r="U167" s="101">
        <f t="shared" si="344"/>
        <v>2028</v>
      </c>
      <c r="V167" s="101">
        <f t="shared" si="344"/>
        <v>2029</v>
      </c>
      <c r="W167" s="102">
        <f>W106</f>
        <v>2030</v>
      </c>
      <c r="Z167" s="84"/>
      <c r="AA167" s="101">
        <f>AA106</f>
        <v>2026</v>
      </c>
      <c r="AB167" s="101">
        <f t="shared" ref="AB167:AD167" si="345">AB106</f>
        <v>2027</v>
      </c>
      <c r="AC167" s="101">
        <f t="shared" si="345"/>
        <v>2028</v>
      </c>
      <c r="AD167" s="101">
        <f t="shared" si="345"/>
        <v>2029</v>
      </c>
      <c r="AE167" s="102">
        <f>AE106</f>
        <v>2030</v>
      </c>
      <c r="AH167" s="84"/>
      <c r="AI167" s="101">
        <f>AI106</f>
        <v>2026</v>
      </c>
      <c r="AJ167" s="101">
        <f t="shared" ref="AJ167:AL167" si="346">AJ106</f>
        <v>2027</v>
      </c>
      <c r="AK167" s="101">
        <f t="shared" si="346"/>
        <v>2028</v>
      </c>
      <c r="AL167" s="101">
        <f t="shared" si="346"/>
        <v>2029</v>
      </c>
      <c r="AM167" s="102">
        <f>AM106</f>
        <v>2030</v>
      </c>
      <c r="AP167" s="84"/>
      <c r="AQ167" s="101">
        <f>AQ106</f>
        <v>2026</v>
      </c>
      <c r="AR167" s="101">
        <f t="shared" ref="AR167:AT167" si="347">AR106</f>
        <v>2027</v>
      </c>
      <c r="AS167" s="101">
        <f t="shared" si="347"/>
        <v>2028</v>
      </c>
      <c r="AT167" s="101">
        <f t="shared" si="347"/>
        <v>2029</v>
      </c>
      <c r="AU167" s="102">
        <f>AU106</f>
        <v>2030</v>
      </c>
      <c r="AX167" s="84"/>
      <c r="AY167" s="101">
        <f>AY106</f>
        <v>2026</v>
      </c>
      <c r="AZ167" s="101">
        <f t="shared" ref="AZ167:BB167" si="348">AZ106</f>
        <v>2027</v>
      </c>
      <c r="BA167" s="101">
        <f t="shared" si="348"/>
        <v>2028</v>
      </c>
      <c r="BB167" s="101">
        <f t="shared" si="348"/>
        <v>2029</v>
      </c>
      <c r="BC167" s="102">
        <f>BC106</f>
        <v>2030</v>
      </c>
      <c r="BF167" s="84"/>
      <c r="BG167" s="101">
        <f>BG106</f>
        <v>2026</v>
      </c>
      <c r="BH167" s="101">
        <f t="shared" ref="BH167:BJ167" si="349">BH106</f>
        <v>2027</v>
      </c>
      <c r="BI167" s="101">
        <f t="shared" si="349"/>
        <v>2028</v>
      </c>
      <c r="BJ167" s="101">
        <f t="shared" si="349"/>
        <v>2029</v>
      </c>
      <c r="BK167" s="102">
        <f>BK106</f>
        <v>2030</v>
      </c>
      <c r="BN167" s="84"/>
      <c r="BO167" s="101">
        <f>BO106</f>
        <v>2026</v>
      </c>
      <c r="BP167" s="101">
        <f t="shared" ref="BP167:BR167" si="350">BP106</f>
        <v>2027</v>
      </c>
      <c r="BQ167" s="101">
        <f t="shared" si="350"/>
        <v>2028</v>
      </c>
      <c r="BR167" s="101">
        <f t="shared" si="350"/>
        <v>2029</v>
      </c>
      <c r="BS167" s="102">
        <f>BS106</f>
        <v>2030</v>
      </c>
      <c r="BV167" s="84"/>
      <c r="BW167" s="101">
        <f>BW106</f>
        <v>2026</v>
      </c>
      <c r="BX167" s="101">
        <f t="shared" ref="BX167:BZ167" si="351">BX106</f>
        <v>2027</v>
      </c>
      <c r="BY167" s="101">
        <f t="shared" si="351"/>
        <v>2028</v>
      </c>
      <c r="BZ167" s="101">
        <f t="shared" si="351"/>
        <v>2029</v>
      </c>
      <c r="CA167" s="102">
        <f>CA106</f>
        <v>2030</v>
      </c>
      <c r="CD167" s="84"/>
      <c r="CE167" s="101">
        <f>CE106</f>
        <v>2026</v>
      </c>
      <c r="CF167" s="101">
        <f t="shared" ref="CF167:CH167" si="352">CF106</f>
        <v>2027</v>
      </c>
      <c r="CG167" s="101">
        <f t="shared" si="352"/>
        <v>2028</v>
      </c>
      <c r="CH167" s="101">
        <f t="shared" si="352"/>
        <v>2029</v>
      </c>
      <c r="CI167" s="102">
        <f>CI106</f>
        <v>2030</v>
      </c>
      <c r="CL167" s="84"/>
      <c r="CM167" s="101">
        <f>CM106</f>
        <v>2026</v>
      </c>
      <c r="CN167" s="101">
        <f t="shared" ref="CN167:CP167" si="353">CN106</f>
        <v>2027</v>
      </c>
      <c r="CO167" s="101">
        <f t="shared" si="353"/>
        <v>2028</v>
      </c>
      <c r="CP167" s="101">
        <f t="shared" si="353"/>
        <v>2029</v>
      </c>
      <c r="CQ167" s="102">
        <f>CQ106</f>
        <v>2030</v>
      </c>
      <c r="CT167" s="84"/>
      <c r="CU167" s="101">
        <f>CU106</f>
        <v>2026</v>
      </c>
      <c r="CV167" s="101">
        <f t="shared" ref="CV167:CX167" si="354">CV106</f>
        <v>2027</v>
      </c>
      <c r="CW167" s="101">
        <f t="shared" si="354"/>
        <v>2028</v>
      </c>
      <c r="CX167" s="101">
        <f t="shared" si="354"/>
        <v>2029</v>
      </c>
      <c r="CY167" s="102">
        <f>CY106</f>
        <v>2030</v>
      </c>
      <c r="DB167" s="84"/>
      <c r="DC167" s="101">
        <f>DC106</f>
        <v>2026</v>
      </c>
      <c r="DD167" s="101">
        <f t="shared" ref="DD167:DF167" si="355">DD106</f>
        <v>2027</v>
      </c>
      <c r="DE167" s="101">
        <f t="shared" si="355"/>
        <v>2028</v>
      </c>
      <c r="DF167" s="101">
        <f t="shared" si="355"/>
        <v>2029</v>
      </c>
      <c r="DG167" s="102">
        <f>DG106</f>
        <v>2030</v>
      </c>
    </row>
    <row r="168" spans="2:111">
      <c r="B168" s="87" t="s">
        <v>170</v>
      </c>
      <c r="C168" s="109">
        <f ca="1">(C43*ci_int1)+(C43*ct_int1*'Time on treatment'!$D$12)</f>
        <v>1479583.7492400003</v>
      </c>
      <c r="D168" s="109">
        <f ca="1">(D43*ct_int1*'Time on treatment'!$E$12)</f>
        <v>1405604.5617780001</v>
      </c>
      <c r="E168" s="109">
        <f ca="1">(E43*ct_int1*'Time on treatment'!$F$12)</f>
        <v>0</v>
      </c>
      <c r="F168" s="109">
        <f ca="1">(F43*ct_int1*'Time on treatment'!$G$12)</f>
        <v>0</v>
      </c>
      <c r="G168" s="110">
        <f ca="1">(G43*ct_int1*'Time on treatment'!$H$12)</f>
        <v>0</v>
      </c>
      <c r="J168" s="87" t="s">
        <v>170</v>
      </c>
      <c r="K168" s="109">
        <f ca="1">(K43*ci_int2)+(K43*ct_int2*'Time on treatment'!$D$13)</f>
        <v>0</v>
      </c>
      <c r="L168" s="109">
        <f ca="1">(L43*ct_int2*'Time on treatment'!$E$13)</f>
        <v>0</v>
      </c>
      <c r="M168" s="109">
        <f ca="1">(M43*ct_int2*'Time on treatment'!$F$13)</f>
        <v>0</v>
      </c>
      <c r="N168" s="109">
        <f ca="1">(N43*ct_int2*'Time on treatment'!$G$13)</f>
        <v>0</v>
      </c>
      <c r="O168" s="110">
        <f ca="1">(O43*ct_int2*'Time on treatment'!$H$13)</f>
        <v>0</v>
      </c>
      <c r="R168" s="87" t="s">
        <v>170</v>
      </c>
      <c r="S168" s="109">
        <f ca="1">(S43*ci_int3)+(S43*ct_int3*'Time on treatment'!$D$14)</f>
        <v>0</v>
      </c>
      <c r="T168" s="109">
        <f ca="1">(T43*ct_int3*'Time on treatment'!$E$14)</f>
        <v>0</v>
      </c>
      <c r="U168" s="109">
        <f ca="1">(U43*ct_int3*'Time on treatment'!$F$14)</f>
        <v>0</v>
      </c>
      <c r="V168" s="109">
        <f ca="1">(V43*ct_int3*'Time on treatment'!$G$14)</f>
        <v>0</v>
      </c>
      <c r="W168" s="110">
        <f ca="1">(W43*ct_int3*'Time on treatment'!$H$14)</f>
        <v>0</v>
      </c>
      <c r="Z168" s="87" t="s">
        <v>170</v>
      </c>
      <c r="AA168" s="109">
        <f ca="1">(AA43*ci_int4)+(AA43*ct_int4*'Time on treatment'!$D$15)</f>
        <v>0</v>
      </c>
      <c r="AB168" s="109">
        <f ca="1">(AB43*ct_int4*'Time on treatment'!$E$15)</f>
        <v>0</v>
      </c>
      <c r="AC168" s="109">
        <f ca="1">(AC43*ct_int4*'Time on treatment'!$F$15)</f>
        <v>0</v>
      </c>
      <c r="AD168" s="109">
        <f ca="1">(AD43*ct_int4*'Time on treatment'!$G$15)</f>
        <v>0</v>
      </c>
      <c r="AE168" s="110">
        <f ca="1">(AE43*ct_int4*'Time on treatment'!$H$15)</f>
        <v>0</v>
      </c>
      <c r="AH168" s="87" t="s">
        <v>170</v>
      </c>
      <c r="AI168" s="109">
        <f ca="1">(AI43*ci_comp1)+(AI43*ct_comp1*'Time on treatment'!$D$19)</f>
        <v>6106570.9295022003</v>
      </c>
      <c r="AJ168" s="109">
        <f ca="1">(AJ43*ct_comp1*'Time on treatment'!$E$19)</f>
        <v>6106570.9295022003</v>
      </c>
      <c r="AK168" s="109">
        <f ca="1">(AK43*ct_comp1*'Time on treatment'!$F$19)</f>
        <v>6106570.9295022003</v>
      </c>
      <c r="AL168" s="109">
        <f ca="1">(AL43*ct_comp1*'Time on treatment'!$G$19)</f>
        <v>6106570.9295022003</v>
      </c>
      <c r="AM168" s="110">
        <f ca="1">(AM43*ct_comp1*'Time on treatment'!$H$19)</f>
        <v>6106570.9295022003</v>
      </c>
      <c r="AP168" s="87" t="s">
        <v>170</v>
      </c>
      <c r="AQ168" s="109">
        <f ca="1">(AQ43*ci_comp2)+(AQ43*ct_comp2*'Time on treatment'!$D$20)</f>
        <v>0</v>
      </c>
      <c r="AR168" s="109">
        <f ca="1">(AR43*ct_comp2*'Time on treatment'!$E$20)</f>
        <v>0</v>
      </c>
      <c r="AS168" s="109">
        <f ca="1">(AS43*ct_comp2*'Time on treatment'!$F$20)</f>
        <v>0</v>
      </c>
      <c r="AT168" s="109">
        <f ca="1">(AT43*ct_comp2*'Time on treatment'!$G$20)</f>
        <v>0</v>
      </c>
      <c r="AU168" s="110">
        <f ca="1">(AU43*ct_comp2*'Time on treatment'!$H$20)</f>
        <v>0</v>
      </c>
      <c r="AX168" s="87" t="s">
        <v>170</v>
      </c>
      <c r="AY168" s="109">
        <f ca="1">(AY43*ci_comp3)+(AY43*ct_comp3*'Time on treatment'!$D$21)</f>
        <v>0</v>
      </c>
      <c r="AZ168" s="109">
        <f ca="1">(AZ43*ct_comp3*'Time on treatment'!$E$21)</f>
        <v>0</v>
      </c>
      <c r="BA168" s="109">
        <f ca="1">(BA43*ct_comp3*'Time on treatment'!$F$21)</f>
        <v>0</v>
      </c>
      <c r="BB168" s="109">
        <f ca="1">(BB43*ct_comp3*'Time on treatment'!$G$21)</f>
        <v>0</v>
      </c>
      <c r="BC168" s="110">
        <f ca="1">(BC43*ct_comp3*'Time on treatment'!$H$21)</f>
        <v>0</v>
      </c>
      <c r="BF168" s="87" t="s">
        <v>170</v>
      </c>
      <c r="BG168" s="109">
        <f ca="1">(BG43*ci_comp4)+(BG43*ct_comp4*'Time on treatment'!$D$22)</f>
        <v>0</v>
      </c>
      <c r="BH168" s="109">
        <f ca="1">(BH43*ct_comp4*'Time on treatment'!$E$22)</f>
        <v>0</v>
      </c>
      <c r="BI168" s="109">
        <f ca="1">(BI43*ct_comp4*'Time on treatment'!$F$22)</f>
        <v>0</v>
      </c>
      <c r="BJ168" s="109">
        <f ca="1">(BJ43*ct_comp4*'Time on treatment'!$G$22)</f>
        <v>0</v>
      </c>
      <c r="BK168" s="110">
        <f ca="1">(BK43*ct_comp4*'Time on treatment'!$H$22)</f>
        <v>0</v>
      </c>
      <c r="BN168" s="87" t="s">
        <v>170</v>
      </c>
      <c r="BO168" s="109">
        <f ca="1">(BO43*ci_comp5)+(BO43*ct_comp5*'Time on treatment'!$D$23)</f>
        <v>0</v>
      </c>
      <c r="BP168" s="109">
        <f ca="1">(BP43*ct_comp5*'Time on treatment'!$E$23)</f>
        <v>0</v>
      </c>
      <c r="BQ168" s="109">
        <f ca="1">(BQ43*ct_comp5*'Time on treatment'!$F$23)</f>
        <v>0</v>
      </c>
      <c r="BR168" s="109">
        <f ca="1">(BR43*ct_comp5*'Time on treatment'!$G$23)</f>
        <v>0</v>
      </c>
      <c r="BS168" s="110">
        <f ca="1">(BS43*ct_comp5*'Time on treatment'!$H$23)</f>
        <v>0</v>
      </c>
      <c r="BV168" s="87" t="s">
        <v>170</v>
      </c>
      <c r="BW168" s="109">
        <f ca="1">(BW43*ci_comp6)+(BW43*ct_comp6*'Time on treatment'!$D$24)</f>
        <v>0</v>
      </c>
      <c r="BX168" s="109">
        <f ca="1">(BX43*ct_comp6*'Time on treatment'!$E$24)</f>
        <v>0</v>
      </c>
      <c r="BY168" s="109">
        <f ca="1">(BY43*ct_comp6*'Time on treatment'!$F$24)</f>
        <v>0</v>
      </c>
      <c r="BZ168" s="109">
        <f ca="1">(BZ43*ct_comp6*'Time on treatment'!$G$24)</f>
        <v>0</v>
      </c>
      <c r="CA168" s="110">
        <f ca="1">(CA43*ct_comp6*'Time on treatment'!$H$24)</f>
        <v>0</v>
      </c>
      <c r="CD168" s="87" t="s">
        <v>170</v>
      </c>
      <c r="CE168" s="109">
        <f ca="1">(CE43*ci_comp7)+(CE43*ct_comp7*'Time on treatment'!$D$25)</f>
        <v>0</v>
      </c>
      <c r="CF168" s="109">
        <f ca="1">(CF43*ct_comp7*'Time on treatment'!$E$25)</f>
        <v>0</v>
      </c>
      <c r="CG168" s="109">
        <f ca="1">(CG43*ct_comp7*'Time on treatment'!$F$25)</f>
        <v>0</v>
      </c>
      <c r="CH168" s="109">
        <f ca="1">(CH43*ct_comp7*'Time on treatment'!$G$25)</f>
        <v>0</v>
      </c>
      <c r="CI168" s="110">
        <f ca="1">(CI43*ct_comp7*'Time on treatment'!$H$25)</f>
        <v>0</v>
      </c>
      <c r="CL168" s="87" t="s">
        <v>170</v>
      </c>
      <c r="CM168" s="109">
        <f ca="1">(CM43*ci_comp8)+(CM43*ct_comp8*'Time on treatment'!$D$26)</f>
        <v>0</v>
      </c>
      <c r="CN168" s="109">
        <f ca="1">(CN43*ct_comp8*'Time on treatment'!$E$26)</f>
        <v>0</v>
      </c>
      <c r="CO168" s="109">
        <f ca="1">(CO43*ct_comp8*'Time on treatment'!$F$26)</f>
        <v>0</v>
      </c>
      <c r="CP168" s="109">
        <f ca="1">(CP43*ct_comp8*'Time on treatment'!$G$26)</f>
        <v>0</v>
      </c>
      <c r="CQ168" s="110">
        <f ca="1">(CQ43*ct_comp8*'Time on treatment'!$H$26)</f>
        <v>0</v>
      </c>
      <c r="CT168" s="87" t="s">
        <v>170</v>
      </c>
      <c r="CU168" s="109">
        <f ca="1">(CU43*ci_comp9)+(CU43*ct_comp9*'Time on treatment'!$D$27)</f>
        <v>0</v>
      </c>
      <c r="CV168" s="109">
        <f ca="1">(CV43*ct_comp9*'Time on treatment'!$E$27)</f>
        <v>0</v>
      </c>
      <c r="CW168" s="109">
        <f ca="1">(CW43*ct_comp9*'Time on treatment'!$F$27)</f>
        <v>0</v>
      </c>
      <c r="CX168" s="109">
        <f ca="1">(CX43*ct_comp9*'Time on treatment'!$G$27)</f>
        <v>0</v>
      </c>
      <c r="CY168" s="110">
        <f ca="1">(CY43*ct_comp9*'Time on treatment'!$H$27)</f>
        <v>0</v>
      </c>
      <c r="DB168" s="87" t="s">
        <v>170</v>
      </c>
      <c r="DC168" s="109">
        <f ca="1">(DC43*ci_comp10)+(DC43*ct_comp10*'Time on treatment'!$D$28)</f>
        <v>0</v>
      </c>
      <c r="DD168" s="109">
        <f ca="1">(DD43*ct_comp10*'Time on treatment'!$E$28)</f>
        <v>0</v>
      </c>
      <c r="DE168" s="109">
        <f ca="1">(DE43*ct_comp10*'Time on treatment'!$F$28)</f>
        <v>0</v>
      </c>
      <c r="DF168" s="109">
        <f ca="1">(DF43*ct_comp10*'Time on treatment'!$G$28)</f>
        <v>0</v>
      </c>
      <c r="DG168" s="110">
        <f ca="1">(DG43*ct_comp10*'Time on treatment'!$H$28)</f>
        <v>0</v>
      </c>
    </row>
    <row r="169" spans="2:111">
      <c r="B169" s="87" t="s">
        <v>175</v>
      </c>
      <c r="C169" s="109"/>
      <c r="D169" s="109"/>
      <c r="E169" s="109"/>
      <c r="F169" s="109"/>
      <c r="G169" s="110"/>
      <c r="J169" s="87" t="s">
        <v>175</v>
      </c>
      <c r="K169" s="109"/>
      <c r="L169" s="109"/>
      <c r="M169" s="109"/>
      <c r="N169" s="109"/>
      <c r="O169" s="110"/>
      <c r="R169" s="87" t="s">
        <v>175</v>
      </c>
      <c r="S169" s="109"/>
      <c r="T169" s="109"/>
      <c r="U169" s="109"/>
      <c r="V169" s="109"/>
      <c r="W169" s="110"/>
      <c r="Z169" s="87" t="s">
        <v>175</v>
      </c>
      <c r="AA169" s="109"/>
      <c r="AB169" s="109"/>
      <c r="AC169" s="109"/>
      <c r="AD169" s="109"/>
      <c r="AE169" s="110"/>
      <c r="AH169" s="87" t="s">
        <v>175</v>
      </c>
      <c r="AI169" s="109"/>
      <c r="AJ169" s="109"/>
      <c r="AK169" s="109"/>
      <c r="AL169" s="109"/>
      <c r="AM169" s="110"/>
      <c r="AP169" s="87" t="s">
        <v>175</v>
      </c>
      <c r="AQ169" s="109"/>
      <c r="AR169" s="109"/>
      <c r="AS169" s="109"/>
      <c r="AT169" s="109"/>
      <c r="AU169" s="110"/>
      <c r="AX169" s="87" t="s">
        <v>175</v>
      </c>
      <c r="AY169" s="109"/>
      <c r="AZ169" s="109"/>
      <c r="BA169" s="109"/>
      <c r="BB169" s="109"/>
      <c r="BC169" s="110"/>
      <c r="BF169" s="87" t="s">
        <v>175</v>
      </c>
      <c r="BG169" s="109"/>
      <c r="BH169" s="109"/>
      <c r="BI169" s="109"/>
      <c r="BJ169" s="109"/>
      <c r="BK169" s="110"/>
      <c r="BN169" s="87" t="s">
        <v>175</v>
      </c>
      <c r="BO169" s="109"/>
      <c r="BP169" s="109"/>
      <c r="BQ169" s="109"/>
      <c r="BR169" s="109"/>
      <c r="BS169" s="110"/>
      <c r="BV169" s="87" t="s">
        <v>175</v>
      </c>
      <c r="BW169" s="109"/>
      <c r="BX169" s="109"/>
      <c r="BY169" s="109"/>
      <c r="BZ169" s="109"/>
      <c r="CA169" s="110"/>
      <c r="CD169" s="87" t="s">
        <v>175</v>
      </c>
      <c r="CE169" s="109"/>
      <c r="CF169" s="109"/>
      <c r="CG169" s="109"/>
      <c r="CH169" s="109"/>
      <c r="CI169" s="110"/>
      <c r="CL169" s="87" t="s">
        <v>175</v>
      </c>
      <c r="CM169" s="109"/>
      <c r="CN169" s="109"/>
      <c r="CO169" s="109"/>
      <c r="CP169" s="109"/>
      <c r="CQ169" s="110"/>
      <c r="CT169" s="87" t="s">
        <v>175</v>
      </c>
      <c r="CU169" s="109"/>
      <c r="CV169" s="109"/>
      <c r="CW169" s="109"/>
      <c r="CX169" s="109"/>
      <c r="CY169" s="110"/>
      <c r="DB169" s="87" t="s">
        <v>175</v>
      </c>
      <c r="DC169" s="109"/>
      <c r="DD169" s="109"/>
      <c r="DE169" s="109"/>
      <c r="DF169" s="109"/>
      <c r="DG169" s="110"/>
    </row>
    <row r="170" spans="2:111">
      <c r="B170" s="87" t="s">
        <v>171</v>
      </c>
      <c r="C170" s="111"/>
      <c r="D170" s="109">
        <f ca="1">(D45*ci_int1)+(D45*ct_int1*'Time on treatment'!$D$12)</f>
        <v>2982406.3514999999</v>
      </c>
      <c r="E170" s="109">
        <f ca="1">(E45*ct_int1*'Time on treatment'!$E$12)</f>
        <v>2833286.0339250006</v>
      </c>
      <c r="F170" s="109">
        <f ca="1">(F45*ct_int1*'Time on treatment'!$F$12)</f>
        <v>0</v>
      </c>
      <c r="G170" s="110">
        <f ca="1">(G45*ct_int1*'Time on treatment'!$G$12)</f>
        <v>0</v>
      </c>
      <c r="J170" s="87" t="s">
        <v>171</v>
      </c>
      <c r="K170" s="111"/>
      <c r="L170" s="109">
        <f ca="1">(L45*ci_int2)+(L45*ct_int2*'Time on treatment'!$D$13)</f>
        <v>0</v>
      </c>
      <c r="M170" s="109">
        <f ca="1">(M45*ct_int2*'Time on treatment'!$E$13)</f>
        <v>0</v>
      </c>
      <c r="N170" s="109">
        <f ca="1">(N45*ct_int2*'Time on treatment'!$F$13)</f>
        <v>0</v>
      </c>
      <c r="O170" s="110">
        <f ca="1">(O45*ct_int2*'Time on treatment'!$G$13)</f>
        <v>0</v>
      </c>
      <c r="R170" s="87" t="s">
        <v>171</v>
      </c>
      <c r="S170" s="111"/>
      <c r="T170" s="109">
        <f ca="1">(T45*ci_int3)+(T45*ct_int3*'Time on treatment'!$D$14)</f>
        <v>0</v>
      </c>
      <c r="U170" s="109">
        <f ca="1">(U45*ct_int3*'Time on treatment'!$E$14)</f>
        <v>0</v>
      </c>
      <c r="V170" s="109">
        <f ca="1">(V45*ct_int3*'Time on treatment'!$F$14)</f>
        <v>0</v>
      </c>
      <c r="W170" s="110">
        <f ca="1">(W45*ct_int3*'Time on treatment'!$G$14)</f>
        <v>0</v>
      </c>
      <c r="Z170" s="87" t="s">
        <v>171</v>
      </c>
      <c r="AA170" s="111"/>
      <c r="AB170" s="109">
        <f ca="1">(AB45*ci_int4)+(AB45*ct_int4*'Time on treatment'!$D$15)</f>
        <v>0</v>
      </c>
      <c r="AC170" s="109">
        <f ca="1">(AC45*ct_int4*'Time on treatment'!$E$15)</f>
        <v>0</v>
      </c>
      <c r="AD170" s="109">
        <f ca="1">(AD45*ct_int4*'Time on treatment'!$F$15)</f>
        <v>0</v>
      </c>
      <c r="AE170" s="110">
        <f ca="1">(AE45*ct_int4*'Time on treatment'!$G$15)</f>
        <v>0</v>
      </c>
      <c r="AH170" s="87" t="s">
        <v>171</v>
      </c>
      <c r="AI170" s="111"/>
      <c r="AJ170" s="109">
        <f ca="1">(AJ45*ci_comp1)+(AJ45*ct_comp1*'Time on treatment'!$D$19)</f>
        <v>5830604.4171825005</v>
      </c>
      <c r="AK170" s="109">
        <f ca="1">(AK45*ct_comp1*'Time on treatment'!$E$19)</f>
        <v>5830604.4171825005</v>
      </c>
      <c r="AL170" s="109">
        <f ca="1">(AL45*ct_comp1*'Time on treatment'!$F$19)</f>
        <v>5830604.4171825005</v>
      </c>
      <c r="AM170" s="110">
        <f ca="1">(AM45*ct_comp1*'Time on treatment'!$G$19)</f>
        <v>5830604.4171825005</v>
      </c>
      <c r="AP170" s="87" t="s">
        <v>171</v>
      </c>
      <c r="AQ170" s="111"/>
      <c r="AR170" s="109">
        <f ca="1">(AR45*ci_comp2)+(AR45*ct_comp2*'Time on treatment'!$D$20)</f>
        <v>0</v>
      </c>
      <c r="AS170" s="109">
        <f ca="1">(AS45*ct_comp2*'Time on treatment'!$E$20)</f>
        <v>0</v>
      </c>
      <c r="AT170" s="109">
        <f ca="1">(AT45*ct_comp2*'Time on treatment'!$F$20)</f>
        <v>0</v>
      </c>
      <c r="AU170" s="110">
        <f ca="1">(AU45*ct_comp2*'Time on treatment'!$G$20)</f>
        <v>0</v>
      </c>
      <c r="AX170" s="87" t="s">
        <v>171</v>
      </c>
      <c r="AY170" s="111"/>
      <c r="AZ170" s="109">
        <f ca="1">(AZ45*ci_comp3)+(AZ45*ct_comp3*'Time on treatment'!$D$21)</f>
        <v>0</v>
      </c>
      <c r="BA170" s="109">
        <f ca="1">(BA45*ct_comp3*'Time on treatment'!$E$21)</f>
        <v>0</v>
      </c>
      <c r="BB170" s="109">
        <f ca="1">(BB45*ct_comp3*'Time on treatment'!$F$21)</f>
        <v>0</v>
      </c>
      <c r="BC170" s="110">
        <f ca="1">(BC45*ct_comp3*'Time on treatment'!$G$21)</f>
        <v>0</v>
      </c>
      <c r="BF170" s="87" t="s">
        <v>171</v>
      </c>
      <c r="BG170" s="111"/>
      <c r="BH170" s="109">
        <f ca="1">(BH45*ci_comp4)+(BH45*ct_comp4*'Time on treatment'!$D$22)</f>
        <v>0</v>
      </c>
      <c r="BI170" s="109">
        <f ca="1">(BI45*ct_comp4*'Time on treatment'!$E$22)</f>
        <v>0</v>
      </c>
      <c r="BJ170" s="109">
        <f ca="1">(BJ45*ct_comp4*'Time on treatment'!$F$22)</f>
        <v>0</v>
      </c>
      <c r="BK170" s="110">
        <f ca="1">(BK45*ct_comp4*'Time on treatment'!$G$22)</f>
        <v>0</v>
      </c>
      <c r="BN170" s="87" t="s">
        <v>171</v>
      </c>
      <c r="BO170" s="111"/>
      <c r="BP170" s="109">
        <f ca="1">(BP45*ci_comp5)+(BP45*ct_comp5*'Time on treatment'!$D$23)</f>
        <v>0</v>
      </c>
      <c r="BQ170" s="109">
        <f ca="1">(BQ45*ct_comp5*'Time on treatment'!$E$23)</f>
        <v>0</v>
      </c>
      <c r="BR170" s="109">
        <f ca="1">(BR45*ct_comp5*'Time on treatment'!$F$23)</f>
        <v>0</v>
      </c>
      <c r="BS170" s="110">
        <f ca="1">(BS45*ct_comp5*'Time on treatment'!$G$23)</f>
        <v>0</v>
      </c>
      <c r="BV170" s="87" t="s">
        <v>171</v>
      </c>
      <c r="BW170" s="111"/>
      <c r="BX170" s="109">
        <f ca="1">(BX45*ci_comp6)+(BX45*ct_comp6*'Time on treatment'!$D$24)</f>
        <v>0</v>
      </c>
      <c r="BY170" s="109">
        <f ca="1">(BY45*ct_comp6*'Time on treatment'!$E$24)</f>
        <v>0</v>
      </c>
      <c r="BZ170" s="109">
        <f ca="1">(BZ45*ct_comp6*'Time on treatment'!$F$24)</f>
        <v>0</v>
      </c>
      <c r="CA170" s="110">
        <f ca="1">(CA45*ct_comp6*'Time on treatment'!$G$24)</f>
        <v>0</v>
      </c>
      <c r="CD170" s="87" t="s">
        <v>171</v>
      </c>
      <c r="CE170" s="111"/>
      <c r="CF170" s="109">
        <f ca="1">(CF45*ci_comp7)+(CF45*ct_comp7*'Time on treatment'!$D$25)</f>
        <v>0</v>
      </c>
      <c r="CG170" s="109">
        <f ca="1">(CG45*ct_comp7*'Time on treatment'!$E$25)</f>
        <v>0</v>
      </c>
      <c r="CH170" s="109">
        <f ca="1">(CH45*ct_comp7*'Time on treatment'!$F$25)</f>
        <v>0</v>
      </c>
      <c r="CI170" s="110">
        <f ca="1">(CI45*ct_comp7*'Time on treatment'!$G$25)</f>
        <v>0</v>
      </c>
      <c r="CL170" s="87" t="s">
        <v>171</v>
      </c>
      <c r="CM170" s="111"/>
      <c r="CN170" s="109">
        <f ca="1">(CN45*ci_comp8)+(CN45*ct_comp8*'Time on treatment'!$D$26)</f>
        <v>0</v>
      </c>
      <c r="CO170" s="109">
        <f ca="1">(CO45*ct_comp8*'Time on treatment'!$E$26)</f>
        <v>0</v>
      </c>
      <c r="CP170" s="109">
        <f ca="1">(CP45*ct_comp8*'Time on treatment'!$F$26)</f>
        <v>0</v>
      </c>
      <c r="CQ170" s="110">
        <f ca="1">(CQ45*ct_comp8*'Time on treatment'!$G$26)</f>
        <v>0</v>
      </c>
      <c r="CT170" s="87" t="s">
        <v>171</v>
      </c>
      <c r="CU170" s="111"/>
      <c r="CV170" s="109">
        <f ca="1">(CV45*ci_comp9)+(CV45*ct_comp9*'Time on treatment'!$D$27)</f>
        <v>0</v>
      </c>
      <c r="CW170" s="109">
        <f ca="1">(CW45*ct_comp9*'Time on treatment'!$E$27)</f>
        <v>0</v>
      </c>
      <c r="CX170" s="109">
        <f ca="1">(CX45*ct_comp9*'Time on treatment'!$F$27)</f>
        <v>0</v>
      </c>
      <c r="CY170" s="110">
        <f ca="1">(CY45*ct_comp9*'Time on treatment'!$G$27)</f>
        <v>0</v>
      </c>
      <c r="DB170" s="87" t="s">
        <v>171</v>
      </c>
      <c r="DC170" s="111"/>
      <c r="DD170" s="109">
        <f ca="1">(DD45*ci_comp10)+(DD45*ct_comp10*'Time on treatment'!$D$28)</f>
        <v>0</v>
      </c>
      <c r="DE170" s="109">
        <f ca="1">(DE45*ct_comp10*'Time on treatment'!$E$28)</f>
        <v>0</v>
      </c>
      <c r="DF170" s="109">
        <f ca="1">(DF45*ct_comp10*'Time on treatment'!$F$28)</f>
        <v>0</v>
      </c>
      <c r="DG170" s="110">
        <f ca="1">(DG45*ct_comp10*'Time on treatment'!$G$28)</f>
        <v>0</v>
      </c>
    </row>
    <row r="171" spans="2:111">
      <c r="B171" s="87" t="s">
        <v>176</v>
      </c>
      <c r="C171" s="111"/>
      <c r="D171" s="109"/>
      <c r="E171" s="109"/>
      <c r="F171" s="109"/>
      <c r="G171" s="110"/>
      <c r="J171" s="87" t="s">
        <v>176</v>
      </c>
      <c r="K171" s="111"/>
      <c r="L171" s="109"/>
      <c r="M171" s="109"/>
      <c r="N171" s="109"/>
      <c r="O171" s="110"/>
      <c r="R171" s="87" t="s">
        <v>176</v>
      </c>
      <c r="S171" s="111"/>
      <c r="T171" s="109"/>
      <c r="U171" s="109"/>
      <c r="V171" s="109"/>
      <c r="W171" s="110"/>
      <c r="Z171" s="87" t="s">
        <v>176</v>
      </c>
      <c r="AA171" s="111"/>
      <c r="AB171" s="109"/>
      <c r="AC171" s="109"/>
      <c r="AD171" s="109"/>
      <c r="AE171" s="110"/>
      <c r="AH171" s="87" t="s">
        <v>176</v>
      </c>
      <c r="AI171" s="111"/>
      <c r="AJ171" s="109"/>
      <c r="AK171" s="109"/>
      <c r="AL171" s="109"/>
      <c r="AM171" s="110"/>
      <c r="AP171" s="87" t="s">
        <v>176</v>
      </c>
      <c r="AQ171" s="111"/>
      <c r="AR171" s="109"/>
      <c r="AS171" s="109"/>
      <c r="AT171" s="109"/>
      <c r="AU171" s="110"/>
      <c r="AX171" s="87" t="s">
        <v>176</v>
      </c>
      <c r="AY171" s="111"/>
      <c r="AZ171" s="109"/>
      <c r="BA171" s="109"/>
      <c r="BB171" s="109"/>
      <c r="BC171" s="110"/>
      <c r="BF171" s="87" t="s">
        <v>176</v>
      </c>
      <c r="BG171" s="111"/>
      <c r="BH171" s="109"/>
      <c r="BI171" s="109"/>
      <c r="BJ171" s="109"/>
      <c r="BK171" s="110"/>
      <c r="BN171" s="87" t="s">
        <v>176</v>
      </c>
      <c r="BO171" s="111"/>
      <c r="BP171" s="109"/>
      <c r="BQ171" s="109"/>
      <c r="BR171" s="109"/>
      <c r="BS171" s="110"/>
      <c r="BV171" s="87" t="s">
        <v>176</v>
      </c>
      <c r="BW171" s="111"/>
      <c r="BX171" s="109"/>
      <c r="BY171" s="109"/>
      <c r="BZ171" s="109"/>
      <c r="CA171" s="110"/>
      <c r="CD171" s="87" t="s">
        <v>176</v>
      </c>
      <c r="CE171" s="111"/>
      <c r="CF171" s="109"/>
      <c r="CG171" s="109"/>
      <c r="CH171" s="109"/>
      <c r="CI171" s="110"/>
      <c r="CL171" s="87" t="s">
        <v>176</v>
      </c>
      <c r="CM171" s="111"/>
      <c r="CN171" s="109"/>
      <c r="CO171" s="109"/>
      <c r="CP171" s="109"/>
      <c r="CQ171" s="110"/>
      <c r="CT171" s="87" t="s">
        <v>176</v>
      </c>
      <c r="CU171" s="111"/>
      <c r="CV171" s="109"/>
      <c r="CW171" s="109"/>
      <c r="CX171" s="109"/>
      <c r="CY171" s="110"/>
      <c r="DB171" s="87" t="s">
        <v>176</v>
      </c>
      <c r="DC171" s="111"/>
      <c r="DD171" s="109"/>
      <c r="DE171" s="109"/>
      <c r="DF171" s="109"/>
      <c r="DG171" s="110"/>
    </row>
    <row r="172" spans="2:111">
      <c r="B172" s="87" t="s">
        <v>172</v>
      </c>
      <c r="C172" s="111"/>
      <c r="D172" s="111"/>
      <c r="E172" s="109">
        <f ca="1">(E47*ci_int1)+(E47*ct_int1*'Time on treatment'!$D$12)</f>
        <v>4507466.0433299998</v>
      </c>
      <c r="F172" s="109">
        <f ca="1">(F47*ct_int1*'Time on treatment'!$E$12)</f>
        <v>4282092.7411634997</v>
      </c>
      <c r="G172" s="110">
        <f ca="1">(G47*ct_int1*'Time on treatment'!$F$12)</f>
        <v>0</v>
      </c>
      <c r="J172" s="87" t="s">
        <v>172</v>
      </c>
      <c r="K172" s="111"/>
      <c r="L172" s="111"/>
      <c r="M172" s="109">
        <f ca="1">(M47*ci_int2)+(M47*ct_int2*'Time on treatment'!$D$13)</f>
        <v>0</v>
      </c>
      <c r="N172" s="109">
        <f ca="1">(N47*ct_int2*'Time on treatment'!$E$13)</f>
        <v>0</v>
      </c>
      <c r="O172" s="110">
        <f ca="1">(O47*ct_int2*'Time on treatment'!$F$13)</f>
        <v>0</v>
      </c>
      <c r="R172" s="87" t="s">
        <v>172</v>
      </c>
      <c r="S172" s="111"/>
      <c r="T172" s="111"/>
      <c r="U172" s="109">
        <f ca="1">(U47*ci_int3)+(U47*ct_int3*'Time on treatment'!$D$14)</f>
        <v>0</v>
      </c>
      <c r="V172" s="109">
        <f ca="1">(V47*ct_int3*'Time on treatment'!$E$14)</f>
        <v>0</v>
      </c>
      <c r="W172" s="110">
        <f ca="1">(W47*ct_int3*'Time on treatment'!$F$14)</f>
        <v>0</v>
      </c>
      <c r="Z172" s="87" t="s">
        <v>172</v>
      </c>
      <c r="AA172" s="111"/>
      <c r="AB172" s="111"/>
      <c r="AC172" s="109">
        <f ca="1">(AC47*ci_int4)+(AC47*ct_int4*'Time on treatment'!$D$15)</f>
        <v>0</v>
      </c>
      <c r="AD172" s="109">
        <f ca="1">(AD47*ct_int4*'Time on treatment'!$E$15)</f>
        <v>0</v>
      </c>
      <c r="AE172" s="110">
        <f ca="1">(AE47*ct_int4*'Time on treatment'!$F$15)</f>
        <v>0</v>
      </c>
      <c r="AH172" s="87" t="s">
        <v>172</v>
      </c>
      <c r="AI172" s="111"/>
      <c r="AJ172" s="111"/>
      <c r="AK172" s="109">
        <f ca="1">(AK47*ci_comp1)+(AK47*ct_comp1*'Time on treatment'!$D$19)</f>
        <v>5548356.8129656501</v>
      </c>
      <c r="AL172" s="109">
        <f ca="1">(AL47*ct_comp1*'Time on treatment'!$E$19)</f>
        <v>5548356.8129656501</v>
      </c>
      <c r="AM172" s="110">
        <f ca="1">(AM47*ct_comp1*'Time on treatment'!$F$19)</f>
        <v>5548356.8129656501</v>
      </c>
      <c r="AP172" s="87" t="s">
        <v>172</v>
      </c>
      <c r="AQ172" s="111"/>
      <c r="AR172" s="111"/>
      <c r="AS172" s="109">
        <f ca="1">(AS47*ci_comp2)+(AS47*ct_comp2*'Time on treatment'!$D$20)</f>
        <v>0</v>
      </c>
      <c r="AT172" s="109">
        <f ca="1">(AT47*ct_comp2*'Time on treatment'!$E$20)</f>
        <v>0</v>
      </c>
      <c r="AU172" s="110">
        <f ca="1">(AU47*ct_comp2*'Time on treatment'!$F$20)</f>
        <v>0</v>
      </c>
      <c r="AX172" s="87" t="s">
        <v>172</v>
      </c>
      <c r="AY172" s="111"/>
      <c r="AZ172" s="111"/>
      <c r="BA172" s="109">
        <f ca="1">(BA47*ci_comp3)+(BA47*ct_comp3*'Time on treatment'!$D$21)</f>
        <v>0</v>
      </c>
      <c r="BB172" s="109">
        <f ca="1">(BB47*ct_comp3*'Time on treatment'!$E$21)</f>
        <v>0</v>
      </c>
      <c r="BC172" s="110">
        <f ca="1">(BC47*ct_comp3*'Time on treatment'!$F$21)</f>
        <v>0</v>
      </c>
      <c r="BF172" s="87" t="s">
        <v>172</v>
      </c>
      <c r="BG172" s="111"/>
      <c r="BH172" s="111"/>
      <c r="BI172" s="109">
        <f ca="1">(BI47*ci_comp4)+(BI47*ct_comp4*'Time on treatment'!$D$22)</f>
        <v>0</v>
      </c>
      <c r="BJ172" s="109">
        <f ca="1">(BJ47*ct_comp4*'Time on treatment'!$E$22)</f>
        <v>0</v>
      </c>
      <c r="BK172" s="110">
        <f ca="1">(BK47*ct_comp4*'Time on treatment'!$F$22)</f>
        <v>0</v>
      </c>
      <c r="BN172" s="87" t="s">
        <v>172</v>
      </c>
      <c r="BO172" s="111"/>
      <c r="BP172" s="111"/>
      <c r="BQ172" s="109">
        <f ca="1">(BQ47*ci_comp5)+(BQ47*ct_comp5*'Time on treatment'!$D$23)</f>
        <v>0</v>
      </c>
      <c r="BR172" s="109">
        <f ca="1">(BR47*ct_comp5*'Time on treatment'!$E$23)</f>
        <v>0</v>
      </c>
      <c r="BS172" s="110">
        <f ca="1">(BS47*ct_comp5*'Time on treatment'!$F$23)</f>
        <v>0</v>
      </c>
      <c r="BV172" s="87" t="s">
        <v>172</v>
      </c>
      <c r="BW172" s="111"/>
      <c r="BX172" s="111"/>
      <c r="BY172" s="109">
        <f ca="1">(BY47*ci_comp6)+(BY47*ct_comp6*'Time on treatment'!$D$24)</f>
        <v>0</v>
      </c>
      <c r="BZ172" s="109">
        <f ca="1">(BZ47*ct_comp6*'Time on treatment'!$E$24)</f>
        <v>0</v>
      </c>
      <c r="CA172" s="110">
        <f ca="1">(CA47*ct_comp6*'Time on treatment'!$F$24)</f>
        <v>0</v>
      </c>
      <c r="CD172" s="87" t="s">
        <v>172</v>
      </c>
      <c r="CE172" s="111"/>
      <c r="CF172" s="111"/>
      <c r="CG172" s="109">
        <f ca="1">(CG47*ci_comp7)+(CG47*ct_comp7*'Time on treatment'!$D$25)</f>
        <v>0</v>
      </c>
      <c r="CH172" s="109">
        <f ca="1">(CH47*ct_comp7*'Time on treatment'!$E$25)</f>
        <v>0</v>
      </c>
      <c r="CI172" s="110">
        <f ca="1">(CI47*ct_comp7*'Time on treatment'!$F$25)</f>
        <v>0</v>
      </c>
      <c r="CL172" s="87" t="s">
        <v>172</v>
      </c>
      <c r="CM172" s="111"/>
      <c r="CN172" s="111"/>
      <c r="CO172" s="109">
        <f ca="1">(CO47*ci_comp8)+(CO47*ct_comp8*'Time on treatment'!$D$26)</f>
        <v>0</v>
      </c>
      <c r="CP172" s="109">
        <f ca="1">(CP47*ct_comp8*'Time on treatment'!$E$26)</f>
        <v>0</v>
      </c>
      <c r="CQ172" s="110">
        <f ca="1">(CQ47*ct_comp8*'Time on treatment'!$F$26)</f>
        <v>0</v>
      </c>
      <c r="CT172" s="87" t="s">
        <v>172</v>
      </c>
      <c r="CU172" s="111"/>
      <c r="CV172" s="111"/>
      <c r="CW172" s="109">
        <f ca="1">(CW47*ci_comp9)+(CW47*ct_comp9*'Time on treatment'!$D$27)</f>
        <v>0</v>
      </c>
      <c r="CX172" s="109">
        <f ca="1">(CX47*ct_comp9*'Time on treatment'!$E$27)</f>
        <v>0</v>
      </c>
      <c r="CY172" s="110">
        <f ca="1">(CY47*ct_comp9*'Time on treatment'!$F$27)</f>
        <v>0</v>
      </c>
      <c r="DB172" s="87" t="s">
        <v>172</v>
      </c>
      <c r="DC172" s="111"/>
      <c r="DD172" s="111"/>
      <c r="DE172" s="109">
        <f ca="1">(DE47*ci_comp10)+(DE47*ct_comp10*'Time on treatment'!$D$28)</f>
        <v>0</v>
      </c>
      <c r="DF172" s="109">
        <f ca="1">(DF47*ct_comp10*'Time on treatment'!$E$28)</f>
        <v>0</v>
      </c>
      <c r="DG172" s="110">
        <f ca="1">(DG47*ct_comp10*'Time on treatment'!$F$28)</f>
        <v>0</v>
      </c>
    </row>
    <row r="173" spans="2:111">
      <c r="B173" s="87" t="s">
        <v>177</v>
      </c>
      <c r="C173" s="111"/>
      <c r="D173" s="111"/>
      <c r="E173" s="109"/>
      <c r="F173" s="109"/>
      <c r="G173" s="110"/>
      <c r="J173" s="87" t="s">
        <v>177</v>
      </c>
      <c r="K173" s="111"/>
      <c r="L173" s="111"/>
      <c r="M173" s="109"/>
      <c r="N173" s="109"/>
      <c r="O173" s="110"/>
      <c r="R173" s="87" t="s">
        <v>177</v>
      </c>
      <c r="S173" s="111"/>
      <c r="T173" s="111"/>
      <c r="U173" s="109"/>
      <c r="V173" s="109"/>
      <c r="W173" s="110"/>
      <c r="Z173" s="87" t="s">
        <v>177</v>
      </c>
      <c r="AA173" s="111"/>
      <c r="AB173" s="111"/>
      <c r="AC173" s="109"/>
      <c r="AD173" s="109"/>
      <c r="AE173" s="110"/>
      <c r="AH173" s="87" t="s">
        <v>177</v>
      </c>
      <c r="AI173" s="111"/>
      <c r="AJ173" s="111"/>
      <c r="AK173" s="109"/>
      <c r="AL173" s="109"/>
      <c r="AM173" s="110"/>
      <c r="AP173" s="87" t="s">
        <v>177</v>
      </c>
      <c r="AQ173" s="111"/>
      <c r="AR173" s="111"/>
      <c r="AS173" s="109"/>
      <c r="AT173" s="109"/>
      <c r="AU173" s="110"/>
      <c r="AX173" s="87" t="s">
        <v>177</v>
      </c>
      <c r="AY173" s="111"/>
      <c r="AZ173" s="111"/>
      <c r="BA173" s="109"/>
      <c r="BB173" s="109"/>
      <c r="BC173" s="110"/>
      <c r="BF173" s="87" t="s">
        <v>177</v>
      </c>
      <c r="BG173" s="111"/>
      <c r="BH173" s="111"/>
      <c r="BI173" s="109"/>
      <c r="BJ173" s="109"/>
      <c r="BK173" s="110"/>
      <c r="BN173" s="87" t="s">
        <v>177</v>
      </c>
      <c r="BO173" s="111"/>
      <c r="BP173" s="111"/>
      <c r="BQ173" s="109"/>
      <c r="BR173" s="109"/>
      <c r="BS173" s="110"/>
      <c r="BV173" s="87" t="s">
        <v>177</v>
      </c>
      <c r="BW173" s="111"/>
      <c r="BX173" s="111"/>
      <c r="BY173" s="109"/>
      <c r="BZ173" s="109"/>
      <c r="CA173" s="110"/>
      <c r="CD173" s="87" t="s">
        <v>177</v>
      </c>
      <c r="CE173" s="111"/>
      <c r="CF173" s="111"/>
      <c r="CG173" s="109"/>
      <c r="CH173" s="109"/>
      <c r="CI173" s="110"/>
      <c r="CL173" s="87" t="s">
        <v>177</v>
      </c>
      <c r="CM173" s="111"/>
      <c r="CN173" s="111"/>
      <c r="CO173" s="109"/>
      <c r="CP173" s="109"/>
      <c r="CQ173" s="110"/>
      <c r="CT173" s="87" t="s">
        <v>177</v>
      </c>
      <c r="CU173" s="111"/>
      <c r="CV173" s="111"/>
      <c r="CW173" s="109"/>
      <c r="CX173" s="109"/>
      <c r="CY173" s="110"/>
      <c r="DB173" s="87" t="s">
        <v>177</v>
      </c>
      <c r="DC173" s="111"/>
      <c r="DD173" s="111"/>
      <c r="DE173" s="109"/>
      <c r="DF173" s="109"/>
      <c r="DG173" s="110"/>
    </row>
    <row r="174" spans="2:111">
      <c r="B174" s="87" t="s">
        <v>173</v>
      </c>
      <c r="C174" s="111"/>
      <c r="D174" s="111"/>
      <c r="E174" s="111"/>
      <c r="F174" s="109">
        <f ca="1">(F49*ci_int1)+(F49*ct_int1*'Time on treatment'!$D$12)</f>
        <v>6055296.01884</v>
      </c>
      <c r="G174" s="110">
        <f ca="1">(G49*ct_int1*'Time on treatment'!$E$12)</f>
        <v>5752531.217898</v>
      </c>
      <c r="J174" s="87" t="s">
        <v>173</v>
      </c>
      <c r="K174" s="111"/>
      <c r="L174" s="111"/>
      <c r="M174" s="111"/>
      <c r="N174" s="109">
        <f ca="1">(N49*ci_int2)+(N49*ct_int2*'Time on treatment'!$D$13)</f>
        <v>0</v>
      </c>
      <c r="O174" s="110">
        <f ca="1">(O49*ct_int2*'Time on treatment'!$E$13)</f>
        <v>0</v>
      </c>
      <c r="R174" s="87" t="s">
        <v>173</v>
      </c>
      <c r="S174" s="111"/>
      <c r="T174" s="111"/>
      <c r="U174" s="111"/>
      <c r="V174" s="109">
        <f ca="1">(V49*ci_int3)+(V49*ct_int3*'Time on treatment'!$D$14)</f>
        <v>0</v>
      </c>
      <c r="W174" s="110">
        <f ca="1">(W49*ct_int3*'Time on treatment'!$E$14)</f>
        <v>0</v>
      </c>
      <c r="Z174" s="87" t="s">
        <v>173</v>
      </c>
      <c r="AA174" s="111"/>
      <c r="AB174" s="111"/>
      <c r="AC174" s="111"/>
      <c r="AD174" s="109">
        <f ca="1">(AD49*ci_int4)+(AD49*ct_int4*'Time on treatment'!$D$15)</f>
        <v>0</v>
      </c>
      <c r="AE174" s="110">
        <f ca="1">(AE49*ct_int4*'Time on treatment'!$E$15)</f>
        <v>0</v>
      </c>
      <c r="AH174" s="87" t="s">
        <v>173</v>
      </c>
      <c r="AI174" s="111"/>
      <c r="AJ174" s="111"/>
      <c r="AK174" s="111"/>
      <c r="AL174" s="109">
        <f ca="1">(AL49*ci_comp1)+(AL49*ct_comp1*'Time on treatment'!$D$19)</f>
        <v>5261379.4297032002</v>
      </c>
      <c r="AM174" s="110">
        <f ca="1">(AM49*ct_comp1*'Time on treatment'!$E$19)</f>
        <v>5261379.4297032002</v>
      </c>
      <c r="AP174" s="87" t="s">
        <v>173</v>
      </c>
      <c r="AQ174" s="111"/>
      <c r="AR174" s="111"/>
      <c r="AS174" s="111"/>
      <c r="AT174" s="109">
        <f ca="1">(AT49*ci_comp2)+(AT49*ct_comp2*'Time on treatment'!$D$20)</f>
        <v>0</v>
      </c>
      <c r="AU174" s="110">
        <f ca="1">(AU49*ct_comp2*'Time on treatment'!$E$20)</f>
        <v>0</v>
      </c>
      <c r="AX174" s="87" t="s">
        <v>173</v>
      </c>
      <c r="AY174" s="111"/>
      <c r="AZ174" s="111"/>
      <c r="BA174" s="111"/>
      <c r="BB174" s="109">
        <f ca="1">(BB49*ci_comp3)+(BB49*ct_comp3*'Time on treatment'!$D$21)</f>
        <v>0</v>
      </c>
      <c r="BC174" s="110">
        <f ca="1">(BC49*ct_comp3*'Time on treatment'!$E$21)</f>
        <v>0</v>
      </c>
      <c r="BF174" s="87" t="s">
        <v>173</v>
      </c>
      <c r="BG174" s="111"/>
      <c r="BH174" s="111"/>
      <c r="BI174" s="111"/>
      <c r="BJ174" s="109">
        <f ca="1">(BJ49*ci_comp4)+(BJ49*ct_comp4*'Time on treatment'!$D$22)</f>
        <v>0</v>
      </c>
      <c r="BK174" s="110">
        <f ca="1">(BK49*ct_comp4*'Time on treatment'!$E$22)</f>
        <v>0</v>
      </c>
      <c r="BN174" s="87" t="s">
        <v>173</v>
      </c>
      <c r="BO174" s="111"/>
      <c r="BP174" s="111"/>
      <c r="BQ174" s="111"/>
      <c r="BR174" s="109">
        <f ca="1">(BR49*ci_comp5)+(BR49*ct_comp5*'Time on treatment'!$D$23)</f>
        <v>0</v>
      </c>
      <c r="BS174" s="110">
        <f ca="1">(BS49*ct_comp5*'Time on treatment'!$E$23)</f>
        <v>0</v>
      </c>
      <c r="BV174" s="87" t="s">
        <v>173</v>
      </c>
      <c r="BW174" s="111"/>
      <c r="BX174" s="111"/>
      <c r="BY174" s="111"/>
      <c r="BZ174" s="109">
        <f ca="1">(BZ49*ci_comp6)+(BZ49*ct_comp6*'Time on treatment'!$D$24)</f>
        <v>0</v>
      </c>
      <c r="CA174" s="110">
        <f ca="1">(CA49*ct_comp6*'Time on treatment'!$E$24)</f>
        <v>0</v>
      </c>
      <c r="CD174" s="87" t="s">
        <v>173</v>
      </c>
      <c r="CE174" s="111"/>
      <c r="CF174" s="111"/>
      <c r="CG174" s="111"/>
      <c r="CH174" s="109">
        <f ca="1">(CH49*ci_comp7)+(CH49*ct_comp7*'Time on treatment'!$D$25)</f>
        <v>0</v>
      </c>
      <c r="CI174" s="110">
        <f ca="1">(CI49*ct_comp7*'Time on treatment'!$E$25)</f>
        <v>0</v>
      </c>
      <c r="CL174" s="87" t="s">
        <v>173</v>
      </c>
      <c r="CM174" s="111"/>
      <c r="CN174" s="111"/>
      <c r="CO174" s="111"/>
      <c r="CP174" s="109">
        <f ca="1">(CP49*ci_comp8)+(CP49*ct_comp8*'Time on treatment'!$D$26)</f>
        <v>0</v>
      </c>
      <c r="CQ174" s="110">
        <f ca="1">(CQ49*ct_comp8*'Time on treatment'!$E$26)</f>
        <v>0</v>
      </c>
      <c r="CT174" s="87" t="s">
        <v>173</v>
      </c>
      <c r="CU174" s="111"/>
      <c r="CV174" s="111"/>
      <c r="CW174" s="111"/>
      <c r="CX174" s="109">
        <f ca="1">(CX49*ci_comp9)+(CX49*ct_comp9*'Time on treatment'!$D$27)</f>
        <v>0</v>
      </c>
      <c r="CY174" s="110">
        <f ca="1">(CY49*ct_comp9*'Time on treatment'!$E$27)</f>
        <v>0</v>
      </c>
      <c r="DB174" s="87" t="s">
        <v>173</v>
      </c>
      <c r="DC174" s="111"/>
      <c r="DD174" s="111"/>
      <c r="DE174" s="111"/>
      <c r="DF174" s="109">
        <f ca="1">(DF49*ci_comp10)+(DF49*ct_comp10*'Time on treatment'!$D$28)</f>
        <v>0</v>
      </c>
      <c r="DG174" s="110">
        <f ca="1">(DG49*ct_comp10*'Time on treatment'!$E$28)</f>
        <v>0</v>
      </c>
    </row>
    <row r="175" spans="2:111">
      <c r="B175" s="87" t="s">
        <v>178</v>
      </c>
      <c r="C175" s="111"/>
      <c r="D175" s="111"/>
      <c r="E175" s="111"/>
      <c r="F175" s="109"/>
      <c r="G175" s="110"/>
      <c r="J175" s="87" t="s">
        <v>178</v>
      </c>
      <c r="K175" s="111"/>
      <c r="L175" s="111"/>
      <c r="M175" s="111"/>
      <c r="N175" s="109"/>
      <c r="O175" s="110"/>
      <c r="R175" s="87" t="s">
        <v>178</v>
      </c>
      <c r="S175" s="111"/>
      <c r="T175" s="111"/>
      <c r="U175" s="111"/>
      <c r="V175" s="109"/>
      <c r="W175" s="110"/>
      <c r="Z175" s="87" t="s">
        <v>178</v>
      </c>
      <c r="AA175" s="111"/>
      <c r="AB175" s="111"/>
      <c r="AC175" s="111"/>
      <c r="AD175" s="109"/>
      <c r="AE175" s="110"/>
      <c r="AH175" s="87" t="s">
        <v>178</v>
      </c>
      <c r="AI175" s="111"/>
      <c r="AJ175" s="111"/>
      <c r="AK175" s="111"/>
      <c r="AL175" s="109"/>
      <c r="AM175" s="110"/>
      <c r="AP175" s="87" t="s">
        <v>178</v>
      </c>
      <c r="AQ175" s="111"/>
      <c r="AR175" s="111"/>
      <c r="AS175" s="111"/>
      <c r="AT175" s="109"/>
      <c r="AU175" s="110"/>
      <c r="AX175" s="87" t="s">
        <v>178</v>
      </c>
      <c r="AY175" s="111"/>
      <c r="AZ175" s="111"/>
      <c r="BA175" s="111"/>
      <c r="BB175" s="109"/>
      <c r="BC175" s="110"/>
      <c r="BF175" s="87" t="s">
        <v>178</v>
      </c>
      <c r="BG175" s="111"/>
      <c r="BH175" s="111"/>
      <c r="BI175" s="111"/>
      <c r="BJ175" s="109"/>
      <c r="BK175" s="110"/>
      <c r="BN175" s="87" t="s">
        <v>178</v>
      </c>
      <c r="BO175" s="111"/>
      <c r="BP175" s="111"/>
      <c r="BQ175" s="111"/>
      <c r="BR175" s="109"/>
      <c r="BS175" s="110"/>
      <c r="BV175" s="87" t="s">
        <v>178</v>
      </c>
      <c r="BW175" s="111"/>
      <c r="BX175" s="111"/>
      <c r="BY175" s="111"/>
      <c r="BZ175" s="109"/>
      <c r="CA175" s="110"/>
      <c r="CD175" s="87" t="s">
        <v>178</v>
      </c>
      <c r="CE175" s="111"/>
      <c r="CF175" s="111"/>
      <c r="CG175" s="111"/>
      <c r="CH175" s="109"/>
      <c r="CI175" s="110"/>
      <c r="CL175" s="87" t="s">
        <v>178</v>
      </c>
      <c r="CM175" s="111"/>
      <c r="CN175" s="111"/>
      <c r="CO175" s="111"/>
      <c r="CP175" s="109"/>
      <c r="CQ175" s="110"/>
      <c r="CT175" s="87" t="s">
        <v>178</v>
      </c>
      <c r="CU175" s="111"/>
      <c r="CV175" s="111"/>
      <c r="CW175" s="111"/>
      <c r="CX175" s="109"/>
      <c r="CY175" s="110"/>
      <c r="DB175" s="87" t="s">
        <v>178</v>
      </c>
      <c r="DC175" s="111"/>
      <c r="DD175" s="111"/>
      <c r="DE175" s="111"/>
      <c r="DF175" s="109"/>
      <c r="DG175" s="110"/>
    </row>
    <row r="176" spans="2:111">
      <c r="B176" s="87" t="s">
        <v>174</v>
      </c>
      <c r="C176" s="111"/>
      <c r="D176" s="111"/>
      <c r="E176" s="111"/>
      <c r="F176" s="111"/>
      <c r="G176" s="110">
        <f ca="1">(G51*ci_int1)+(G51*ct_int1*'Time on treatment'!$D$12)</f>
        <v>7626888.2151000006</v>
      </c>
      <c r="J176" s="87" t="s">
        <v>174</v>
      </c>
      <c r="K176" s="111"/>
      <c r="L176" s="111"/>
      <c r="M176" s="111"/>
      <c r="N176" s="111"/>
      <c r="O176" s="110">
        <f ca="1">(O51*ci_int2)+(O51*ct_int2*'Time on treatment'!$D$13)</f>
        <v>0</v>
      </c>
      <c r="R176" s="87" t="s">
        <v>174</v>
      </c>
      <c r="S176" s="111"/>
      <c r="T176" s="111"/>
      <c r="U176" s="111"/>
      <c r="V176" s="111"/>
      <c r="W176" s="110">
        <f ca="1">(W51*ci_int3)+(W51*ct_int3*'Time on treatment'!$D$14)</f>
        <v>0</v>
      </c>
      <c r="Z176" s="87" t="s">
        <v>174</v>
      </c>
      <c r="AA176" s="111"/>
      <c r="AB176" s="111"/>
      <c r="AC176" s="111"/>
      <c r="AD176" s="111"/>
      <c r="AE176" s="110">
        <f ca="1">(AE51*ci_int4)+(AE51*ct_int4*'Time on treatment'!$D$15)</f>
        <v>0</v>
      </c>
      <c r="AH176" s="87" t="s">
        <v>174</v>
      </c>
      <c r="AI176" s="111"/>
      <c r="AJ176" s="111"/>
      <c r="AK176" s="111"/>
      <c r="AL176" s="111"/>
      <c r="AM176" s="110">
        <f ca="1">(AM51*ci_comp1)+(AM51*ct_comp1*'Time on treatment'!$D$19)</f>
        <v>4970188.8201735001</v>
      </c>
      <c r="AP176" s="87" t="s">
        <v>174</v>
      </c>
      <c r="AQ176" s="111"/>
      <c r="AR176" s="111"/>
      <c r="AS176" s="111"/>
      <c r="AT176" s="111"/>
      <c r="AU176" s="110">
        <f ca="1">(AU51*ci_comp2)+(AU51*ct_comp2*'Time on treatment'!$D$20)</f>
        <v>0</v>
      </c>
      <c r="AX176" s="87" t="s">
        <v>174</v>
      </c>
      <c r="AY176" s="111"/>
      <c r="AZ176" s="111"/>
      <c r="BA176" s="111"/>
      <c r="BB176" s="111"/>
      <c r="BC176" s="110">
        <f ca="1">(BC51*ci_comp3)+(BC51*ct_comp3*'Time on treatment'!$D$21)</f>
        <v>0</v>
      </c>
      <c r="BF176" s="87" t="s">
        <v>174</v>
      </c>
      <c r="BG176" s="111"/>
      <c r="BH176" s="111"/>
      <c r="BI176" s="111"/>
      <c r="BJ176" s="111"/>
      <c r="BK176" s="110">
        <f ca="1">(BK51*ci_comp4)+(BK51*ct_comp4*'Time on treatment'!$D$22)</f>
        <v>0</v>
      </c>
      <c r="BN176" s="87" t="s">
        <v>174</v>
      </c>
      <c r="BO176" s="111"/>
      <c r="BP176" s="111"/>
      <c r="BQ176" s="111"/>
      <c r="BR176" s="111"/>
      <c r="BS176" s="110">
        <f ca="1">(BS51*ci_comp5)+(BS51*ct_comp5*'Time on treatment'!$D$23)</f>
        <v>0</v>
      </c>
      <c r="BV176" s="87" t="s">
        <v>174</v>
      </c>
      <c r="BW176" s="111"/>
      <c r="BX176" s="111"/>
      <c r="BY176" s="111"/>
      <c r="BZ176" s="111"/>
      <c r="CA176" s="110">
        <f ca="1">(CA51*ci_comp6)+(CA51*ct_comp6*'Time on treatment'!$D$24)</f>
        <v>0</v>
      </c>
      <c r="CD176" s="87" t="s">
        <v>174</v>
      </c>
      <c r="CE176" s="111"/>
      <c r="CF176" s="111"/>
      <c r="CG176" s="111"/>
      <c r="CH176" s="111"/>
      <c r="CI176" s="110">
        <f ca="1">(CI51*ci_comp7)+(CI51*ct_comp7*'Time on treatment'!$D$25)</f>
        <v>0</v>
      </c>
      <c r="CL176" s="87" t="s">
        <v>174</v>
      </c>
      <c r="CM176" s="111"/>
      <c r="CN176" s="111"/>
      <c r="CO176" s="111"/>
      <c r="CP176" s="111"/>
      <c r="CQ176" s="110">
        <f ca="1">(CQ51*ci_comp8)+(CQ51*ct_comp8*'Time on treatment'!$D$26)</f>
        <v>0</v>
      </c>
      <c r="CT176" s="87" t="s">
        <v>174</v>
      </c>
      <c r="CU176" s="111"/>
      <c r="CV176" s="111"/>
      <c r="CW176" s="111"/>
      <c r="CX176" s="111"/>
      <c r="CY176" s="110">
        <f ca="1">(CY51*ci_comp9)+(CY51*ct_comp9*'Time on treatment'!$D$27)</f>
        <v>0</v>
      </c>
      <c r="DB176" s="87" t="s">
        <v>174</v>
      </c>
      <c r="DC176" s="111"/>
      <c r="DD176" s="111"/>
      <c r="DE176" s="111"/>
      <c r="DF176" s="111"/>
      <c r="DG176" s="110">
        <f ca="1">(DG51*ci_comp10)+(DG51*ct_comp10*'Time on treatment'!$D$28)</f>
        <v>0</v>
      </c>
    </row>
    <row r="177" spans="2:111" ht="15" thickBot="1">
      <c r="B177" s="87" t="s">
        <v>179</v>
      </c>
      <c r="C177" s="111"/>
      <c r="D177" s="111"/>
      <c r="E177" s="111"/>
      <c r="F177" s="111"/>
      <c r="G177" s="112"/>
      <c r="J177" s="87" t="s">
        <v>179</v>
      </c>
      <c r="K177" s="111"/>
      <c r="L177" s="111"/>
      <c r="M177" s="111"/>
      <c r="N177" s="111"/>
      <c r="O177" s="112"/>
      <c r="R177" s="87" t="s">
        <v>179</v>
      </c>
      <c r="S177" s="111"/>
      <c r="T177" s="111"/>
      <c r="U177" s="111"/>
      <c r="V177" s="111"/>
      <c r="W177" s="112"/>
      <c r="Z177" s="87" t="s">
        <v>179</v>
      </c>
      <c r="AA177" s="111"/>
      <c r="AB177" s="111"/>
      <c r="AC177" s="111"/>
      <c r="AD177" s="111"/>
      <c r="AE177" s="112"/>
      <c r="AH177" s="87" t="s">
        <v>179</v>
      </c>
      <c r="AI177" s="111"/>
      <c r="AJ177" s="111"/>
      <c r="AK177" s="111"/>
      <c r="AL177" s="111"/>
      <c r="AM177" s="112"/>
      <c r="AP177" s="87" t="s">
        <v>179</v>
      </c>
      <c r="AQ177" s="111"/>
      <c r="AR177" s="111"/>
      <c r="AS177" s="111"/>
      <c r="AT177" s="111"/>
      <c r="AU177" s="112"/>
      <c r="AX177" s="87" t="s">
        <v>179</v>
      </c>
      <c r="AY177" s="111"/>
      <c r="AZ177" s="111"/>
      <c r="BA177" s="111"/>
      <c r="BB177" s="111"/>
      <c r="BC177" s="112"/>
      <c r="BF177" s="87" t="s">
        <v>179</v>
      </c>
      <c r="BG177" s="111"/>
      <c r="BH177" s="111"/>
      <c r="BI177" s="111"/>
      <c r="BJ177" s="111"/>
      <c r="BK177" s="112"/>
      <c r="BN177" s="87" t="s">
        <v>179</v>
      </c>
      <c r="BO177" s="111"/>
      <c r="BP177" s="111"/>
      <c r="BQ177" s="111"/>
      <c r="BR177" s="111"/>
      <c r="BS177" s="112"/>
      <c r="BV177" s="87" t="s">
        <v>179</v>
      </c>
      <c r="BW177" s="111"/>
      <c r="BX177" s="111"/>
      <c r="BY177" s="111"/>
      <c r="BZ177" s="111"/>
      <c r="CA177" s="112"/>
      <c r="CD177" s="87" t="s">
        <v>179</v>
      </c>
      <c r="CE177" s="111"/>
      <c r="CF177" s="111"/>
      <c r="CG177" s="111"/>
      <c r="CH177" s="111"/>
      <c r="CI177" s="112"/>
      <c r="CL177" s="87" t="s">
        <v>179</v>
      </c>
      <c r="CM177" s="111"/>
      <c r="CN177" s="111"/>
      <c r="CO177" s="111"/>
      <c r="CP177" s="111"/>
      <c r="CQ177" s="112"/>
      <c r="CT177" s="87" t="s">
        <v>179</v>
      </c>
      <c r="CU177" s="111"/>
      <c r="CV177" s="111"/>
      <c r="CW177" s="111"/>
      <c r="CX177" s="111"/>
      <c r="CY177" s="112"/>
      <c r="DB177" s="87" t="s">
        <v>179</v>
      </c>
      <c r="DC177" s="111"/>
      <c r="DD177" s="111"/>
      <c r="DE177" s="111"/>
      <c r="DF177" s="111"/>
      <c r="DG177" s="112"/>
    </row>
    <row r="178" spans="2:111" ht="15" thickBot="1">
      <c r="B178" s="85" t="str">
        <f>B164</f>
        <v>Drug 1</v>
      </c>
      <c r="C178" s="113">
        <f ca="1">SUM(C168:C176)</f>
        <v>1479583.7492400003</v>
      </c>
      <c r="D178" s="113">
        <f ca="1">SUM(D168:D176)</f>
        <v>4388010.9132780004</v>
      </c>
      <c r="E178" s="113">
        <f ca="1">SUM(E168:E176)</f>
        <v>7340752.0772550004</v>
      </c>
      <c r="F178" s="113">
        <f ca="1">SUM(F168:F176)</f>
        <v>10337388.7600035</v>
      </c>
      <c r="G178" s="114">
        <f ca="1">SUM(G168:G176)</f>
        <v>13379419.432998002</v>
      </c>
      <c r="J178" s="85" t="str">
        <f>J164</f>
        <v>Drug 2</v>
      </c>
      <c r="K178" s="113">
        <f ca="1">SUM(K168:K176)</f>
        <v>0</v>
      </c>
      <c r="L178" s="113">
        <f ca="1">SUM(L168:L176)</f>
        <v>0</v>
      </c>
      <c r="M178" s="113">
        <f ca="1">SUM(M168:M176)</f>
        <v>0</v>
      </c>
      <c r="N178" s="113">
        <f ca="1">SUM(N168:N176)</f>
        <v>0</v>
      </c>
      <c r="O178" s="114">
        <f ca="1">SUM(O168:O176)</f>
        <v>0</v>
      </c>
      <c r="R178" s="85">
        <f>R164</f>
        <v>0</v>
      </c>
      <c r="S178" s="113">
        <f ca="1">SUM(S168:S176)</f>
        <v>0</v>
      </c>
      <c r="T178" s="113">
        <f ca="1">SUM(T168:T176)</f>
        <v>0</v>
      </c>
      <c r="U178" s="113">
        <f ca="1">SUM(U168:U176)</f>
        <v>0</v>
      </c>
      <c r="V178" s="113">
        <f ca="1">SUM(V168:V176)</f>
        <v>0</v>
      </c>
      <c r="W178" s="114">
        <f ca="1">SUM(W168:W176)</f>
        <v>0</v>
      </c>
      <c r="Z178" s="85">
        <f>Z164</f>
        <v>0</v>
      </c>
      <c r="AA178" s="113">
        <f ca="1">SUM(AA168:AA176)</f>
        <v>0</v>
      </c>
      <c r="AB178" s="113">
        <f ca="1">SUM(AB168:AB176)</f>
        <v>0</v>
      </c>
      <c r="AC178" s="113">
        <f ca="1">SUM(AC168:AC176)</f>
        <v>0</v>
      </c>
      <c r="AD178" s="113">
        <f ca="1">SUM(AD168:AD176)</f>
        <v>0</v>
      </c>
      <c r="AE178" s="114">
        <f ca="1">SUM(AE168:AE176)</f>
        <v>0</v>
      </c>
      <c r="AH178" s="85" t="str">
        <f>AH164</f>
        <v>BSC</v>
      </c>
      <c r="AI178" s="113">
        <f ca="1">SUM(AI168:AI176)</f>
        <v>6106570.9295022003</v>
      </c>
      <c r="AJ178" s="113">
        <f ca="1">SUM(AJ168:AJ176)</f>
        <v>11937175.346684702</v>
      </c>
      <c r="AK178" s="113">
        <f ca="1">SUM(AK168:AK176)</f>
        <v>17485532.159650352</v>
      </c>
      <c r="AL178" s="113">
        <f ca="1">SUM(AL168:AL176)</f>
        <v>22746911.589353554</v>
      </c>
      <c r="AM178" s="114">
        <f ca="1">SUM(AM168:AM176)</f>
        <v>27717100.409527056</v>
      </c>
      <c r="AP178" s="85">
        <f>AP164</f>
        <v>0</v>
      </c>
      <c r="AQ178" s="113">
        <f ca="1">SUM(AQ168:AQ176)</f>
        <v>0</v>
      </c>
      <c r="AR178" s="113">
        <f ca="1">SUM(AR168:AR176)</f>
        <v>0</v>
      </c>
      <c r="AS178" s="113">
        <f ca="1">SUM(AS168:AS176)</f>
        <v>0</v>
      </c>
      <c r="AT178" s="113">
        <f ca="1">SUM(AT168:AT176)</f>
        <v>0</v>
      </c>
      <c r="AU178" s="114">
        <f ca="1">SUM(AU168:AU176)</f>
        <v>0</v>
      </c>
      <c r="AX178" s="85">
        <f>AX164</f>
        <v>0</v>
      </c>
      <c r="AY178" s="113">
        <f ca="1">SUM(AY168:AY176)</f>
        <v>0</v>
      </c>
      <c r="AZ178" s="113">
        <f ca="1">SUM(AZ168:AZ176)</f>
        <v>0</v>
      </c>
      <c r="BA178" s="113">
        <f ca="1">SUM(BA168:BA176)</f>
        <v>0</v>
      </c>
      <c r="BB178" s="113">
        <f ca="1">SUM(BB168:BB176)</f>
        <v>0</v>
      </c>
      <c r="BC178" s="114">
        <f ca="1">SUM(BC168:BC176)</f>
        <v>0</v>
      </c>
      <c r="BF178" s="85">
        <f>BF164</f>
        <v>0</v>
      </c>
      <c r="BG178" s="113">
        <f ca="1">SUM(BG168:BG176)</f>
        <v>0</v>
      </c>
      <c r="BH178" s="113">
        <f ca="1">SUM(BH168:BH176)</f>
        <v>0</v>
      </c>
      <c r="BI178" s="113">
        <f ca="1">SUM(BI168:BI176)</f>
        <v>0</v>
      </c>
      <c r="BJ178" s="113">
        <f ca="1">SUM(BJ168:BJ176)</f>
        <v>0</v>
      </c>
      <c r="BK178" s="114">
        <f ca="1">SUM(BK168:BK176)</f>
        <v>0</v>
      </c>
      <c r="BN178" s="85">
        <f>BN164</f>
        <v>0</v>
      </c>
      <c r="BO178" s="113">
        <f ca="1">SUM(BO168:BO176)</f>
        <v>0</v>
      </c>
      <c r="BP178" s="113">
        <f ca="1">SUM(BP168:BP176)</f>
        <v>0</v>
      </c>
      <c r="BQ178" s="113">
        <f ca="1">SUM(BQ168:BQ176)</f>
        <v>0</v>
      </c>
      <c r="BR178" s="113">
        <f ca="1">SUM(BR168:BR176)</f>
        <v>0</v>
      </c>
      <c r="BS178" s="114">
        <f ca="1">SUM(BS168:BS176)</f>
        <v>0</v>
      </c>
      <c r="BV178" s="85">
        <f>BV164</f>
        <v>0</v>
      </c>
      <c r="BW178" s="113">
        <f ca="1">SUM(BW168:BW176)</f>
        <v>0</v>
      </c>
      <c r="BX178" s="113">
        <f ca="1">SUM(BX168:BX176)</f>
        <v>0</v>
      </c>
      <c r="BY178" s="113">
        <f ca="1">SUM(BY168:BY176)</f>
        <v>0</v>
      </c>
      <c r="BZ178" s="113">
        <f ca="1">SUM(BZ168:BZ176)</f>
        <v>0</v>
      </c>
      <c r="CA178" s="114">
        <f ca="1">SUM(CA168:CA176)</f>
        <v>0</v>
      </c>
      <c r="CD178" s="85">
        <f>CD164</f>
        <v>0</v>
      </c>
      <c r="CE178" s="113">
        <f ca="1">SUM(CE168:CE176)</f>
        <v>0</v>
      </c>
      <c r="CF178" s="113">
        <f ca="1">SUM(CF168:CF176)</f>
        <v>0</v>
      </c>
      <c r="CG178" s="113">
        <f ca="1">SUM(CG168:CG176)</f>
        <v>0</v>
      </c>
      <c r="CH178" s="113">
        <f ca="1">SUM(CH168:CH176)</f>
        <v>0</v>
      </c>
      <c r="CI178" s="114">
        <f ca="1">SUM(CI168:CI176)</f>
        <v>0</v>
      </c>
      <c r="CL178" s="85">
        <f>CL164</f>
        <v>0</v>
      </c>
      <c r="CM178" s="113">
        <f ca="1">SUM(CM168:CM176)</f>
        <v>0</v>
      </c>
      <c r="CN178" s="113">
        <f ca="1">SUM(CN168:CN176)</f>
        <v>0</v>
      </c>
      <c r="CO178" s="113">
        <f ca="1">SUM(CO168:CO176)</f>
        <v>0</v>
      </c>
      <c r="CP178" s="113">
        <f ca="1">SUM(CP168:CP176)</f>
        <v>0</v>
      </c>
      <c r="CQ178" s="114">
        <f ca="1">SUM(CQ168:CQ176)</f>
        <v>0</v>
      </c>
      <c r="CT178" s="85">
        <f>CT164</f>
        <v>0</v>
      </c>
      <c r="CU178" s="113">
        <f ca="1">SUM(CU168:CU176)</f>
        <v>0</v>
      </c>
      <c r="CV178" s="113">
        <f ca="1">SUM(CV168:CV176)</f>
        <v>0</v>
      </c>
      <c r="CW178" s="113">
        <f ca="1">SUM(CW168:CW176)</f>
        <v>0</v>
      </c>
      <c r="CX178" s="113">
        <f ca="1">SUM(CX168:CX176)</f>
        <v>0</v>
      </c>
      <c r="CY178" s="114">
        <f ca="1">SUM(CY168:CY176)</f>
        <v>0</v>
      </c>
      <c r="DB178" s="85">
        <f>DB164</f>
        <v>0</v>
      </c>
      <c r="DC178" s="113">
        <f ca="1">SUM(DC168:DC176)</f>
        <v>0</v>
      </c>
      <c r="DD178" s="113">
        <f ca="1">SUM(DD168:DD176)</f>
        <v>0</v>
      </c>
      <c r="DE178" s="113">
        <f ca="1">SUM(DE168:DE176)</f>
        <v>0</v>
      </c>
      <c r="DF178" s="113">
        <f ca="1">SUM(DF168:DF176)</f>
        <v>0</v>
      </c>
      <c r="DG178" s="114">
        <f ca="1">SUM(DG168:DG176)</f>
        <v>0</v>
      </c>
    </row>
    <row r="179" spans="2:111" ht="15" thickBot="1">
      <c r="B179" s="83"/>
      <c r="C179" s="86"/>
      <c r="D179" s="86"/>
      <c r="E179" s="86"/>
      <c r="F179" s="86"/>
      <c r="G179" s="86"/>
      <c r="J179" s="83"/>
      <c r="K179" s="86"/>
      <c r="L179" s="86"/>
      <c r="M179" s="86"/>
      <c r="N179" s="86"/>
      <c r="O179" s="86"/>
      <c r="R179" s="83"/>
      <c r="S179" s="86"/>
      <c r="T179" s="86"/>
      <c r="U179" s="86"/>
      <c r="V179" s="86"/>
      <c r="W179" s="86"/>
      <c r="Z179" s="83"/>
      <c r="AA179" s="86"/>
      <c r="AB179" s="86"/>
      <c r="AC179" s="86"/>
      <c r="AD179" s="86"/>
      <c r="AE179" s="86"/>
      <c r="AH179" s="83"/>
      <c r="AI179" s="86"/>
      <c r="AJ179" s="86"/>
      <c r="AK179" s="86"/>
      <c r="AL179" s="86"/>
      <c r="AM179" s="86"/>
      <c r="AP179" s="83"/>
      <c r="AQ179" s="86"/>
      <c r="AR179" s="86"/>
      <c r="AS179" s="86"/>
      <c r="AT179" s="86"/>
      <c r="AU179" s="86"/>
      <c r="AX179" s="83"/>
      <c r="AY179" s="86"/>
      <c r="AZ179" s="86"/>
      <c r="BA179" s="86"/>
      <c r="BB179" s="86"/>
      <c r="BC179" s="86"/>
      <c r="BF179" s="83"/>
      <c r="BG179" s="86"/>
      <c r="BH179" s="86"/>
      <c r="BI179" s="86"/>
      <c r="BJ179" s="86"/>
      <c r="BK179" s="86"/>
      <c r="BN179" s="83"/>
      <c r="BO179" s="86"/>
      <c r="BP179" s="86"/>
      <c r="BQ179" s="86"/>
      <c r="BR179" s="86"/>
      <c r="BS179" s="86"/>
      <c r="BV179" s="83"/>
      <c r="BW179" s="86"/>
      <c r="BX179" s="86"/>
      <c r="BY179" s="86"/>
      <c r="BZ179" s="86"/>
      <c r="CA179" s="86"/>
      <c r="CD179" s="83"/>
      <c r="CE179" s="86"/>
      <c r="CF179" s="86"/>
      <c r="CG179" s="86"/>
      <c r="CH179" s="86"/>
      <c r="CI179" s="86"/>
      <c r="CL179" s="83"/>
      <c r="CM179" s="86"/>
      <c r="CN179" s="86"/>
      <c r="CO179" s="86"/>
      <c r="CP179" s="86"/>
      <c r="CQ179" s="86"/>
      <c r="CT179" s="83"/>
      <c r="CU179" s="86"/>
      <c r="CV179" s="86"/>
      <c r="CW179" s="86"/>
      <c r="CX179" s="86"/>
      <c r="CY179" s="86"/>
      <c r="DB179" s="83"/>
      <c r="DC179" s="86"/>
      <c r="DD179" s="86"/>
      <c r="DE179" s="86"/>
      <c r="DF179" s="86"/>
      <c r="DG179" s="86"/>
    </row>
    <row r="180" spans="2:111" ht="15" thickBot="1">
      <c r="B180" s="508" t="str">
        <f>B119</f>
        <v>Drug 2 only</v>
      </c>
      <c r="C180" s="506"/>
      <c r="D180" s="506"/>
      <c r="E180" s="506"/>
      <c r="F180" s="506"/>
      <c r="G180" s="507"/>
      <c r="J180" s="508" t="str">
        <f>J119</f>
        <v>Drug 2 only</v>
      </c>
      <c r="K180" s="506"/>
      <c r="L180" s="506"/>
      <c r="M180" s="506"/>
      <c r="N180" s="506"/>
      <c r="O180" s="507"/>
      <c r="R180" s="508" t="str">
        <f>R119</f>
        <v>Drug 2 only</v>
      </c>
      <c r="S180" s="506"/>
      <c r="T180" s="506"/>
      <c r="U180" s="506"/>
      <c r="V180" s="506"/>
      <c r="W180" s="507"/>
      <c r="Z180" s="508" t="str">
        <f>Z119</f>
        <v>Drug 2 only</v>
      </c>
      <c r="AA180" s="506"/>
      <c r="AB180" s="506"/>
      <c r="AC180" s="506"/>
      <c r="AD180" s="506"/>
      <c r="AE180" s="507"/>
      <c r="AH180" s="508" t="str">
        <f>AH119</f>
        <v>Drug 2 only</v>
      </c>
      <c r="AI180" s="506"/>
      <c r="AJ180" s="506"/>
      <c r="AK180" s="506"/>
      <c r="AL180" s="506"/>
      <c r="AM180" s="507"/>
      <c r="AP180" s="508" t="str">
        <f>AP119</f>
        <v>Drug 2 only</v>
      </c>
      <c r="AQ180" s="506"/>
      <c r="AR180" s="506"/>
      <c r="AS180" s="506"/>
      <c r="AT180" s="506"/>
      <c r="AU180" s="507"/>
      <c r="AX180" s="508" t="str">
        <f>AX119</f>
        <v>Drug 2 only</v>
      </c>
      <c r="AY180" s="506"/>
      <c r="AZ180" s="506"/>
      <c r="BA180" s="506"/>
      <c r="BB180" s="506"/>
      <c r="BC180" s="507"/>
      <c r="BF180" s="508" t="str">
        <f>BF119</f>
        <v>Drug 2 only</v>
      </c>
      <c r="BG180" s="506"/>
      <c r="BH180" s="506"/>
      <c r="BI180" s="506"/>
      <c r="BJ180" s="506"/>
      <c r="BK180" s="507"/>
      <c r="BN180" s="508" t="str">
        <f>BN119</f>
        <v>Drug 2 only</v>
      </c>
      <c r="BO180" s="506"/>
      <c r="BP180" s="506"/>
      <c r="BQ180" s="506"/>
      <c r="BR180" s="506"/>
      <c r="BS180" s="507"/>
      <c r="BV180" s="508" t="str">
        <f>BV119</f>
        <v>Drug 2 only</v>
      </c>
      <c r="BW180" s="506"/>
      <c r="BX180" s="506"/>
      <c r="BY180" s="506"/>
      <c r="BZ180" s="506"/>
      <c r="CA180" s="507"/>
      <c r="CD180" s="508" t="str">
        <f>CD119</f>
        <v>Drug 2 only</v>
      </c>
      <c r="CE180" s="506"/>
      <c r="CF180" s="506"/>
      <c r="CG180" s="506"/>
      <c r="CH180" s="506"/>
      <c r="CI180" s="507"/>
      <c r="CL180" s="508" t="str">
        <f>CL119</f>
        <v>Drug 2 only</v>
      </c>
      <c r="CM180" s="506"/>
      <c r="CN180" s="506"/>
      <c r="CO180" s="506"/>
      <c r="CP180" s="506"/>
      <c r="CQ180" s="507"/>
      <c r="CT180" s="508" t="str">
        <f>CT119</f>
        <v>Drug 2 only</v>
      </c>
      <c r="CU180" s="506"/>
      <c r="CV180" s="506"/>
      <c r="CW180" s="506"/>
      <c r="CX180" s="506"/>
      <c r="CY180" s="507"/>
      <c r="DB180" s="508" t="str">
        <f>DB119</f>
        <v>Drug 2 only</v>
      </c>
      <c r="DC180" s="506"/>
      <c r="DD180" s="506"/>
      <c r="DE180" s="506"/>
      <c r="DF180" s="506"/>
      <c r="DG180" s="507"/>
    </row>
    <row r="181" spans="2:111">
      <c r="B181" s="84"/>
      <c r="C181" s="101">
        <f>C120</f>
        <v>2026</v>
      </c>
      <c r="D181" s="101">
        <f t="shared" ref="D181:F181" si="356">D120</f>
        <v>2027</v>
      </c>
      <c r="E181" s="101">
        <f t="shared" si="356"/>
        <v>2028</v>
      </c>
      <c r="F181" s="101">
        <f t="shared" si="356"/>
        <v>2029</v>
      </c>
      <c r="G181" s="102">
        <f>G120</f>
        <v>2030</v>
      </c>
      <c r="J181" s="84"/>
      <c r="K181" s="101">
        <f>K120</f>
        <v>2026</v>
      </c>
      <c r="L181" s="101">
        <f t="shared" ref="L181:N181" si="357">L120</f>
        <v>2027</v>
      </c>
      <c r="M181" s="101">
        <f t="shared" si="357"/>
        <v>2028</v>
      </c>
      <c r="N181" s="101">
        <f t="shared" si="357"/>
        <v>2029</v>
      </c>
      <c r="O181" s="102">
        <f>O120</f>
        <v>2030</v>
      </c>
      <c r="R181" s="84"/>
      <c r="S181" s="101">
        <f>S120</f>
        <v>2026</v>
      </c>
      <c r="T181" s="101">
        <f t="shared" ref="T181:V181" si="358">T120</f>
        <v>2027</v>
      </c>
      <c r="U181" s="101">
        <f t="shared" si="358"/>
        <v>2028</v>
      </c>
      <c r="V181" s="101">
        <f t="shared" si="358"/>
        <v>2029</v>
      </c>
      <c r="W181" s="102">
        <f>W120</f>
        <v>2030</v>
      </c>
      <c r="Z181" s="84"/>
      <c r="AA181" s="101">
        <f>AA120</f>
        <v>2026</v>
      </c>
      <c r="AB181" s="101">
        <f t="shared" ref="AB181:AD181" si="359">AB120</f>
        <v>2027</v>
      </c>
      <c r="AC181" s="101">
        <f t="shared" si="359"/>
        <v>2028</v>
      </c>
      <c r="AD181" s="101">
        <f t="shared" si="359"/>
        <v>2029</v>
      </c>
      <c r="AE181" s="102">
        <f>AE120</f>
        <v>2030</v>
      </c>
      <c r="AH181" s="84"/>
      <c r="AI181" s="101">
        <f>AI120</f>
        <v>2026</v>
      </c>
      <c r="AJ181" s="101">
        <f t="shared" ref="AJ181:AL181" si="360">AJ120</f>
        <v>2027</v>
      </c>
      <c r="AK181" s="101">
        <f t="shared" si="360"/>
        <v>2028</v>
      </c>
      <c r="AL181" s="101">
        <f t="shared" si="360"/>
        <v>2029</v>
      </c>
      <c r="AM181" s="102">
        <f>AM120</f>
        <v>2030</v>
      </c>
      <c r="AP181" s="84"/>
      <c r="AQ181" s="101">
        <f>AQ120</f>
        <v>2026</v>
      </c>
      <c r="AR181" s="101">
        <f t="shared" ref="AR181:AT181" si="361">AR120</f>
        <v>2027</v>
      </c>
      <c r="AS181" s="101">
        <f t="shared" si="361"/>
        <v>2028</v>
      </c>
      <c r="AT181" s="101">
        <f t="shared" si="361"/>
        <v>2029</v>
      </c>
      <c r="AU181" s="102">
        <f>AU120</f>
        <v>2030</v>
      </c>
      <c r="AX181" s="84"/>
      <c r="AY181" s="101">
        <f>AY120</f>
        <v>2026</v>
      </c>
      <c r="AZ181" s="101">
        <f t="shared" ref="AZ181:BB181" si="362">AZ120</f>
        <v>2027</v>
      </c>
      <c r="BA181" s="101">
        <f t="shared" si="362"/>
        <v>2028</v>
      </c>
      <c r="BB181" s="101">
        <f t="shared" si="362"/>
        <v>2029</v>
      </c>
      <c r="BC181" s="102">
        <f>BC120</f>
        <v>2030</v>
      </c>
      <c r="BF181" s="84"/>
      <c r="BG181" s="101">
        <f>BG120</f>
        <v>2026</v>
      </c>
      <c r="BH181" s="101">
        <f t="shared" ref="BH181:BJ181" si="363">BH120</f>
        <v>2027</v>
      </c>
      <c r="BI181" s="101">
        <f t="shared" si="363"/>
        <v>2028</v>
      </c>
      <c r="BJ181" s="101">
        <f t="shared" si="363"/>
        <v>2029</v>
      </c>
      <c r="BK181" s="102">
        <f>BK120</f>
        <v>2030</v>
      </c>
      <c r="BN181" s="84"/>
      <c r="BO181" s="101">
        <f>BO120</f>
        <v>2026</v>
      </c>
      <c r="BP181" s="101">
        <f t="shared" ref="BP181:BR181" si="364">BP120</f>
        <v>2027</v>
      </c>
      <c r="BQ181" s="101">
        <f t="shared" si="364"/>
        <v>2028</v>
      </c>
      <c r="BR181" s="101">
        <f t="shared" si="364"/>
        <v>2029</v>
      </c>
      <c r="BS181" s="102">
        <f>BS120</f>
        <v>2030</v>
      </c>
      <c r="BV181" s="84"/>
      <c r="BW181" s="101">
        <f>BW120</f>
        <v>2026</v>
      </c>
      <c r="BX181" s="101">
        <f t="shared" ref="BX181:BZ181" si="365">BX120</f>
        <v>2027</v>
      </c>
      <c r="BY181" s="101">
        <f t="shared" si="365"/>
        <v>2028</v>
      </c>
      <c r="BZ181" s="101">
        <f t="shared" si="365"/>
        <v>2029</v>
      </c>
      <c r="CA181" s="102">
        <f>CA120</f>
        <v>2030</v>
      </c>
      <c r="CD181" s="84"/>
      <c r="CE181" s="101">
        <f>CE120</f>
        <v>2026</v>
      </c>
      <c r="CF181" s="101">
        <f t="shared" ref="CF181:CH181" si="366">CF120</f>
        <v>2027</v>
      </c>
      <c r="CG181" s="101">
        <f t="shared" si="366"/>
        <v>2028</v>
      </c>
      <c r="CH181" s="101">
        <f t="shared" si="366"/>
        <v>2029</v>
      </c>
      <c r="CI181" s="102">
        <f>CI120</f>
        <v>2030</v>
      </c>
      <c r="CL181" s="84"/>
      <c r="CM181" s="101">
        <f>CM120</f>
        <v>2026</v>
      </c>
      <c r="CN181" s="101">
        <f t="shared" ref="CN181:CP181" si="367">CN120</f>
        <v>2027</v>
      </c>
      <c r="CO181" s="101">
        <f t="shared" si="367"/>
        <v>2028</v>
      </c>
      <c r="CP181" s="101">
        <f t="shared" si="367"/>
        <v>2029</v>
      </c>
      <c r="CQ181" s="102">
        <f>CQ120</f>
        <v>2030</v>
      </c>
      <c r="CT181" s="84"/>
      <c r="CU181" s="101">
        <f>CU120</f>
        <v>2026</v>
      </c>
      <c r="CV181" s="101">
        <f t="shared" ref="CV181:CX181" si="368">CV120</f>
        <v>2027</v>
      </c>
      <c r="CW181" s="101">
        <f t="shared" si="368"/>
        <v>2028</v>
      </c>
      <c r="CX181" s="101">
        <f t="shared" si="368"/>
        <v>2029</v>
      </c>
      <c r="CY181" s="102">
        <f>CY120</f>
        <v>2030</v>
      </c>
      <c r="DB181" s="84"/>
      <c r="DC181" s="101">
        <f>DC120</f>
        <v>2026</v>
      </c>
      <c r="DD181" s="101">
        <f t="shared" ref="DD181:DF181" si="369">DD120</f>
        <v>2027</v>
      </c>
      <c r="DE181" s="101">
        <f t="shared" si="369"/>
        <v>2028</v>
      </c>
      <c r="DF181" s="101">
        <f t="shared" si="369"/>
        <v>2029</v>
      </c>
      <c r="DG181" s="102">
        <f>DG120</f>
        <v>2030</v>
      </c>
    </row>
    <row r="182" spans="2:111">
      <c r="B182" s="87" t="s">
        <v>170</v>
      </c>
      <c r="C182" s="109">
        <f ca="1">(C58*ci_int1)+(C58*ct_int1*'Time on treatment'!$D$12)</f>
        <v>0</v>
      </c>
      <c r="D182" s="109">
        <f ca="1">(D58*ct_int1*'Time on treatment'!$E$12)</f>
        <v>0</v>
      </c>
      <c r="E182" s="109">
        <f ca="1">(E58*ct_int1*'Time on treatment'!$F$12)</f>
        <v>0</v>
      </c>
      <c r="F182" s="109">
        <f ca="1">(F58*ct_int1*'Time on treatment'!$G$12)</f>
        <v>0</v>
      </c>
      <c r="G182" s="110">
        <f ca="1">(G58*ct_int1*'Time on treatment'!$H$12)</f>
        <v>0</v>
      </c>
      <c r="J182" s="87" t="s">
        <v>170</v>
      </c>
      <c r="K182" s="109">
        <f ca="1">(K58*ci_int2)+(K58*ct_int2*'Time on treatment'!$D$13)</f>
        <v>418749.60073398007</v>
      </c>
      <c r="L182" s="109">
        <f ca="1">(L58*ct_int2*'Time on treatment'!$E$13)</f>
        <v>407689.43821142043</v>
      </c>
      <c r="M182" s="109">
        <f ca="1">(M58*ct_int2*'Time on treatment'!$F$13)</f>
        <v>399369.24559486087</v>
      </c>
      <c r="N182" s="109">
        <f ca="1">(N58*ct_int2*'Time on treatment'!$G$13)</f>
        <v>382728.86036174168</v>
      </c>
      <c r="O182" s="110">
        <f ca="1">(O58*ct_int2*'Time on treatment'!$H$13)</f>
        <v>374408.667745182</v>
      </c>
      <c r="R182" s="87" t="s">
        <v>170</v>
      </c>
      <c r="S182" s="109">
        <f ca="1">(S58*ci_int3)+(S58*ct_int3*'Time on treatment'!$D$14)</f>
        <v>0</v>
      </c>
      <c r="T182" s="109">
        <f ca="1">(T58*ct_int3*'Time on treatment'!$E$14)</f>
        <v>0</v>
      </c>
      <c r="U182" s="109">
        <f ca="1">(U58*ct_int3*'Time on treatment'!$F$14)</f>
        <v>0</v>
      </c>
      <c r="V182" s="109">
        <f ca="1">(V58*ct_int3*'Time on treatment'!$G$14)</f>
        <v>0</v>
      </c>
      <c r="W182" s="110">
        <f ca="1">(W58*ct_int3*'Time on treatment'!$H$14)</f>
        <v>0</v>
      </c>
      <c r="Z182" s="87" t="s">
        <v>170</v>
      </c>
      <c r="AA182" s="109">
        <f ca="1">(AA58*ci_int4)+(AA58*ct_int4*'Time on treatment'!$D$15)</f>
        <v>0</v>
      </c>
      <c r="AB182" s="109">
        <f ca="1">(AB58*ct_int4*'Time on treatment'!$E$15)</f>
        <v>0</v>
      </c>
      <c r="AC182" s="109">
        <f ca="1">(AC58*ct_int4*'Time on treatment'!$F$15)</f>
        <v>0</v>
      </c>
      <c r="AD182" s="109">
        <f ca="1">(AD58*ct_int4*'Time on treatment'!$G$15)</f>
        <v>0</v>
      </c>
      <c r="AE182" s="110">
        <f ca="1">(AE58*ct_int4*'Time on treatment'!$H$15)</f>
        <v>0</v>
      </c>
      <c r="AH182" s="87" t="s">
        <v>170</v>
      </c>
      <c r="AI182" s="109">
        <f ca="1">(AI58*ci_comp1)+(AI58*ct_comp1*'Time on treatment'!$D$19)</f>
        <v>6299410.01148648</v>
      </c>
      <c r="AJ182" s="109">
        <f ca="1">(AJ58*ct_comp1*'Time on treatment'!$E$19)</f>
        <v>6299410.01148648</v>
      </c>
      <c r="AK182" s="109">
        <f ca="1">(AK58*ct_comp1*'Time on treatment'!$F$19)</f>
        <v>6299410.01148648</v>
      </c>
      <c r="AL182" s="109">
        <f ca="1">(AL58*ct_comp1*'Time on treatment'!$G$19)</f>
        <v>6299410.01148648</v>
      </c>
      <c r="AM182" s="110">
        <f ca="1">(AM58*ct_comp1*'Time on treatment'!$H$19)</f>
        <v>6299410.01148648</v>
      </c>
      <c r="AP182" s="87" t="s">
        <v>170</v>
      </c>
      <c r="AQ182" s="109">
        <f ca="1">(AQ58*ci_comp2)+(AQ58*ct_comp2*'Time on treatment'!$D$20)</f>
        <v>0</v>
      </c>
      <c r="AR182" s="109">
        <f ca="1">(AR58*ct_comp2*'Time on treatment'!$E$20)</f>
        <v>0</v>
      </c>
      <c r="AS182" s="109">
        <f ca="1">(AS58*ct_comp2*'Time on treatment'!$F$20)</f>
        <v>0</v>
      </c>
      <c r="AT182" s="109">
        <f ca="1">(AT58*ct_comp2*'Time on treatment'!$G$20)</f>
        <v>0</v>
      </c>
      <c r="AU182" s="110">
        <f ca="1">(AU58*ct_comp2*'Time on treatment'!$H$20)</f>
        <v>0</v>
      </c>
      <c r="AX182" s="87" t="s">
        <v>170</v>
      </c>
      <c r="AY182" s="109">
        <f ca="1">(AY58*ci_comp3)+(AY58*ct_comp3*'Time on treatment'!$D$21)</f>
        <v>0</v>
      </c>
      <c r="AZ182" s="109">
        <f ca="1">(AZ58*ct_comp3*'Time on treatment'!$E$21)</f>
        <v>0</v>
      </c>
      <c r="BA182" s="109">
        <f ca="1">(BA58*ct_comp3*'Time on treatment'!$F$21)</f>
        <v>0</v>
      </c>
      <c r="BB182" s="109">
        <f ca="1">(BB58*ct_comp3*'Time on treatment'!$G$21)</f>
        <v>0</v>
      </c>
      <c r="BC182" s="110">
        <f ca="1">(BC58*ct_comp3*'Time on treatment'!$H$21)</f>
        <v>0</v>
      </c>
      <c r="BF182" s="87" t="s">
        <v>170</v>
      </c>
      <c r="BG182" s="109">
        <f ca="1">(BG58*ci_comp4)+(BG58*ct_comp4*'Time on treatment'!$D$22)</f>
        <v>0</v>
      </c>
      <c r="BH182" s="109">
        <f ca="1">(BH58*ct_comp4*'Time on treatment'!$E$22)</f>
        <v>0</v>
      </c>
      <c r="BI182" s="109">
        <f ca="1">(BI58*ct_comp4*'Time on treatment'!$F$22)</f>
        <v>0</v>
      </c>
      <c r="BJ182" s="109">
        <f ca="1">(BJ58*ct_comp4*'Time on treatment'!$G$22)</f>
        <v>0</v>
      </c>
      <c r="BK182" s="110">
        <f ca="1">(BK58*ct_comp4*'Time on treatment'!$H$22)</f>
        <v>0</v>
      </c>
      <c r="BN182" s="87" t="s">
        <v>170</v>
      </c>
      <c r="BO182" s="109">
        <f ca="1">(BO58*ci_comp5)+(BO58*ct_comp5*'Time on treatment'!$D$23)</f>
        <v>0</v>
      </c>
      <c r="BP182" s="109">
        <f ca="1">(BP58*ct_comp5*'Time on treatment'!$E$23)</f>
        <v>0</v>
      </c>
      <c r="BQ182" s="109">
        <f ca="1">(BQ58*ct_comp5*'Time on treatment'!$F$23)</f>
        <v>0</v>
      </c>
      <c r="BR182" s="109">
        <f ca="1">(BR58*ct_comp5*'Time on treatment'!$G$23)</f>
        <v>0</v>
      </c>
      <c r="BS182" s="110">
        <f ca="1">(BS58*ct_comp5*'Time on treatment'!$H$23)</f>
        <v>0</v>
      </c>
      <c r="BV182" s="87" t="s">
        <v>170</v>
      </c>
      <c r="BW182" s="109">
        <f ca="1">(BW58*ci_comp6)+(BW58*ct_comp6*'Time on treatment'!$D$24)</f>
        <v>0</v>
      </c>
      <c r="BX182" s="109">
        <f ca="1">(BX58*ct_comp6*'Time on treatment'!$E$24)</f>
        <v>0</v>
      </c>
      <c r="BY182" s="109">
        <f ca="1">(BY58*ct_comp6*'Time on treatment'!$F$24)</f>
        <v>0</v>
      </c>
      <c r="BZ182" s="109">
        <f ca="1">(BZ58*ct_comp6*'Time on treatment'!$G$24)</f>
        <v>0</v>
      </c>
      <c r="CA182" s="110">
        <f ca="1">(CA58*ct_comp6*'Time on treatment'!$H$24)</f>
        <v>0</v>
      </c>
      <c r="CD182" s="87" t="s">
        <v>170</v>
      </c>
      <c r="CE182" s="109">
        <f ca="1">(CE58*ci_comp7)+(CE58*ct_comp7*'Time on treatment'!$D$25)</f>
        <v>0</v>
      </c>
      <c r="CF182" s="109">
        <f ca="1">(CF58*ct_comp7*'Time on treatment'!$E$25)</f>
        <v>0</v>
      </c>
      <c r="CG182" s="109">
        <f ca="1">(CG58*ct_comp7*'Time on treatment'!$F$25)</f>
        <v>0</v>
      </c>
      <c r="CH182" s="109">
        <f ca="1">(CH58*ct_comp7*'Time on treatment'!$G$25)</f>
        <v>0</v>
      </c>
      <c r="CI182" s="110">
        <f ca="1">(CI58*ct_comp7*'Time on treatment'!$H$25)</f>
        <v>0</v>
      </c>
      <c r="CL182" s="87" t="s">
        <v>170</v>
      </c>
      <c r="CM182" s="109">
        <f ca="1">(CM58*ci_comp8)+(CM58*ct_comp8*'Time on treatment'!$D$26)</f>
        <v>0</v>
      </c>
      <c r="CN182" s="109">
        <f ca="1">(CN58*ct_comp8*'Time on treatment'!$E$26)</f>
        <v>0</v>
      </c>
      <c r="CO182" s="109">
        <f ca="1">(CO58*ct_comp8*'Time on treatment'!$F$26)</f>
        <v>0</v>
      </c>
      <c r="CP182" s="109">
        <f ca="1">(CP58*ct_comp8*'Time on treatment'!$G$26)</f>
        <v>0</v>
      </c>
      <c r="CQ182" s="110">
        <f ca="1">(CQ58*ct_comp8*'Time on treatment'!$H$26)</f>
        <v>0</v>
      </c>
      <c r="CT182" s="87" t="s">
        <v>170</v>
      </c>
      <c r="CU182" s="109">
        <f ca="1">(CU58*ci_comp9)+(CU58*ct_comp9*'Time on treatment'!$D$27)</f>
        <v>0</v>
      </c>
      <c r="CV182" s="109">
        <f ca="1">(CV58*ct_comp9*'Time on treatment'!$E$27)</f>
        <v>0</v>
      </c>
      <c r="CW182" s="109">
        <f ca="1">(CW58*ct_comp9*'Time on treatment'!$F$27)</f>
        <v>0</v>
      </c>
      <c r="CX182" s="109">
        <f ca="1">(CX58*ct_comp9*'Time on treatment'!$G$27)</f>
        <v>0</v>
      </c>
      <c r="CY182" s="110">
        <f ca="1">(CY58*ct_comp9*'Time on treatment'!$H$27)</f>
        <v>0</v>
      </c>
      <c r="DB182" s="87" t="s">
        <v>170</v>
      </c>
      <c r="DC182" s="109">
        <f ca="1">(DC58*ci_comp10)+(DC58*ct_comp10*'Time on treatment'!$D$28)</f>
        <v>0</v>
      </c>
      <c r="DD182" s="109">
        <f ca="1">(DD58*ct_comp10*'Time on treatment'!$E$28)</f>
        <v>0</v>
      </c>
      <c r="DE182" s="109">
        <f ca="1">(DE58*ct_comp10*'Time on treatment'!$F$28)</f>
        <v>0</v>
      </c>
      <c r="DF182" s="109">
        <f ca="1">(DF58*ct_comp10*'Time on treatment'!$G$28)</f>
        <v>0</v>
      </c>
      <c r="DG182" s="110">
        <f ca="1">(DG58*ct_comp10*'Time on treatment'!$H$28)</f>
        <v>0</v>
      </c>
    </row>
    <row r="183" spans="2:111">
      <c r="B183" s="87" t="s">
        <v>175</v>
      </c>
      <c r="C183" s="109"/>
      <c r="D183" s="109"/>
      <c r="E183" s="109"/>
      <c r="F183" s="109"/>
      <c r="G183" s="110"/>
      <c r="J183" s="87" t="s">
        <v>175</v>
      </c>
      <c r="K183" s="109"/>
      <c r="L183" s="109"/>
      <c r="M183" s="109"/>
      <c r="N183" s="109"/>
      <c r="O183" s="110"/>
      <c r="R183" s="87" t="s">
        <v>175</v>
      </c>
      <c r="S183" s="109"/>
      <c r="T183" s="109"/>
      <c r="U183" s="109"/>
      <c r="V183" s="109"/>
      <c r="W183" s="110"/>
      <c r="Z183" s="87" t="s">
        <v>175</v>
      </c>
      <c r="AA183" s="109"/>
      <c r="AB183" s="109"/>
      <c r="AC183" s="109"/>
      <c r="AD183" s="109"/>
      <c r="AE183" s="110"/>
      <c r="AH183" s="87" t="s">
        <v>175</v>
      </c>
      <c r="AI183" s="109"/>
      <c r="AJ183" s="109"/>
      <c r="AK183" s="109"/>
      <c r="AL183" s="109"/>
      <c r="AM183" s="110"/>
      <c r="AP183" s="87" t="s">
        <v>175</v>
      </c>
      <c r="AQ183" s="109"/>
      <c r="AR183" s="109"/>
      <c r="AS183" s="109"/>
      <c r="AT183" s="109"/>
      <c r="AU183" s="110"/>
      <c r="AX183" s="87" t="s">
        <v>175</v>
      </c>
      <c r="AY183" s="109"/>
      <c r="AZ183" s="109"/>
      <c r="BA183" s="109"/>
      <c r="BB183" s="109"/>
      <c r="BC183" s="110"/>
      <c r="BF183" s="87" t="s">
        <v>175</v>
      </c>
      <c r="BG183" s="109"/>
      <c r="BH183" s="109"/>
      <c r="BI183" s="109"/>
      <c r="BJ183" s="109"/>
      <c r="BK183" s="110"/>
      <c r="BN183" s="87" t="s">
        <v>175</v>
      </c>
      <c r="BO183" s="109"/>
      <c r="BP183" s="109"/>
      <c r="BQ183" s="109"/>
      <c r="BR183" s="109"/>
      <c r="BS183" s="110"/>
      <c r="BV183" s="87" t="s">
        <v>175</v>
      </c>
      <c r="BW183" s="109"/>
      <c r="BX183" s="109"/>
      <c r="BY183" s="109"/>
      <c r="BZ183" s="109"/>
      <c r="CA183" s="110"/>
      <c r="CD183" s="87" t="s">
        <v>175</v>
      </c>
      <c r="CE183" s="109"/>
      <c r="CF183" s="109"/>
      <c r="CG183" s="109"/>
      <c r="CH183" s="109"/>
      <c r="CI183" s="110"/>
      <c r="CL183" s="87" t="s">
        <v>175</v>
      </c>
      <c r="CM183" s="109"/>
      <c r="CN183" s="109"/>
      <c r="CO183" s="109"/>
      <c r="CP183" s="109"/>
      <c r="CQ183" s="110"/>
      <c r="CT183" s="87" t="s">
        <v>175</v>
      </c>
      <c r="CU183" s="109"/>
      <c r="CV183" s="109"/>
      <c r="CW183" s="109"/>
      <c r="CX183" s="109"/>
      <c r="CY183" s="110"/>
      <c r="DB183" s="87" t="s">
        <v>175</v>
      </c>
      <c r="DC183" s="109"/>
      <c r="DD183" s="109"/>
      <c r="DE183" s="109"/>
      <c r="DF183" s="109"/>
      <c r="DG183" s="110"/>
    </row>
    <row r="184" spans="2:111">
      <c r="B184" s="87" t="s">
        <v>171</v>
      </c>
      <c r="C184" s="111"/>
      <c r="D184" s="109">
        <f ca="1">(D60*ci_int1)+(D60*ct_int1*'Time on treatment'!$D$12)</f>
        <v>0</v>
      </c>
      <c r="E184" s="109">
        <f ca="1">(E60*ct_int1*'Time on treatment'!$E$12)</f>
        <v>0</v>
      </c>
      <c r="F184" s="109">
        <f ca="1">(F60*ct_int1*'Time on treatment'!$F$12)</f>
        <v>0</v>
      </c>
      <c r="G184" s="110">
        <f ca="1">(G60*ct_int1*'Time on treatment'!$G$12)</f>
        <v>0</v>
      </c>
      <c r="J184" s="87" t="s">
        <v>171</v>
      </c>
      <c r="K184" s="111"/>
      <c r="L184" s="109">
        <f ca="1">(L60*ci_int2)+(L60*ct_int2*'Time on treatment'!$D$13)</f>
        <v>1688152.4544434999</v>
      </c>
      <c r="M184" s="109">
        <f ca="1">(M60*ct_int2*'Time on treatment'!$E$13)</f>
        <v>1643564.3748936299</v>
      </c>
      <c r="N184" s="109">
        <f ca="1">(N60*ct_int2*'Time on treatment'!$F$13)</f>
        <v>1610022.2447937601</v>
      </c>
      <c r="O184" s="110">
        <f ca="1">(O60*ct_int2*'Time on treatment'!$G$13)</f>
        <v>1542937.9845940203</v>
      </c>
      <c r="R184" s="87" t="s">
        <v>171</v>
      </c>
      <c r="S184" s="111"/>
      <c r="T184" s="109">
        <f ca="1">(T60*ci_int3)+(T60*ct_int3*'Time on treatment'!$D$14)</f>
        <v>0</v>
      </c>
      <c r="U184" s="109">
        <f ca="1">(U60*ct_int3*'Time on treatment'!$E$14)</f>
        <v>0</v>
      </c>
      <c r="V184" s="109">
        <f ca="1">(V60*ct_int3*'Time on treatment'!$F$14)</f>
        <v>0</v>
      </c>
      <c r="W184" s="110">
        <f ca="1">(W60*ct_int3*'Time on treatment'!$G$14)</f>
        <v>0</v>
      </c>
      <c r="Z184" s="87" t="s">
        <v>171</v>
      </c>
      <c r="AA184" s="111"/>
      <c r="AB184" s="109">
        <f ca="1">(AB60*ci_int4)+(AB60*ct_int4*'Time on treatment'!$D$15)</f>
        <v>0</v>
      </c>
      <c r="AC184" s="109">
        <f ca="1">(AC60*ct_int4*'Time on treatment'!$E$15)</f>
        <v>0</v>
      </c>
      <c r="AD184" s="109">
        <f ca="1">(AD60*ct_int4*'Time on treatment'!$F$15)</f>
        <v>0</v>
      </c>
      <c r="AE184" s="110">
        <f ca="1">(AE60*ct_int4*'Time on treatment'!$G$15)</f>
        <v>0</v>
      </c>
      <c r="AH184" s="87" t="s">
        <v>171</v>
      </c>
      <c r="AI184" s="111"/>
      <c r="AJ184" s="109">
        <f ca="1">(AJ60*ci_comp1)+(AJ60*ct_comp1*'Time on treatment'!$D$19)</f>
        <v>5960173.4042310007</v>
      </c>
      <c r="AK184" s="109">
        <f ca="1">(AK60*ct_comp1*'Time on treatment'!$E$19)</f>
        <v>5960173.4042310007</v>
      </c>
      <c r="AL184" s="109">
        <f ca="1">(AL60*ct_comp1*'Time on treatment'!$F$19)</f>
        <v>5960173.4042310007</v>
      </c>
      <c r="AM184" s="110">
        <f ca="1">(AM60*ct_comp1*'Time on treatment'!$G$19)</f>
        <v>5960173.4042310007</v>
      </c>
      <c r="AP184" s="87" t="s">
        <v>171</v>
      </c>
      <c r="AQ184" s="111"/>
      <c r="AR184" s="109">
        <f ca="1">(AR60*ci_comp2)+(AR60*ct_comp2*'Time on treatment'!$D$20)</f>
        <v>0</v>
      </c>
      <c r="AS184" s="109">
        <f ca="1">(AS60*ct_comp2*'Time on treatment'!$E$20)</f>
        <v>0</v>
      </c>
      <c r="AT184" s="109">
        <f ca="1">(AT60*ct_comp2*'Time on treatment'!$F$20)</f>
        <v>0</v>
      </c>
      <c r="AU184" s="110">
        <f ca="1">(AU60*ct_comp2*'Time on treatment'!$G$20)</f>
        <v>0</v>
      </c>
      <c r="AX184" s="87" t="s">
        <v>171</v>
      </c>
      <c r="AY184" s="111"/>
      <c r="AZ184" s="109">
        <f ca="1">(AZ60*ci_comp3)+(AZ60*ct_comp3*'Time on treatment'!$D$21)</f>
        <v>0</v>
      </c>
      <c r="BA184" s="109">
        <f ca="1">(BA60*ct_comp3*'Time on treatment'!$E$21)</f>
        <v>0</v>
      </c>
      <c r="BB184" s="109">
        <f ca="1">(BB60*ct_comp3*'Time on treatment'!$F$21)</f>
        <v>0</v>
      </c>
      <c r="BC184" s="110">
        <f ca="1">(BC60*ct_comp3*'Time on treatment'!$G$21)</f>
        <v>0</v>
      </c>
      <c r="BF184" s="87" t="s">
        <v>171</v>
      </c>
      <c r="BG184" s="111"/>
      <c r="BH184" s="109">
        <f ca="1">(BH60*ci_comp4)+(BH60*ct_comp4*'Time on treatment'!$D$22)</f>
        <v>0</v>
      </c>
      <c r="BI184" s="109">
        <f ca="1">(BI60*ct_comp4*'Time on treatment'!$E$22)</f>
        <v>0</v>
      </c>
      <c r="BJ184" s="109">
        <f ca="1">(BJ60*ct_comp4*'Time on treatment'!$F$22)</f>
        <v>0</v>
      </c>
      <c r="BK184" s="110">
        <f ca="1">(BK60*ct_comp4*'Time on treatment'!$G$22)</f>
        <v>0</v>
      </c>
      <c r="BN184" s="87" t="s">
        <v>171</v>
      </c>
      <c r="BO184" s="111"/>
      <c r="BP184" s="109">
        <f ca="1">(BP60*ci_comp5)+(BP60*ct_comp5*'Time on treatment'!$D$23)</f>
        <v>0</v>
      </c>
      <c r="BQ184" s="109">
        <f ca="1">(BQ60*ct_comp5*'Time on treatment'!$E$23)</f>
        <v>0</v>
      </c>
      <c r="BR184" s="109">
        <f ca="1">(BR60*ct_comp5*'Time on treatment'!$F$23)</f>
        <v>0</v>
      </c>
      <c r="BS184" s="110">
        <f ca="1">(BS60*ct_comp5*'Time on treatment'!$G$23)</f>
        <v>0</v>
      </c>
      <c r="BV184" s="87" t="s">
        <v>171</v>
      </c>
      <c r="BW184" s="111"/>
      <c r="BX184" s="109">
        <f ca="1">(BX60*ci_comp6)+(BX60*ct_comp6*'Time on treatment'!$D$24)</f>
        <v>0</v>
      </c>
      <c r="BY184" s="109">
        <f ca="1">(BY60*ct_comp6*'Time on treatment'!$E$24)</f>
        <v>0</v>
      </c>
      <c r="BZ184" s="109">
        <f ca="1">(BZ60*ct_comp6*'Time on treatment'!$F$24)</f>
        <v>0</v>
      </c>
      <c r="CA184" s="110">
        <f ca="1">(CA60*ct_comp6*'Time on treatment'!$G$24)</f>
        <v>0</v>
      </c>
      <c r="CD184" s="87" t="s">
        <v>171</v>
      </c>
      <c r="CE184" s="111"/>
      <c r="CF184" s="109">
        <f ca="1">(CF60*ci_comp7)+(CF60*ct_comp7*'Time on treatment'!$D$25)</f>
        <v>0</v>
      </c>
      <c r="CG184" s="109">
        <f ca="1">(CG60*ct_comp7*'Time on treatment'!$E$25)</f>
        <v>0</v>
      </c>
      <c r="CH184" s="109">
        <f ca="1">(CH60*ct_comp7*'Time on treatment'!$F$25)</f>
        <v>0</v>
      </c>
      <c r="CI184" s="110">
        <f ca="1">(CI60*ct_comp7*'Time on treatment'!$G$25)</f>
        <v>0</v>
      </c>
      <c r="CL184" s="87" t="s">
        <v>171</v>
      </c>
      <c r="CM184" s="111"/>
      <c r="CN184" s="109">
        <f ca="1">(CN60*ci_comp8)+(CN60*ct_comp8*'Time on treatment'!$D$26)</f>
        <v>0</v>
      </c>
      <c r="CO184" s="109">
        <f ca="1">(CO60*ct_comp8*'Time on treatment'!$E$26)</f>
        <v>0</v>
      </c>
      <c r="CP184" s="109">
        <f ca="1">(CP60*ct_comp8*'Time on treatment'!$F$26)</f>
        <v>0</v>
      </c>
      <c r="CQ184" s="110">
        <f ca="1">(CQ60*ct_comp8*'Time on treatment'!$G$26)</f>
        <v>0</v>
      </c>
      <c r="CT184" s="87" t="s">
        <v>171</v>
      </c>
      <c r="CU184" s="111"/>
      <c r="CV184" s="109">
        <f ca="1">(CV60*ci_comp9)+(CV60*ct_comp9*'Time on treatment'!$D$27)</f>
        <v>0</v>
      </c>
      <c r="CW184" s="109">
        <f ca="1">(CW60*ct_comp9*'Time on treatment'!$E$27)</f>
        <v>0</v>
      </c>
      <c r="CX184" s="109">
        <f ca="1">(CX60*ct_comp9*'Time on treatment'!$F$27)</f>
        <v>0</v>
      </c>
      <c r="CY184" s="110">
        <f ca="1">(CY60*ct_comp9*'Time on treatment'!$G$27)</f>
        <v>0</v>
      </c>
      <c r="DB184" s="87" t="s">
        <v>171</v>
      </c>
      <c r="DC184" s="111"/>
      <c r="DD184" s="109">
        <f ca="1">(DD60*ci_comp10)+(DD60*ct_comp10*'Time on treatment'!$D$28)</f>
        <v>0</v>
      </c>
      <c r="DE184" s="109">
        <f ca="1">(DE60*ct_comp10*'Time on treatment'!$E$28)</f>
        <v>0</v>
      </c>
      <c r="DF184" s="109">
        <f ca="1">(DF60*ct_comp10*'Time on treatment'!$F$28)</f>
        <v>0</v>
      </c>
      <c r="DG184" s="110">
        <f ca="1">(DG60*ct_comp10*'Time on treatment'!$G$28)</f>
        <v>0</v>
      </c>
    </row>
    <row r="185" spans="2:111">
      <c r="B185" s="87" t="s">
        <v>176</v>
      </c>
      <c r="C185" s="111"/>
      <c r="D185" s="109"/>
      <c r="E185" s="109"/>
      <c r="F185" s="109"/>
      <c r="G185" s="110"/>
      <c r="J185" s="87" t="s">
        <v>176</v>
      </c>
      <c r="K185" s="111"/>
      <c r="L185" s="109"/>
      <c r="M185" s="109"/>
      <c r="N185" s="109"/>
      <c r="O185" s="110"/>
      <c r="R185" s="87" t="s">
        <v>176</v>
      </c>
      <c r="S185" s="111"/>
      <c r="T185" s="109"/>
      <c r="U185" s="109"/>
      <c r="V185" s="109"/>
      <c r="W185" s="110"/>
      <c r="Z185" s="87" t="s">
        <v>176</v>
      </c>
      <c r="AA185" s="111"/>
      <c r="AB185" s="109"/>
      <c r="AC185" s="109"/>
      <c r="AD185" s="109"/>
      <c r="AE185" s="110"/>
      <c r="AH185" s="87" t="s">
        <v>176</v>
      </c>
      <c r="AI185" s="111"/>
      <c r="AJ185" s="109"/>
      <c r="AK185" s="109"/>
      <c r="AL185" s="109"/>
      <c r="AM185" s="110"/>
      <c r="AP185" s="87" t="s">
        <v>176</v>
      </c>
      <c r="AQ185" s="111"/>
      <c r="AR185" s="109"/>
      <c r="AS185" s="109"/>
      <c r="AT185" s="109"/>
      <c r="AU185" s="110"/>
      <c r="AX185" s="87" t="s">
        <v>176</v>
      </c>
      <c r="AY185" s="111"/>
      <c r="AZ185" s="109"/>
      <c r="BA185" s="109"/>
      <c r="BB185" s="109"/>
      <c r="BC185" s="110"/>
      <c r="BF185" s="87" t="s">
        <v>176</v>
      </c>
      <c r="BG185" s="111"/>
      <c r="BH185" s="109"/>
      <c r="BI185" s="109"/>
      <c r="BJ185" s="109"/>
      <c r="BK185" s="110"/>
      <c r="BN185" s="87" t="s">
        <v>176</v>
      </c>
      <c r="BO185" s="111"/>
      <c r="BP185" s="109"/>
      <c r="BQ185" s="109"/>
      <c r="BR185" s="109"/>
      <c r="BS185" s="110"/>
      <c r="BV185" s="87" t="s">
        <v>176</v>
      </c>
      <c r="BW185" s="111"/>
      <c r="BX185" s="109"/>
      <c r="BY185" s="109"/>
      <c r="BZ185" s="109"/>
      <c r="CA185" s="110"/>
      <c r="CD185" s="87" t="s">
        <v>176</v>
      </c>
      <c r="CE185" s="111"/>
      <c r="CF185" s="109"/>
      <c r="CG185" s="109"/>
      <c r="CH185" s="109"/>
      <c r="CI185" s="110"/>
      <c r="CL185" s="87" t="s">
        <v>176</v>
      </c>
      <c r="CM185" s="111"/>
      <c r="CN185" s="109"/>
      <c r="CO185" s="109"/>
      <c r="CP185" s="109"/>
      <c r="CQ185" s="110"/>
      <c r="CT185" s="87" t="s">
        <v>176</v>
      </c>
      <c r="CU185" s="111"/>
      <c r="CV185" s="109"/>
      <c r="CW185" s="109"/>
      <c r="CX185" s="109"/>
      <c r="CY185" s="110"/>
      <c r="DB185" s="87" t="s">
        <v>176</v>
      </c>
      <c r="DC185" s="111"/>
      <c r="DD185" s="109"/>
      <c r="DE185" s="109"/>
      <c r="DF185" s="109"/>
      <c r="DG185" s="110"/>
    </row>
    <row r="186" spans="2:111">
      <c r="B186" s="87" t="s">
        <v>172</v>
      </c>
      <c r="C186" s="111"/>
      <c r="D186" s="111"/>
      <c r="E186" s="109">
        <f ca="1">(E62*ci_int1)+(E62*ct_int1*'Time on treatment'!$D$12)</f>
        <v>0</v>
      </c>
      <c r="F186" s="109">
        <f ca="1">(F62*ct_int1*'Time on treatment'!$E$12)</f>
        <v>0</v>
      </c>
      <c r="G186" s="110">
        <f ca="1">(G62*ct_int1*'Time on treatment'!$F$12)</f>
        <v>0</v>
      </c>
      <c r="J186" s="87" t="s">
        <v>172</v>
      </c>
      <c r="K186" s="111"/>
      <c r="L186" s="111"/>
      <c r="M186" s="109">
        <f ca="1">(M62*ci_int2)+(M62*ct_int2*'Time on treatment'!$D$13)</f>
        <v>3827089.0855673552</v>
      </c>
      <c r="N186" s="109">
        <f ca="1">(N62*ct_int2*'Time on treatment'!$E$13)</f>
        <v>3726006.6553978776</v>
      </c>
      <c r="O186" s="110">
        <f ca="1">(O62*ct_int2*'Time on treatment'!$F$13)</f>
        <v>3649965.7032469008</v>
      </c>
      <c r="R186" s="87" t="s">
        <v>172</v>
      </c>
      <c r="S186" s="111"/>
      <c r="T186" s="111"/>
      <c r="U186" s="109">
        <f ca="1">(U62*ci_int3)+(U62*ct_int3*'Time on treatment'!$D$14)</f>
        <v>0</v>
      </c>
      <c r="V186" s="109">
        <f ca="1">(V62*ct_int3*'Time on treatment'!$E$14)</f>
        <v>0</v>
      </c>
      <c r="W186" s="110">
        <f ca="1">(W62*ct_int3*'Time on treatment'!$F$14)</f>
        <v>0</v>
      </c>
      <c r="Z186" s="87" t="s">
        <v>172</v>
      </c>
      <c r="AA186" s="111"/>
      <c r="AB186" s="111"/>
      <c r="AC186" s="109">
        <f ca="1">(AC62*ci_int4)+(AC62*ct_int4*'Time on treatment'!$D$15)</f>
        <v>0</v>
      </c>
      <c r="AD186" s="109">
        <f ca="1">(AD62*ct_int4*'Time on treatment'!$E$15)</f>
        <v>0</v>
      </c>
      <c r="AE186" s="110">
        <f ca="1">(AE62*ct_int4*'Time on treatment'!$F$15)</f>
        <v>0</v>
      </c>
      <c r="AH186" s="87" t="s">
        <v>172</v>
      </c>
      <c r="AI186" s="111"/>
      <c r="AJ186" s="111"/>
      <c r="AK186" s="109">
        <f ca="1">(AK62*ci_comp1)+(AK62*ct_comp1*'Time on treatment'!$D$19)</f>
        <v>5352532.4548609797</v>
      </c>
      <c r="AL186" s="109">
        <f ca="1">(AL62*ct_comp1*'Time on treatment'!$E$19)</f>
        <v>5352532.4548609797</v>
      </c>
      <c r="AM186" s="110">
        <f ca="1">(AM62*ct_comp1*'Time on treatment'!$F$19)</f>
        <v>5352532.4548609797</v>
      </c>
      <c r="AP186" s="87" t="s">
        <v>172</v>
      </c>
      <c r="AQ186" s="111"/>
      <c r="AR186" s="111"/>
      <c r="AS186" s="109">
        <f ca="1">(AS62*ci_comp2)+(AS62*ct_comp2*'Time on treatment'!$D$20)</f>
        <v>0</v>
      </c>
      <c r="AT186" s="109">
        <f ca="1">(AT62*ct_comp2*'Time on treatment'!$E$20)</f>
        <v>0</v>
      </c>
      <c r="AU186" s="110">
        <f ca="1">(AU62*ct_comp2*'Time on treatment'!$F$20)</f>
        <v>0</v>
      </c>
      <c r="AX186" s="87" t="s">
        <v>172</v>
      </c>
      <c r="AY186" s="111"/>
      <c r="AZ186" s="111"/>
      <c r="BA186" s="109">
        <f ca="1">(BA62*ci_comp3)+(BA62*ct_comp3*'Time on treatment'!$D$21)</f>
        <v>0</v>
      </c>
      <c r="BB186" s="109">
        <f ca="1">(BB62*ct_comp3*'Time on treatment'!$E$21)</f>
        <v>0</v>
      </c>
      <c r="BC186" s="110">
        <f ca="1">(BC62*ct_comp3*'Time on treatment'!$F$21)</f>
        <v>0</v>
      </c>
      <c r="BF186" s="87" t="s">
        <v>172</v>
      </c>
      <c r="BG186" s="111"/>
      <c r="BH186" s="111"/>
      <c r="BI186" s="109">
        <f ca="1">(BI62*ci_comp4)+(BI62*ct_comp4*'Time on treatment'!$D$22)</f>
        <v>0</v>
      </c>
      <c r="BJ186" s="109">
        <f ca="1">(BJ62*ct_comp4*'Time on treatment'!$E$22)</f>
        <v>0</v>
      </c>
      <c r="BK186" s="110">
        <f ca="1">(BK62*ct_comp4*'Time on treatment'!$F$22)</f>
        <v>0</v>
      </c>
      <c r="BN186" s="87" t="s">
        <v>172</v>
      </c>
      <c r="BO186" s="111"/>
      <c r="BP186" s="111"/>
      <c r="BQ186" s="109">
        <f ca="1">(BQ62*ci_comp5)+(BQ62*ct_comp5*'Time on treatment'!$D$23)</f>
        <v>0</v>
      </c>
      <c r="BR186" s="109">
        <f ca="1">(BR62*ct_comp5*'Time on treatment'!$E$23)</f>
        <v>0</v>
      </c>
      <c r="BS186" s="110">
        <f ca="1">(BS62*ct_comp5*'Time on treatment'!$F$23)</f>
        <v>0</v>
      </c>
      <c r="BV186" s="87" t="s">
        <v>172</v>
      </c>
      <c r="BW186" s="111"/>
      <c r="BX186" s="111"/>
      <c r="BY186" s="109">
        <f ca="1">(BY62*ci_comp6)+(BY62*ct_comp6*'Time on treatment'!$D$24)</f>
        <v>0</v>
      </c>
      <c r="BZ186" s="109">
        <f ca="1">(BZ62*ct_comp6*'Time on treatment'!$E$24)</f>
        <v>0</v>
      </c>
      <c r="CA186" s="110">
        <f ca="1">(CA62*ct_comp6*'Time on treatment'!$F$24)</f>
        <v>0</v>
      </c>
      <c r="CD186" s="87" t="s">
        <v>172</v>
      </c>
      <c r="CE186" s="111"/>
      <c r="CF186" s="111"/>
      <c r="CG186" s="109">
        <f ca="1">(CG62*ci_comp7)+(CG62*ct_comp7*'Time on treatment'!$D$25)</f>
        <v>0</v>
      </c>
      <c r="CH186" s="109">
        <f ca="1">(CH62*ct_comp7*'Time on treatment'!$E$25)</f>
        <v>0</v>
      </c>
      <c r="CI186" s="110">
        <f ca="1">(CI62*ct_comp7*'Time on treatment'!$F$25)</f>
        <v>0</v>
      </c>
      <c r="CL186" s="87" t="s">
        <v>172</v>
      </c>
      <c r="CM186" s="111"/>
      <c r="CN186" s="111"/>
      <c r="CO186" s="109">
        <f ca="1">(CO62*ci_comp8)+(CO62*ct_comp8*'Time on treatment'!$D$26)</f>
        <v>0</v>
      </c>
      <c r="CP186" s="109">
        <f ca="1">(CP62*ct_comp8*'Time on treatment'!$E$26)</f>
        <v>0</v>
      </c>
      <c r="CQ186" s="110">
        <f ca="1">(CQ62*ct_comp8*'Time on treatment'!$F$26)</f>
        <v>0</v>
      </c>
      <c r="CT186" s="87" t="s">
        <v>172</v>
      </c>
      <c r="CU186" s="111"/>
      <c r="CV186" s="111"/>
      <c r="CW186" s="109">
        <f ca="1">(CW62*ci_comp9)+(CW62*ct_comp9*'Time on treatment'!$D$27)</f>
        <v>0</v>
      </c>
      <c r="CX186" s="109">
        <f ca="1">(CX62*ct_comp9*'Time on treatment'!$E$27)</f>
        <v>0</v>
      </c>
      <c r="CY186" s="110">
        <f ca="1">(CY62*ct_comp9*'Time on treatment'!$F$27)</f>
        <v>0</v>
      </c>
      <c r="DB186" s="87" t="s">
        <v>172</v>
      </c>
      <c r="DC186" s="111"/>
      <c r="DD186" s="111"/>
      <c r="DE186" s="109">
        <f ca="1">(DE62*ci_comp10)+(DE62*ct_comp10*'Time on treatment'!$D$28)</f>
        <v>0</v>
      </c>
      <c r="DF186" s="109">
        <f ca="1">(DF62*ct_comp10*'Time on treatment'!$E$28)</f>
        <v>0</v>
      </c>
      <c r="DG186" s="110">
        <f ca="1">(DG62*ct_comp10*'Time on treatment'!$F$28)</f>
        <v>0</v>
      </c>
    </row>
    <row r="187" spans="2:111">
      <c r="B187" s="87" t="s">
        <v>177</v>
      </c>
      <c r="C187" s="111"/>
      <c r="D187" s="111"/>
      <c r="E187" s="109"/>
      <c r="F187" s="109"/>
      <c r="G187" s="110"/>
      <c r="J187" s="87" t="s">
        <v>177</v>
      </c>
      <c r="K187" s="111"/>
      <c r="L187" s="111"/>
      <c r="M187" s="109"/>
      <c r="N187" s="109"/>
      <c r="O187" s="110"/>
      <c r="R187" s="87" t="s">
        <v>177</v>
      </c>
      <c r="S187" s="111"/>
      <c r="T187" s="111"/>
      <c r="U187" s="109"/>
      <c r="V187" s="109"/>
      <c r="W187" s="110"/>
      <c r="Z187" s="87" t="s">
        <v>177</v>
      </c>
      <c r="AA187" s="111"/>
      <c r="AB187" s="111"/>
      <c r="AC187" s="109"/>
      <c r="AD187" s="109"/>
      <c r="AE187" s="110"/>
      <c r="AH187" s="87" t="s">
        <v>177</v>
      </c>
      <c r="AI187" s="111"/>
      <c r="AJ187" s="111"/>
      <c r="AK187" s="109"/>
      <c r="AL187" s="109"/>
      <c r="AM187" s="110"/>
      <c r="AP187" s="87" t="s">
        <v>177</v>
      </c>
      <c r="AQ187" s="111"/>
      <c r="AR187" s="111"/>
      <c r="AS187" s="109"/>
      <c r="AT187" s="109"/>
      <c r="AU187" s="110"/>
      <c r="AX187" s="87" t="s">
        <v>177</v>
      </c>
      <c r="AY187" s="111"/>
      <c r="AZ187" s="111"/>
      <c r="BA187" s="109"/>
      <c r="BB187" s="109"/>
      <c r="BC187" s="110"/>
      <c r="BF187" s="87" t="s">
        <v>177</v>
      </c>
      <c r="BG187" s="111"/>
      <c r="BH187" s="111"/>
      <c r="BI187" s="109"/>
      <c r="BJ187" s="109"/>
      <c r="BK187" s="110"/>
      <c r="BN187" s="87" t="s">
        <v>177</v>
      </c>
      <c r="BO187" s="111"/>
      <c r="BP187" s="111"/>
      <c r="BQ187" s="109"/>
      <c r="BR187" s="109"/>
      <c r="BS187" s="110"/>
      <c r="BV187" s="87" t="s">
        <v>177</v>
      </c>
      <c r="BW187" s="111"/>
      <c r="BX187" s="111"/>
      <c r="BY187" s="109"/>
      <c r="BZ187" s="109"/>
      <c r="CA187" s="110"/>
      <c r="CD187" s="87" t="s">
        <v>177</v>
      </c>
      <c r="CE187" s="111"/>
      <c r="CF187" s="111"/>
      <c r="CG187" s="109"/>
      <c r="CH187" s="109"/>
      <c r="CI187" s="110"/>
      <c r="CL187" s="87" t="s">
        <v>177</v>
      </c>
      <c r="CM187" s="111"/>
      <c r="CN187" s="111"/>
      <c r="CO187" s="109"/>
      <c r="CP187" s="109"/>
      <c r="CQ187" s="110"/>
      <c r="CT187" s="87" t="s">
        <v>177</v>
      </c>
      <c r="CU187" s="111"/>
      <c r="CV187" s="111"/>
      <c r="CW187" s="109"/>
      <c r="CX187" s="109"/>
      <c r="CY187" s="110"/>
      <c r="DB187" s="87" t="s">
        <v>177</v>
      </c>
      <c r="DC187" s="111"/>
      <c r="DD187" s="111"/>
      <c r="DE187" s="109"/>
      <c r="DF187" s="109"/>
      <c r="DG187" s="110"/>
    </row>
    <row r="188" spans="2:111">
      <c r="B188" s="87" t="s">
        <v>173</v>
      </c>
      <c r="C188" s="111"/>
      <c r="D188" s="111"/>
      <c r="E188" s="111"/>
      <c r="F188" s="109">
        <f ca="1">(F64*ci_int1)+(F64*ct_int1*'Time on treatment'!$D$12)</f>
        <v>0</v>
      </c>
      <c r="G188" s="110">
        <f ca="1">(G64*ct_int1*'Time on treatment'!$E$12)</f>
        <v>0</v>
      </c>
      <c r="J188" s="87" t="s">
        <v>173</v>
      </c>
      <c r="K188" s="111"/>
      <c r="L188" s="111"/>
      <c r="M188" s="111"/>
      <c r="N188" s="109">
        <f ca="1">(N64*ci_int2)+(N64*ct_int2*'Time on treatment'!$D$13)</f>
        <v>4927062.6117741428</v>
      </c>
      <c r="O188" s="110">
        <f ca="1">(O64*ct_int2*'Time on treatment'!$E$13)</f>
        <v>4796927.2918848041</v>
      </c>
      <c r="R188" s="87" t="s">
        <v>173</v>
      </c>
      <c r="S188" s="111"/>
      <c r="T188" s="111"/>
      <c r="U188" s="111"/>
      <c r="V188" s="109">
        <f ca="1">(V64*ci_int3)+(V64*ct_int3*'Time on treatment'!$D$14)</f>
        <v>0</v>
      </c>
      <c r="W188" s="110">
        <f ca="1">(W64*ct_int3*'Time on treatment'!$E$14)</f>
        <v>0</v>
      </c>
      <c r="Z188" s="87" t="s">
        <v>173</v>
      </c>
      <c r="AA188" s="111"/>
      <c r="AB188" s="111"/>
      <c r="AC188" s="111"/>
      <c r="AD188" s="109">
        <f ca="1">(AD64*ci_int4)+(AD64*ct_int4*'Time on treatment'!$D$15)</f>
        <v>0</v>
      </c>
      <c r="AE188" s="110">
        <f ca="1">(AE64*ct_int4*'Time on treatment'!$E$15)</f>
        <v>0</v>
      </c>
      <c r="AH188" s="87" t="s">
        <v>173</v>
      </c>
      <c r="AI188" s="111"/>
      <c r="AJ188" s="111"/>
      <c r="AK188" s="111"/>
      <c r="AL188" s="109">
        <f ca="1">(AL64*ci_comp1)+(AL64*ct_comp1*'Time on treatment'!$D$19)</f>
        <v>5064077.70108933</v>
      </c>
      <c r="AM188" s="110">
        <f ca="1">(AM64*ct_comp1*'Time on treatment'!$E$19)</f>
        <v>5064077.70108933</v>
      </c>
      <c r="AP188" s="87" t="s">
        <v>173</v>
      </c>
      <c r="AQ188" s="111"/>
      <c r="AR188" s="111"/>
      <c r="AS188" s="111"/>
      <c r="AT188" s="109">
        <f ca="1">(AT64*ci_comp2)+(AT64*ct_comp2*'Time on treatment'!$D$20)</f>
        <v>0</v>
      </c>
      <c r="AU188" s="110">
        <f ca="1">(AU64*ct_comp2*'Time on treatment'!$E$20)</f>
        <v>0</v>
      </c>
      <c r="AX188" s="87" t="s">
        <v>173</v>
      </c>
      <c r="AY188" s="111"/>
      <c r="AZ188" s="111"/>
      <c r="BA188" s="111"/>
      <c r="BB188" s="109">
        <f ca="1">(BB64*ci_comp3)+(BB64*ct_comp3*'Time on treatment'!$D$21)</f>
        <v>0</v>
      </c>
      <c r="BC188" s="110">
        <f ca="1">(BC64*ct_comp3*'Time on treatment'!$E$21)</f>
        <v>0</v>
      </c>
      <c r="BF188" s="87" t="s">
        <v>173</v>
      </c>
      <c r="BG188" s="111"/>
      <c r="BH188" s="111"/>
      <c r="BI188" s="111"/>
      <c r="BJ188" s="109">
        <f ca="1">(BJ64*ci_comp4)+(BJ64*ct_comp4*'Time on treatment'!$D$22)</f>
        <v>0</v>
      </c>
      <c r="BK188" s="110">
        <f ca="1">(BK64*ct_comp4*'Time on treatment'!$E$22)</f>
        <v>0</v>
      </c>
      <c r="BN188" s="87" t="s">
        <v>173</v>
      </c>
      <c r="BO188" s="111"/>
      <c r="BP188" s="111"/>
      <c r="BQ188" s="111"/>
      <c r="BR188" s="109">
        <f ca="1">(BR64*ci_comp5)+(BR64*ct_comp5*'Time on treatment'!$D$23)</f>
        <v>0</v>
      </c>
      <c r="BS188" s="110">
        <f ca="1">(BS64*ct_comp5*'Time on treatment'!$E$23)</f>
        <v>0</v>
      </c>
      <c r="BV188" s="87" t="s">
        <v>173</v>
      </c>
      <c r="BW188" s="111"/>
      <c r="BX188" s="111"/>
      <c r="BY188" s="111"/>
      <c r="BZ188" s="109">
        <f ca="1">(BZ64*ci_comp6)+(BZ64*ct_comp6*'Time on treatment'!$D$24)</f>
        <v>0</v>
      </c>
      <c r="CA188" s="110">
        <f ca="1">(CA64*ct_comp6*'Time on treatment'!$E$24)</f>
        <v>0</v>
      </c>
      <c r="CD188" s="87" t="s">
        <v>173</v>
      </c>
      <c r="CE188" s="111"/>
      <c r="CF188" s="111"/>
      <c r="CG188" s="111"/>
      <c r="CH188" s="109">
        <f ca="1">(CH64*ci_comp7)+(CH64*ct_comp7*'Time on treatment'!$D$25)</f>
        <v>0</v>
      </c>
      <c r="CI188" s="110">
        <f ca="1">(CI64*ct_comp7*'Time on treatment'!$E$25)</f>
        <v>0</v>
      </c>
      <c r="CL188" s="87" t="s">
        <v>173</v>
      </c>
      <c r="CM188" s="111"/>
      <c r="CN188" s="111"/>
      <c r="CO188" s="111"/>
      <c r="CP188" s="109">
        <f ca="1">(CP64*ci_comp8)+(CP64*ct_comp8*'Time on treatment'!$D$26)</f>
        <v>0</v>
      </c>
      <c r="CQ188" s="110">
        <f ca="1">(CQ64*ct_comp8*'Time on treatment'!$E$26)</f>
        <v>0</v>
      </c>
      <c r="CT188" s="87" t="s">
        <v>173</v>
      </c>
      <c r="CU188" s="111"/>
      <c r="CV188" s="111"/>
      <c r="CW188" s="111"/>
      <c r="CX188" s="109">
        <f ca="1">(CX64*ci_comp9)+(CX64*ct_comp9*'Time on treatment'!$D$27)</f>
        <v>0</v>
      </c>
      <c r="CY188" s="110">
        <f ca="1">(CY64*ct_comp9*'Time on treatment'!$E$27)</f>
        <v>0</v>
      </c>
      <c r="DB188" s="87" t="s">
        <v>173</v>
      </c>
      <c r="DC188" s="111"/>
      <c r="DD188" s="111"/>
      <c r="DE188" s="111"/>
      <c r="DF188" s="109">
        <f ca="1">(DF64*ci_comp10)+(DF64*ct_comp10*'Time on treatment'!$D$28)</f>
        <v>0</v>
      </c>
      <c r="DG188" s="110">
        <f ca="1">(DG64*ct_comp10*'Time on treatment'!$E$28)</f>
        <v>0</v>
      </c>
    </row>
    <row r="189" spans="2:111">
      <c r="B189" s="87" t="s">
        <v>178</v>
      </c>
      <c r="C189" s="111"/>
      <c r="D189" s="111"/>
      <c r="E189" s="111"/>
      <c r="F189" s="109"/>
      <c r="G189" s="110"/>
      <c r="J189" s="87" t="s">
        <v>178</v>
      </c>
      <c r="K189" s="111"/>
      <c r="L189" s="111"/>
      <c r="M189" s="111"/>
      <c r="N189" s="109"/>
      <c r="O189" s="110"/>
      <c r="R189" s="87" t="s">
        <v>178</v>
      </c>
      <c r="S189" s="111"/>
      <c r="T189" s="111"/>
      <c r="U189" s="111"/>
      <c r="V189" s="109"/>
      <c r="W189" s="110"/>
      <c r="Z189" s="87" t="s">
        <v>178</v>
      </c>
      <c r="AA189" s="111"/>
      <c r="AB189" s="111"/>
      <c r="AC189" s="111"/>
      <c r="AD189" s="109"/>
      <c r="AE189" s="110"/>
      <c r="AH189" s="87" t="s">
        <v>178</v>
      </c>
      <c r="AI189" s="111"/>
      <c r="AJ189" s="111"/>
      <c r="AK189" s="111"/>
      <c r="AL189" s="109"/>
      <c r="AM189" s="110"/>
      <c r="AP189" s="87" t="s">
        <v>178</v>
      </c>
      <c r="AQ189" s="111"/>
      <c r="AR189" s="111"/>
      <c r="AS189" s="111"/>
      <c r="AT189" s="109"/>
      <c r="AU189" s="110"/>
      <c r="AX189" s="87" t="s">
        <v>178</v>
      </c>
      <c r="AY189" s="111"/>
      <c r="AZ189" s="111"/>
      <c r="BA189" s="111"/>
      <c r="BB189" s="109"/>
      <c r="BC189" s="110"/>
      <c r="BF189" s="87" t="s">
        <v>178</v>
      </c>
      <c r="BG189" s="111"/>
      <c r="BH189" s="111"/>
      <c r="BI189" s="111"/>
      <c r="BJ189" s="109"/>
      <c r="BK189" s="110"/>
      <c r="BN189" s="87" t="s">
        <v>178</v>
      </c>
      <c r="BO189" s="111"/>
      <c r="BP189" s="111"/>
      <c r="BQ189" s="111"/>
      <c r="BR189" s="109"/>
      <c r="BS189" s="110"/>
      <c r="BV189" s="87" t="s">
        <v>178</v>
      </c>
      <c r="BW189" s="111"/>
      <c r="BX189" s="111"/>
      <c r="BY189" s="111"/>
      <c r="BZ189" s="109"/>
      <c r="CA189" s="110"/>
      <c r="CD189" s="87" t="s">
        <v>178</v>
      </c>
      <c r="CE189" s="111"/>
      <c r="CF189" s="111"/>
      <c r="CG189" s="111"/>
      <c r="CH189" s="109"/>
      <c r="CI189" s="110"/>
      <c r="CL189" s="87" t="s">
        <v>178</v>
      </c>
      <c r="CM189" s="111"/>
      <c r="CN189" s="111"/>
      <c r="CO189" s="111"/>
      <c r="CP189" s="109"/>
      <c r="CQ189" s="110"/>
      <c r="CT189" s="87" t="s">
        <v>178</v>
      </c>
      <c r="CU189" s="111"/>
      <c r="CV189" s="111"/>
      <c r="CW189" s="111"/>
      <c r="CX189" s="109"/>
      <c r="CY189" s="110"/>
      <c r="DB189" s="87" t="s">
        <v>178</v>
      </c>
      <c r="DC189" s="111"/>
      <c r="DD189" s="111"/>
      <c r="DE189" s="111"/>
      <c r="DF189" s="109"/>
      <c r="DG189" s="110"/>
    </row>
    <row r="190" spans="2:111">
      <c r="B190" s="87" t="s">
        <v>174</v>
      </c>
      <c r="C190" s="111"/>
      <c r="D190" s="111"/>
      <c r="E190" s="111"/>
      <c r="F190" s="111"/>
      <c r="G190" s="110">
        <f ca="1">(G66*ci_int1)+(G66*ct_int1*'Time on treatment'!$D$12)</f>
        <v>0</v>
      </c>
      <c r="J190" s="87" t="s">
        <v>174</v>
      </c>
      <c r="K190" s="111"/>
      <c r="L190" s="111"/>
      <c r="M190" s="111"/>
      <c r="N190" s="111"/>
      <c r="O190" s="110">
        <f ca="1">(O66*ci_int2)+(O66*ct_int2*'Time on treatment'!$D$13)</f>
        <v>5396376.5088598765</v>
      </c>
      <c r="R190" s="87" t="s">
        <v>174</v>
      </c>
      <c r="S190" s="111"/>
      <c r="T190" s="111"/>
      <c r="U190" s="111"/>
      <c r="V190" s="111"/>
      <c r="W190" s="110">
        <f ca="1">(W66*ci_int3)+(W66*ct_int3*'Time on treatment'!$D$14)</f>
        <v>0</v>
      </c>
      <c r="Z190" s="87" t="s">
        <v>174</v>
      </c>
      <c r="AA190" s="111"/>
      <c r="AB190" s="111"/>
      <c r="AC190" s="111"/>
      <c r="AD190" s="111"/>
      <c r="AE190" s="110">
        <f ca="1">(AE66*ci_int4)+(AE66*ct_int4*'Time on treatment'!$D$15)</f>
        <v>0</v>
      </c>
      <c r="AH190" s="87" t="s">
        <v>174</v>
      </c>
      <c r="AI190" s="111"/>
      <c r="AJ190" s="111"/>
      <c r="AK190" s="111"/>
      <c r="AL190" s="111"/>
      <c r="AM190" s="110">
        <f ca="1">(AM66*ci_comp1)+(AM66*ct_comp1*'Time on treatment'!$D$19)</f>
        <v>4970188.8201735001</v>
      </c>
      <c r="AP190" s="87" t="s">
        <v>174</v>
      </c>
      <c r="AQ190" s="111"/>
      <c r="AR190" s="111"/>
      <c r="AS190" s="111"/>
      <c r="AT190" s="111"/>
      <c r="AU190" s="110">
        <f ca="1">(AU66*ci_comp2)+(AU66*ct_comp2*'Time on treatment'!$D$20)</f>
        <v>0</v>
      </c>
      <c r="AX190" s="87" t="s">
        <v>174</v>
      </c>
      <c r="AY190" s="111"/>
      <c r="AZ190" s="111"/>
      <c r="BA190" s="111"/>
      <c r="BB190" s="111"/>
      <c r="BC190" s="110">
        <f ca="1">(BC66*ci_comp3)+(BC66*ct_comp3*'Time on treatment'!$D$21)</f>
        <v>0</v>
      </c>
      <c r="BF190" s="87" t="s">
        <v>174</v>
      </c>
      <c r="BG190" s="111"/>
      <c r="BH190" s="111"/>
      <c r="BI190" s="111"/>
      <c r="BJ190" s="111"/>
      <c r="BK190" s="110">
        <f ca="1">(BK66*ci_comp4)+(BK66*ct_comp4*'Time on treatment'!$D$22)</f>
        <v>0</v>
      </c>
      <c r="BN190" s="87" t="s">
        <v>174</v>
      </c>
      <c r="BO190" s="111"/>
      <c r="BP190" s="111"/>
      <c r="BQ190" s="111"/>
      <c r="BR190" s="111"/>
      <c r="BS190" s="110">
        <f ca="1">(BS66*ci_comp5)+(BS66*ct_comp5*'Time on treatment'!$D$23)</f>
        <v>0</v>
      </c>
      <c r="BV190" s="87" t="s">
        <v>174</v>
      </c>
      <c r="BW190" s="111"/>
      <c r="BX190" s="111"/>
      <c r="BY190" s="111"/>
      <c r="BZ190" s="111"/>
      <c r="CA190" s="110">
        <f ca="1">(CA66*ci_comp6)+(CA66*ct_comp6*'Time on treatment'!$D$24)</f>
        <v>0</v>
      </c>
      <c r="CD190" s="87" t="s">
        <v>174</v>
      </c>
      <c r="CE190" s="111"/>
      <c r="CF190" s="111"/>
      <c r="CG190" s="111"/>
      <c r="CH190" s="111"/>
      <c r="CI190" s="110">
        <f ca="1">(CI66*ci_comp7)+(CI66*ct_comp7*'Time on treatment'!$D$25)</f>
        <v>0</v>
      </c>
      <c r="CL190" s="87" t="s">
        <v>174</v>
      </c>
      <c r="CM190" s="111"/>
      <c r="CN190" s="111"/>
      <c r="CO190" s="111"/>
      <c r="CP190" s="111"/>
      <c r="CQ190" s="110">
        <f ca="1">(CQ66*ci_comp8)+(CQ66*ct_comp8*'Time on treatment'!$D$26)</f>
        <v>0</v>
      </c>
      <c r="CT190" s="87" t="s">
        <v>174</v>
      </c>
      <c r="CU190" s="111"/>
      <c r="CV190" s="111"/>
      <c r="CW190" s="111"/>
      <c r="CX190" s="111"/>
      <c r="CY190" s="110">
        <f ca="1">(CY66*ci_comp9)+(CY66*ct_comp9*'Time on treatment'!$D$27)</f>
        <v>0</v>
      </c>
      <c r="DB190" s="87" t="s">
        <v>174</v>
      </c>
      <c r="DC190" s="111"/>
      <c r="DD190" s="111"/>
      <c r="DE190" s="111"/>
      <c r="DF190" s="111"/>
      <c r="DG190" s="110">
        <f ca="1">(DG66*ci_comp10)+(DG66*ct_comp10*'Time on treatment'!$D$28)</f>
        <v>0</v>
      </c>
    </row>
    <row r="191" spans="2:111" ht="15" thickBot="1">
      <c r="B191" s="87" t="s">
        <v>179</v>
      </c>
      <c r="C191" s="111"/>
      <c r="D191" s="111"/>
      <c r="E191" s="111"/>
      <c r="F191" s="111"/>
      <c r="G191" s="112"/>
      <c r="J191" s="87" t="s">
        <v>179</v>
      </c>
      <c r="K191" s="111"/>
      <c r="L191" s="111"/>
      <c r="M191" s="111"/>
      <c r="N191" s="111"/>
      <c r="O191" s="112"/>
      <c r="R191" s="87" t="s">
        <v>179</v>
      </c>
      <c r="S191" s="111"/>
      <c r="T191" s="111"/>
      <c r="U191" s="111"/>
      <c r="V191" s="111"/>
      <c r="W191" s="112"/>
      <c r="Z191" s="87" t="s">
        <v>179</v>
      </c>
      <c r="AA191" s="111"/>
      <c r="AB191" s="111"/>
      <c r="AC191" s="111"/>
      <c r="AD191" s="111"/>
      <c r="AE191" s="112"/>
      <c r="AH191" s="87" t="s">
        <v>179</v>
      </c>
      <c r="AI191" s="111"/>
      <c r="AJ191" s="111"/>
      <c r="AK191" s="111"/>
      <c r="AL191" s="111"/>
      <c r="AM191" s="112"/>
      <c r="AP191" s="87" t="s">
        <v>179</v>
      </c>
      <c r="AQ191" s="111"/>
      <c r="AR191" s="111"/>
      <c r="AS191" s="111"/>
      <c r="AT191" s="111"/>
      <c r="AU191" s="112"/>
      <c r="AX191" s="87" t="s">
        <v>179</v>
      </c>
      <c r="AY191" s="111"/>
      <c r="AZ191" s="111"/>
      <c r="BA191" s="111"/>
      <c r="BB191" s="111"/>
      <c r="BC191" s="112"/>
      <c r="BF191" s="87" t="s">
        <v>179</v>
      </c>
      <c r="BG191" s="111"/>
      <c r="BH191" s="111"/>
      <c r="BI191" s="111"/>
      <c r="BJ191" s="111"/>
      <c r="BK191" s="112"/>
      <c r="BN191" s="87" t="s">
        <v>179</v>
      </c>
      <c r="BO191" s="111"/>
      <c r="BP191" s="111"/>
      <c r="BQ191" s="111"/>
      <c r="BR191" s="111"/>
      <c r="BS191" s="112"/>
      <c r="BV191" s="87" t="s">
        <v>179</v>
      </c>
      <c r="BW191" s="111"/>
      <c r="BX191" s="111"/>
      <c r="BY191" s="111"/>
      <c r="BZ191" s="111"/>
      <c r="CA191" s="112"/>
      <c r="CD191" s="87" t="s">
        <v>179</v>
      </c>
      <c r="CE191" s="111"/>
      <c r="CF191" s="111"/>
      <c r="CG191" s="111"/>
      <c r="CH191" s="111"/>
      <c r="CI191" s="112"/>
      <c r="CL191" s="87" t="s">
        <v>179</v>
      </c>
      <c r="CM191" s="111"/>
      <c r="CN191" s="111"/>
      <c r="CO191" s="111"/>
      <c r="CP191" s="111"/>
      <c r="CQ191" s="112"/>
      <c r="CT191" s="87" t="s">
        <v>179</v>
      </c>
      <c r="CU191" s="111"/>
      <c r="CV191" s="111"/>
      <c r="CW191" s="111"/>
      <c r="CX191" s="111"/>
      <c r="CY191" s="112"/>
      <c r="DB191" s="87" t="s">
        <v>179</v>
      </c>
      <c r="DC191" s="111"/>
      <c r="DD191" s="111"/>
      <c r="DE191" s="111"/>
      <c r="DF191" s="111"/>
      <c r="DG191" s="112"/>
    </row>
    <row r="192" spans="2:111" ht="15" thickBot="1">
      <c r="B192" s="85" t="str">
        <f>B164</f>
        <v>Drug 1</v>
      </c>
      <c r="C192" s="113">
        <f ca="1">SUM(C182:C190)</f>
        <v>0</v>
      </c>
      <c r="D192" s="113">
        <f ca="1">SUM(D182:D190)</f>
        <v>0</v>
      </c>
      <c r="E192" s="113">
        <f ca="1">SUM(E182:E190)</f>
        <v>0</v>
      </c>
      <c r="F192" s="113">
        <f ca="1">SUM(F182:F190)</f>
        <v>0</v>
      </c>
      <c r="G192" s="114">
        <f ca="1">SUM(G182:G190)</f>
        <v>0</v>
      </c>
      <c r="J192" s="85" t="str">
        <f>J164</f>
        <v>Drug 2</v>
      </c>
      <c r="K192" s="113">
        <f ca="1">SUM(K182:K190)</f>
        <v>418749.60073398007</v>
      </c>
      <c r="L192" s="113">
        <f ca="1">SUM(L182:L190)</f>
        <v>2095841.8926549205</v>
      </c>
      <c r="M192" s="113">
        <f ca="1">SUM(M182:M190)</f>
        <v>5870022.7060558461</v>
      </c>
      <c r="N192" s="113">
        <f ca="1">SUM(N182:N190)</f>
        <v>10645820.372327521</v>
      </c>
      <c r="O192" s="114">
        <f ca="1">SUM(O182:O190)</f>
        <v>15760616.156330783</v>
      </c>
      <c r="R192" s="85">
        <f>R164</f>
        <v>0</v>
      </c>
      <c r="S192" s="113">
        <f ca="1">SUM(S182:S190)</f>
        <v>0</v>
      </c>
      <c r="T192" s="113">
        <f ca="1">SUM(T182:T190)</f>
        <v>0</v>
      </c>
      <c r="U192" s="113">
        <f ca="1">SUM(U182:U190)</f>
        <v>0</v>
      </c>
      <c r="V192" s="113">
        <f ca="1">SUM(V182:V190)</f>
        <v>0</v>
      </c>
      <c r="W192" s="114">
        <f ca="1">SUM(W182:W190)</f>
        <v>0</v>
      </c>
      <c r="Z192" s="85">
        <f>Z164</f>
        <v>0</v>
      </c>
      <c r="AA192" s="113">
        <f ca="1">SUM(AA182:AA190)</f>
        <v>0</v>
      </c>
      <c r="AB192" s="113">
        <f ca="1">SUM(AB182:AB190)</f>
        <v>0</v>
      </c>
      <c r="AC192" s="113">
        <f ca="1">SUM(AC182:AC190)</f>
        <v>0</v>
      </c>
      <c r="AD192" s="113">
        <f ca="1">SUM(AD182:AD190)</f>
        <v>0</v>
      </c>
      <c r="AE192" s="114">
        <f ca="1">SUM(AE182:AE190)</f>
        <v>0</v>
      </c>
      <c r="AH192" s="85" t="str">
        <f>AH164</f>
        <v>BSC</v>
      </c>
      <c r="AI192" s="113">
        <f ca="1">SUM(AI182:AI190)</f>
        <v>6299410.01148648</v>
      </c>
      <c r="AJ192" s="113">
        <f ca="1">SUM(AJ182:AJ190)</f>
        <v>12259583.415717481</v>
      </c>
      <c r="AK192" s="113">
        <f ca="1">SUM(AK182:AK190)</f>
        <v>17612115.87057846</v>
      </c>
      <c r="AL192" s="113">
        <f ca="1">SUM(AL182:AL190)</f>
        <v>22676193.57166779</v>
      </c>
      <c r="AM192" s="114">
        <f ca="1">SUM(AM182:AM190)</f>
        <v>27646382.391841292</v>
      </c>
      <c r="AP192" s="85">
        <f>AP164</f>
        <v>0</v>
      </c>
      <c r="AQ192" s="113">
        <f ca="1">SUM(AQ182:AQ190)</f>
        <v>0</v>
      </c>
      <c r="AR192" s="113">
        <f ca="1">SUM(AR182:AR190)</f>
        <v>0</v>
      </c>
      <c r="AS192" s="113">
        <f ca="1">SUM(AS182:AS190)</f>
        <v>0</v>
      </c>
      <c r="AT192" s="113">
        <f ca="1">SUM(AT182:AT190)</f>
        <v>0</v>
      </c>
      <c r="AU192" s="114">
        <f ca="1">SUM(AU182:AU190)</f>
        <v>0</v>
      </c>
      <c r="AX192" s="85">
        <f>AX164</f>
        <v>0</v>
      </c>
      <c r="AY192" s="113">
        <f ca="1">SUM(AY182:AY190)</f>
        <v>0</v>
      </c>
      <c r="AZ192" s="113">
        <f ca="1">SUM(AZ182:AZ190)</f>
        <v>0</v>
      </c>
      <c r="BA192" s="113">
        <f ca="1">SUM(BA182:BA190)</f>
        <v>0</v>
      </c>
      <c r="BB192" s="113">
        <f ca="1">SUM(BB182:BB190)</f>
        <v>0</v>
      </c>
      <c r="BC192" s="114">
        <f ca="1">SUM(BC182:BC190)</f>
        <v>0</v>
      </c>
      <c r="BF192" s="85">
        <f>BF164</f>
        <v>0</v>
      </c>
      <c r="BG192" s="113">
        <f ca="1">SUM(BG182:BG190)</f>
        <v>0</v>
      </c>
      <c r="BH192" s="113">
        <f ca="1">SUM(BH182:BH190)</f>
        <v>0</v>
      </c>
      <c r="BI192" s="113">
        <f ca="1">SUM(BI182:BI190)</f>
        <v>0</v>
      </c>
      <c r="BJ192" s="113">
        <f ca="1">SUM(BJ182:BJ190)</f>
        <v>0</v>
      </c>
      <c r="BK192" s="114">
        <f ca="1">SUM(BK182:BK190)</f>
        <v>0</v>
      </c>
      <c r="BN192" s="85">
        <f>BN164</f>
        <v>0</v>
      </c>
      <c r="BO192" s="113">
        <f ca="1">SUM(BO182:BO190)</f>
        <v>0</v>
      </c>
      <c r="BP192" s="113">
        <f ca="1">SUM(BP182:BP190)</f>
        <v>0</v>
      </c>
      <c r="BQ192" s="113">
        <f ca="1">SUM(BQ182:BQ190)</f>
        <v>0</v>
      </c>
      <c r="BR192" s="113">
        <f ca="1">SUM(BR182:BR190)</f>
        <v>0</v>
      </c>
      <c r="BS192" s="114">
        <f ca="1">SUM(BS182:BS190)</f>
        <v>0</v>
      </c>
      <c r="BV192" s="85">
        <f>BV164</f>
        <v>0</v>
      </c>
      <c r="BW192" s="113">
        <f ca="1">SUM(BW182:BW190)</f>
        <v>0</v>
      </c>
      <c r="BX192" s="113">
        <f ca="1">SUM(BX182:BX190)</f>
        <v>0</v>
      </c>
      <c r="BY192" s="113">
        <f ca="1">SUM(BY182:BY190)</f>
        <v>0</v>
      </c>
      <c r="BZ192" s="113">
        <f ca="1">SUM(BZ182:BZ190)</f>
        <v>0</v>
      </c>
      <c r="CA192" s="114">
        <f ca="1">SUM(CA182:CA190)</f>
        <v>0</v>
      </c>
      <c r="CD192" s="85">
        <f>CD164</f>
        <v>0</v>
      </c>
      <c r="CE192" s="113">
        <f ca="1">SUM(CE182:CE190)</f>
        <v>0</v>
      </c>
      <c r="CF192" s="113">
        <f ca="1">SUM(CF182:CF190)</f>
        <v>0</v>
      </c>
      <c r="CG192" s="113">
        <f ca="1">SUM(CG182:CG190)</f>
        <v>0</v>
      </c>
      <c r="CH192" s="113">
        <f ca="1">SUM(CH182:CH190)</f>
        <v>0</v>
      </c>
      <c r="CI192" s="114">
        <f ca="1">SUM(CI182:CI190)</f>
        <v>0</v>
      </c>
      <c r="CL192" s="85">
        <f>CL164</f>
        <v>0</v>
      </c>
      <c r="CM192" s="113">
        <f ca="1">SUM(CM182:CM190)</f>
        <v>0</v>
      </c>
      <c r="CN192" s="113">
        <f ca="1">SUM(CN182:CN190)</f>
        <v>0</v>
      </c>
      <c r="CO192" s="113">
        <f ca="1">SUM(CO182:CO190)</f>
        <v>0</v>
      </c>
      <c r="CP192" s="113">
        <f ca="1">SUM(CP182:CP190)</f>
        <v>0</v>
      </c>
      <c r="CQ192" s="114">
        <f ca="1">SUM(CQ182:CQ190)</f>
        <v>0</v>
      </c>
      <c r="CT192" s="85">
        <f>CT164</f>
        <v>0</v>
      </c>
      <c r="CU192" s="113">
        <f ca="1">SUM(CU182:CU190)</f>
        <v>0</v>
      </c>
      <c r="CV192" s="113">
        <f ca="1">SUM(CV182:CV190)</f>
        <v>0</v>
      </c>
      <c r="CW192" s="113">
        <f ca="1">SUM(CW182:CW190)</f>
        <v>0</v>
      </c>
      <c r="CX192" s="113">
        <f ca="1">SUM(CX182:CX190)</f>
        <v>0</v>
      </c>
      <c r="CY192" s="114">
        <f ca="1">SUM(CY182:CY190)</f>
        <v>0</v>
      </c>
      <c r="DB192" s="85">
        <f>DB164</f>
        <v>0</v>
      </c>
      <c r="DC192" s="113">
        <f ca="1">SUM(DC182:DC190)</f>
        <v>0</v>
      </c>
      <c r="DD192" s="113">
        <f ca="1">SUM(DD182:DD190)</f>
        <v>0</v>
      </c>
      <c r="DE192" s="113">
        <f ca="1">SUM(DE182:DE190)</f>
        <v>0</v>
      </c>
      <c r="DF192" s="113">
        <f ca="1">SUM(DF182:DF190)</f>
        <v>0</v>
      </c>
      <c r="DG192" s="114">
        <f ca="1">SUM(DG182:DG190)</f>
        <v>0</v>
      </c>
    </row>
    <row r="193" spans="2:111" ht="15" thickBot="1">
      <c r="B193" s="83"/>
      <c r="C193" s="83"/>
      <c r="D193" s="83"/>
      <c r="E193" s="83"/>
      <c r="F193" s="83"/>
      <c r="G193" s="83"/>
      <c r="J193" s="83"/>
      <c r="K193" s="83"/>
      <c r="L193" s="83"/>
      <c r="M193" s="83"/>
      <c r="N193" s="83"/>
      <c r="O193" s="83"/>
      <c r="R193" s="83"/>
      <c r="S193" s="83"/>
      <c r="T193" s="83"/>
      <c r="U193" s="83"/>
      <c r="V193" s="83"/>
      <c r="W193" s="83"/>
      <c r="Z193" s="83"/>
      <c r="AA193" s="83"/>
      <c r="AB193" s="83"/>
      <c r="AC193" s="83"/>
      <c r="AD193" s="83"/>
      <c r="AE193" s="83"/>
      <c r="AH193" s="83"/>
      <c r="AI193" s="83"/>
      <c r="AJ193" s="83"/>
      <c r="AK193" s="83"/>
      <c r="AL193" s="83"/>
      <c r="AM193" s="83"/>
      <c r="AP193" s="83"/>
      <c r="AQ193" s="83"/>
      <c r="AR193" s="83"/>
      <c r="AS193" s="83"/>
      <c r="AT193" s="83"/>
      <c r="AU193" s="83"/>
      <c r="AX193" s="83"/>
      <c r="AY193" s="83"/>
      <c r="AZ193" s="83"/>
      <c r="BA193" s="83"/>
      <c r="BB193" s="83"/>
      <c r="BC193" s="83"/>
      <c r="BF193" s="83"/>
      <c r="BG193" s="83"/>
      <c r="BH193" s="83"/>
      <c r="BI193" s="83"/>
      <c r="BJ193" s="83"/>
      <c r="BK193" s="83"/>
      <c r="BN193" s="83"/>
      <c r="BO193" s="83"/>
      <c r="BP193" s="83"/>
      <c r="BQ193" s="83"/>
      <c r="BR193" s="83"/>
      <c r="BS193" s="83"/>
      <c r="BV193" s="83"/>
      <c r="BW193" s="83"/>
      <c r="BX193" s="83"/>
      <c r="BY193" s="83"/>
      <c r="BZ193" s="83"/>
      <c r="CA193" s="83"/>
      <c r="CD193" s="83"/>
      <c r="CE193" s="83"/>
      <c r="CF193" s="83"/>
      <c r="CG193" s="83"/>
      <c r="CH193" s="83"/>
      <c r="CI193" s="83"/>
      <c r="CL193" s="83"/>
      <c r="CM193" s="83"/>
      <c r="CN193" s="83"/>
      <c r="CO193" s="83"/>
      <c r="CP193" s="83"/>
      <c r="CQ193" s="83"/>
      <c r="CT193" s="83"/>
      <c r="CU193" s="83"/>
      <c r="CV193" s="83"/>
      <c r="CW193" s="83"/>
      <c r="CX193" s="83"/>
      <c r="CY193" s="83"/>
      <c r="DB193" s="83"/>
      <c r="DC193" s="83"/>
      <c r="DD193" s="83"/>
      <c r="DE193" s="83"/>
      <c r="DF193" s="83"/>
      <c r="DG193" s="83"/>
    </row>
    <row r="194" spans="2:111" ht="15" thickBot="1">
      <c r="B194" s="508" t="str">
        <f>B133</f>
        <v>Both drugs</v>
      </c>
      <c r="C194" s="506"/>
      <c r="D194" s="506"/>
      <c r="E194" s="506"/>
      <c r="F194" s="506"/>
      <c r="G194" s="507"/>
      <c r="J194" s="508" t="str">
        <f>J133</f>
        <v>Both drugs</v>
      </c>
      <c r="K194" s="506"/>
      <c r="L194" s="506"/>
      <c r="M194" s="506"/>
      <c r="N194" s="506"/>
      <c r="O194" s="507"/>
      <c r="R194" s="508" t="str">
        <f>R133</f>
        <v>Both drugs</v>
      </c>
      <c r="S194" s="506"/>
      <c r="T194" s="506"/>
      <c r="U194" s="506"/>
      <c r="V194" s="506"/>
      <c r="W194" s="507"/>
      <c r="Z194" s="508" t="str">
        <f>Z133</f>
        <v>Both drugs</v>
      </c>
      <c r="AA194" s="506"/>
      <c r="AB194" s="506"/>
      <c r="AC194" s="506"/>
      <c r="AD194" s="506"/>
      <c r="AE194" s="507"/>
      <c r="AH194" s="508" t="str">
        <f>AH133</f>
        <v>Both drugs</v>
      </c>
      <c r="AI194" s="506"/>
      <c r="AJ194" s="506"/>
      <c r="AK194" s="506"/>
      <c r="AL194" s="506"/>
      <c r="AM194" s="507"/>
      <c r="AP194" s="508" t="str">
        <f>AP133</f>
        <v>Both drugs</v>
      </c>
      <c r="AQ194" s="506"/>
      <c r="AR194" s="506"/>
      <c r="AS194" s="506"/>
      <c r="AT194" s="506"/>
      <c r="AU194" s="507"/>
      <c r="AX194" s="508" t="str">
        <f>AX133</f>
        <v>Both drugs</v>
      </c>
      <c r="AY194" s="506"/>
      <c r="AZ194" s="506"/>
      <c r="BA194" s="506"/>
      <c r="BB194" s="506"/>
      <c r="BC194" s="507"/>
      <c r="BF194" s="508" t="str">
        <f>BF133</f>
        <v>Both drugs</v>
      </c>
      <c r="BG194" s="506"/>
      <c r="BH194" s="506"/>
      <c r="BI194" s="506"/>
      <c r="BJ194" s="506"/>
      <c r="BK194" s="507"/>
      <c r="BN194" s="508" t="str">
        <f>BN133</f>
        <v>Both drugs</v>
      </c>
      <c r="BO194" s="506"/>
      <c r="BP194" s="506"/>
      <c r="BQ194" s="506"/>
      <c r="BR194" s="506"/>
      <c r="BS194" s="507"/>
      <c r="BV194" s="508" t="str">
        <f>BV133</f>
        <v>Both drugs</v>
      </c>
      <c r="BW194" s="506"/>
      <c r="BX194" s="506"/>
      <c r="BY194" s="506"/>
      <c r="BZ194" s="506"/>
      <c r="CA194" s="507"/>
      <c r="CD194" s="508" t="str">
        <f>CD133</f>
        <v>Both drugs</v>
      </c>
      <c r="CE194" s="506"/>
      <c r="CF194" s="506"/>
      <c r="CG194" s="506"/>
      <c r="CH194" s="506"/>
      <c r="CI194" s="507"/>
      <c r="CL194" s="508" t="str">
        <f>CL133</f>
        <v>Both drugs</v>
      </c>
      <c r="CM194" s="506"/>
      <c r="CN194" s="506"/>
      <c r="CO194" s="506"/>
      <c r="CP194" s="506"/>
      <c r="CQ194" s="507"/>
      <c r="CT194" s="508" t="str">
        <f>CT133</f>
        <v>Both drugs</v>
      </c>
      <c r="CU194" s="506"/>
      <c r="CV194" s="506"/>
      <c r="CW194" s="506"/>
      <c r="CX194" s="506"/>
      <c r="CY194" s="507"/>
      <c r="DB194" s="508" t="str">
        <f>DB133</f>
        <v>Both drugs</v>
      </c>
      <c r="DC194" s="506"/>
      <c r="DD194" s="506"/>
      <c r="DE194" s="506"/>
      <c r="DF194" s="506"/>
      <c r="DG194" s="507"/>
    </row>
    <row r="195" spans="2:111">
      <c r="B195" s="84"/>
      <c r="C195" s="101">
        <f>C134</f>
        <v>2026</v>
      </c>
      <c r="D195" s="101">
        <f t="shared" ref="D195:F195" si="370">D134</f>
        <v>2027</v>
      </c>
      <c r="E195" s="101">
        <f t="shared" si="370"/>
        <v>2028</v>
      </c>
      <c r="F195" s="101">
        <f t="shared" si="370"/>
        <v>2029</v>
      </c>
      <c r="G195" s="102">
        <f>G134</f>
        <v>2030</v>
      </c>
      <c r="J195" s="84"/>
      <c r="K195" s="101">
        <f>K134</f>
        <v>2026</v>
      </c>
      <c r="L195" s="101">
        <f t="shared" ref="L195:N195" si="371">L134</f>
        <v>2027</v>
      </c>
      <c r="M195" s="101">
        <f t="shared" si="371"/>
        <v>2028</v>
      </c>
      <c r="N195" s="101">
        <f t="shared" si="371"/>
        <v>2029</v>
      </c>
      <c r="O195" s="102">
        <f>O134</f>
        <v>2030</v>
      </c>
      <c r="R195" s="84"/>
      <c r="S195" s="101">
        <f>S134</f>
        <v>2026</v>
      </c>
      <c r="T195" s="101">
        <f t="shared" ref="T195:V195" si="372">T134</f>
        <v>2027</v>
      </c>
      <c r="U195" s="101">
        <f t="shared" si="372"/>
        <v>2028</v>
      </c>
      <c r="V195" s="101">
        <f t="shared" si="372"/>
        <v>2029</v>
      </c>
      <c r="W195" s="102">
        <f>W134</f>
        <v>2030</v>
      </c>
      <c r="Z195" s="84"/>
      <c r="AA195" s="101">
        <f>AA134</f>
        <v>2026</v>
      </c>
      <c r="AB195" s="101">
        <f t="shared" ref="AB195:AD195" si="373">AB134</f>
        <v>2027</v>
      </c>
      <c r="AC195" s="101">
        <f t="shared" si="373"/>
        <v>2028</v>
      </c>
      <c r="AD195" s="101">
        <f t="shared" si="373"/>
        <v>2029</v>
      </c>
      <c r="AE195" s="102">
        <f>AE134</f>
        <v>2030</v>
      </c>
      <c r="AH195" s="84"/>
      <c r="AI195" s="101">
        <f>AI134</f>
        <v>2026</v>
      </c>
      <c r="AJ195" s="101">
        <f t="shared" ref="AJ195:AL195" si="374">AJ134</f>
        <v>2027</v>
      </c>
      <c r="AK195" s="101">
        <f t="shared" si="374"/>
        <v>2028</v>
      </c>
      <c r="AL195" s="101">
        <f t="shared" si="374"/>
        <v>2029</v>
      </c>
      <c r="AM195" s="102">
        <f>AM134</f>
        <v>2030</v>
      </c>
      <c r="AP195" s="84"/>
      <c r="AQ195" s="101">
        <f>AQ134</f>
        <v>2026</v>
      </c>
      <c r="AR195" s="101">
        <f t="shared" ref="AR195:AT195" si="375">AR134</f>
        <v>2027</v>
      </c>
      <c r="AS195" s="101">
        <f t="shared" si="375"/>
        <v>2028</v>
      </c>
      <c r="AT195" s="101">
        <f t="shared" si="375"/>
        <v>2029</v>
      </c>
      <c r="AU195" s="102">
        <f>AU134</f>
        <v>2030</v>
      </c>
      <c r="AX195" s="84"/>
      <c r="AY195" s="101">
        <f>AY134</f>
        <v>2026</v>
      </c>
      <c r="AZ195" s="101">
        <f t="shared" ref="AZ195:BB195" si="376">AZ134</f>
        <v>2027</v>
      </c>
      <c r="BA195" s="101">
        <f t="shared" si="376"/>
        <v>2028</v>
      </c>
      <c r="BB195" s="101">
        <f t="shared" si="376"/>
        <v>2029</v>
      </c>
      <c r="BC195" s="102">
        <f>BC134</f>
        <v>2030</v>
      </c>
      <c r="BF195" s="84"/>
      <c r="BG195" s="101">
        <f>BG134</f>
        <v>2026</v>
      </c>
      <c r="BH195" s="101">
        <f t="shared" ref="BH195:BJ195" si="377">BH134</f>
        <v>2027</v>
      </c>
      <c r="BI195" s="101">
        <f t="shared" si="377"/>
        <v>2028</v>
      </c>
      <c r="BJ195" s="101">
        <f t="shared" si="377"/>
        <v>2029</v>
      </c>
      <c r="BK195" s="102">
        <f>BK134</f>
        <v>2030</v>
      </c>
      <c r="BN195" s="84"/>
      <c r="BO195" s="101">
        <f>BO134</f>
        <v>2026</v>
      </c>
      <c r="BP195" s="101">
        <f t="shared" ref="BP195:BR195" si="378">BP134</f>
        <v>2027</v>
      </c>
      <c r="BQ195" s="101">
        <f t="shared" si="378"/>
        <v>2028</v>
      </c>
      <c r="BR195" s="101">
        <f t="shared" si="378"/>
        <v>2029</v>
      </c>
      <c r="BS195" s="102">
        <f>BS134</f>
        <v>2030</v>
      </c>
      <c r="BV195" s="84"/>
      <c r="BW195" s="101">
        <f>BW134</f>
        <v>2026</v>
      </c>
      <c r="BX195" s="101">
        <f t="shared" ref="BX195:BZ195" si="379">BX134</f>
        <v>2027</v>
      </c>
      <c r="BY195" s="101">
        <f t="shared" si="379"/>
        <v>2028</v>
      </c>
      <c r="BZ195" s="101">
        <f t="shared" si="379"/>
        <v>2029</v>
      </c>
      <c r="CA195" s="102">
        <f>CA134</f>
        <v>2030</v>
      </c>
      <c r="CD195" s="84"/>
      <c r="CE195" s="101">
        <f>CE134</f>
        <v>2026</v>
      </c>
      <c r="CF195" s="101">
        <f t="shared" ref="CF195:CH195" si="380">CF134</f>
        <v>2027</v>
      </c>
      <c r="CG195" s="101">
        <f t="shared" si="380"/>
        <v>2028</v>
      </c>
      <c r="CH195" s="101">
        <f t="shared" si="380"/>
        <v>2029</v>
      </c>
      <c r="CI195" s="102">
        <f>CI134</f>
        <v>2030</v>
      </c>
      <c r="CL195" s="84"/>
      <c r="CM195" s="101">
        <f>CM134</f>
        <v>2026</v>
      </c>
      <c r="CN195" s="101">
        <f t="shared" ref="CN195:CP195" si="381">CN134</f>
        <v>2027</v>
      </c>
      <c r="CO195" s="101">
        <f t="shared" si="381"/>
        <v>2028</v>
      </c>
      <c r="CP195" s="101">
        <f t="shared" si="381"/>
        <v>2029</v>
      </c>
      <c r="CQ195" s="102">
        <f>CQ134</f>
        <v>2030</v>
      </c>
      <c r="CT195" s="84"/>
      <c r="CU195" s="101">
        <f>CU134</f>
        <v>2026</v>
      </c>
      <c r="CV195" s="101">
        <f t="shared" ref="CV195:CX195" si="382">CV134</f>
        <v>2027</v>
      </c>
      <c r="CW195" s="101">
        <f t="shared" si="382"/>
        <v>2028</v>
      </c>
      <c r="CX195" s="101">
        <f t="shared" si="382"/>
        <v>2029</v>
      </c>
      <c r="CY195" s="102">
        <f>CY134</f>
        <v>2030</v>
      </c>
      <c r="DB195" s="84"/>
      <c r="DC195" s="101">
        <f>DC134</f>
        <v>2026</v>
      </c>
      <c r="DD195" s="101">
        <f t="shared" ref="DD195:DF195" si="383">DD134</f>
        <v>2027</v>
      </c>
      <c r="DE195" s="101">
        <f t="shared" si="383"/>
        <v>2028</v>
      </c>
      <c r="DF195" s="101">
        <f t="shared" si="383"/>
        <v>2029</v>
      </c>
      <c r="DG195" s="102">
        <f>DG134</f>
        <v>2030</v>
      </c>
    </row>
    <row r="196" spans="2:111">
      <c r="B196" s="87" t="s">
        <v>170</v>
      </c>
      <c r="C196" s="109">
        <f ca="1">(C73*ci_int1)+(C73*ct_int1*'Time on treatment'!$D$12)</f>
        <v>887750.24954400002</v>
      </c>
      <c r="D196" s="109">
        <f ca="1">(D73*ct_int1*'Time on treatment'!$E$12)</f>
        <v>843362.73706680001</v>
      </c>
      <c r="E196" s="109">
        <f ca="1">(E73*ct_int1*'Time on treatment'!$F$12)</f>
        <v>0</v>
      </c>
      <c r="F196" s="109">
        <f ca="1">(F73*ct_int1*'Time on treatment'!$G$12)</f>
        <v>0</v>
      </c>
      <c r="G196" s="110">
        <f ca="1">(G73*ct_int1*'Time on treatment'!$H$12)</f>
        <v>0</v>
      </c>
      <c r="J196" s="87" t="s">
        <v>170</v>
      </c>
      <c r="K196" s="109">
        <f ca="1">(K73*ci_int2)+(K73*ct_int2*'Time on treatment'!$D$13)</f>
        <v>418749.60073398007</v>
      </c>
      <c r="L196" s="109">
        <f ca="1">(L73*ct_int2*'Time on treatment'!$E$13)</f>
        <v>407689.43821142043</v>
      </c>
      <c r="M196" s="109">
        <f ca="1">(M73*ct_int2*'Time on treatment'!$F$13)</f>
        <v>399369.24559486087</v>
      </c>
      <c r="N196" s="109">
        <f ca="1">(N73*ct_int2*'Time on treatment'!$G$13)</f>
        <v>382728.86036174168</v>
      </c>
      <c r="O196" s="110">
        <f ca="1">(O73*ct_int2*'Time on treatment'!$H$13)</f>
        <v>374408.667745182</v>
      </c>
      <c r="R196" s="87" t="s">
        <v>170</v>
      </c>
      <c r="S196" s="109">
        <f ca="1">(S73*ci_int3)+(S73*ct_int3*'Time on treatment'!$D$14)</f>
        <v>0</v>
      </c>
      <c r="T196" s="109">
        <f ca="1">(T73*ct_int3*'Time on treatment'!$E$14)</f>
        <v>0</v>
      </c>
      <c r="U196" s="109">
        <f ca="1">(U73*ct_int3*'Time on treatment'!$F$14)</f>
        <v>0</v>
      </c>
      <c r="V196" s="109">
        <f ca="1">(V73*ct_int3*'Time on treatment'!$G$14)</f>
        <v>0</v>
      </c>
      <c r="W196" s="110">
        <f ca="1">(W73*ct_int3*'Time on treatment'!$H$14)</f>
        <v>0</v>
      </c>
      <c r="Z196" s="87" t="s">
        <v>170</v>
      </c>
      <c r="AA196" s="109">
        <f ca="1">(AA73*ci_int4)+(AA73*ct_int4*'Time on treatment'!$D$15)</f>
        <v>0</v>
      </c>
      <c r="AB196" s="109">
        <f ca="1">(AB73*ct_int4*'Time on treatment'!$E$15)</f>
        <v>0</v>
      </c>
      <c r="AC196" s="109">
        <f ca="1">(AC73*ct_int4*'Time on treatment'!$F$15)</f>
        <v>0</v>
      </c>
      <c r="AD196" s="109">
        <f ca="1">(AD73*ct_int4*'Time on treatment'!$G$15)</f>
        <v>0</v>
      </c>
      <c r="AE196" s="110">
        <f ca="1">(AE73*ct_int4*'Time on treatment'!$H$15)</f>
        <v>0</v>
      </c>
      <c r="AH196" s="87" t="s">
        <v>170</v>
      </c>
      <c r="AI196" s="109">
        <f ca="1">(AI73*ci_comp1)+(AI73*ct_comp1*'Time on treatment'!$D$19)</f>
        <v>6106570.9295022003</v>
      </c>
      <c r="AJ196" s="109">
        <f ca="1">(AJ73*ct_comp1*'Time on treatment'!$E$19)</f>
        <v>6106570.9295022003</v>
      </c>
      <c r="AK196" s="109">
        <f ca="1">(AK73*ct_comp1*'Time on treatment'!$F$19)</f>
        <v>6106570.9295022003</v>
      </c>
      <c r="AL196" s="109">
        <f ca="1">(AL73*ct_comp1*'Time on treatment'!$G$19)</f>
        <v>6106570.9295022003</v>
      </c>
      <c r="AM196" s="110">
        <f ca="1">(AM73*ct_comp1*'Time on treatment'!$H$19)</f>
        <v>6106570.9295022003</v>
      </c>
      <c r="AP196" s="87" t="s">
        <v>170</v>
      </c>
      <c r="AQ196" s="109">
        <f ca="1">(AQ73*ci_comp2)+(AQ73*ct_comp2*'Time on treatment'!$D$20)</f>
        <v>0</v>
      </c>
      <c r="AR196" s="109">
        <f ca="1">(AR73*ct_comp2*'Time on treatment'!$E$20)</f>
        <v>0</v>
      </c>
      <c r="AS196" s="109">
        <f ca="1">(AS73*ct_comp2*'Time on treatment'!$F$20)</f>
        <v>0</v>
      </c>
      <c r="AT196" s="109">
        <f ca="1">(AT73*ct_comp2*'Time on treatment'!$G$20)</f>
        <v>0</v>
      </c>
      <c r="AU196" s="110">
        <f ca="1">(AU73*ct_comp2*'Time on treatment'!$H$20)</f>
        <v>0</v>
      </c>
      <c r="AX196" s="87" t="s">
        <v>170</v>
      </c>
      <c r="AY196" s="109">
        <f ca="1">(AY73*ci_comp3)+(AY73*ct_comp3*'Time on treatment'!$D$21)</f>
        <v>0</v>
      </c>
      <c r="AZ196" s="109">
        <f ca="1">(AZ73*ct_comp3*'Time on treatment'!$E$21)</f>
        <v>0</v>
      </c>
      <c r="BA196" s="109">
        <f ca="1">(BA73*ct_comp3*'Time on treatment'!$F$21)</f>
        <v>0</v>
      </c>
      <c r="BB196" s="109">
        <f ca="1">(BB73*ct_comp3*'Time on treatment'!$G$21)</f>
        <v>0</v>
      </c>
      <c r="BC196" s="110">
        <f ca="1">(BC73*ct_comp3*'Time on treatment'!$H$21)</f>
        <v>0</v>
      </c>
      <c r="BF196" s="87" t="s">
        <v>170</v>
      </c>
      <c r="BG196" s="109">
        <f ca="1">(BG73*ci_comp4)+(BG73*ct_comp4*'Time on treatment'!$D$22)</f>
        <v>0</v>
      </c>
      <c r="BH196" s="109">
        <f ca="1">(BH73*ct_comp4*'Time on treatment'!$E$22)</f>
        <v>0</v>
      </c>
      <c r="BI196" s="109">
        <f ca="1">(BI73*ct_comp4*'Time on treatment'!$F$22)</f>
        <v>0</v>
      </c>
      <c r="BJ196" s="109">
        <f ca="1">(BJ73*ct_comp4*'Time on treatment'!$G$22)</f>
        <v>0</v>
      </c>
      <c r="BK196" s="110">
        <f ca="1">(BK73*ct_comp4*'Time on treatment'!$H$22)</f>
        <v>0</v>
      </c>
      <c r="BN196" s="87" t="s">
        <v>170</v>
      </c>
      <c r="BO196" s="109">
        <f ca="1">(BO73*ci_comp5)+(BO73*ct_comp5*'Time on treatment'!$D$23)</f>
        <v>0</v>
      </c>
      <c r="BP196" s="109">
        <f ca="1">(BP73*ct_comp5*'Time on treatment'!$E$23)</f>
        <v>0</v>
      </c>
      <c r="BQ196" s="109">
        <f ca="1">(BQ73*ct_comp5*'Time on treatment'!$F$23)</f>
        <v>0</v>
      </c>
      <c r="BR196" s="109">
        <f ca="1">(BR73*ct_comp5*'Time on treatment'!$G$23)</f>
        <v>0</v>
      </c>
      <c r="BS196" s="110">
        <f ca="1">(BS73*ct_comp5*'Time on treatment'!$H$23)</f>
        <v>0</v>
      </c>
      <c r="BV196" s="87" t="s">
        <v>170</v>
      </c>
      <c r="BW196" s="109">
        <f ca="1">(BW73*ci_comp6)+(BW73*ct_comp6*'Time on treatment'!$D$24)</f>
        <v>0</v>
      </c>
      <c r="BX196" s="109">
        <f ca="1">(BX73*ct_comp6*'Time on treatment'!$E$24)</f>
        <v>0</v>
      </c>
      <c r="BY196" s="109">
        <f ca="1">(BY73*ct_comp6*'Time on treatment'!$F$24)</f>
        <v>0</v>
      </c>
      <c r="BZ196" s="109">
        <f ca="1">(BZ73*ct_comp6*'Time on treatment'!$G$24)</f>
        <v>0</v>
      </c>
      <c r="CA196" s="110">
        <f ca="1">(CA73*ct_comp6*'Time on treatment'!$H$24)</f>
        <v>0</v>
      </c>
      <c r="CD196" s="87" t="s">
        <v>170</v>
      </c>
      <c r="CE196" s="109">
        <f ca="1">(CE73*ci_comp7)+(CE73*ct_comp7*'Time on treatment'!$D$25)</f>
        <v>0</v>
      </c>
      <c r="CF196" s="109">
        <f ca="1">(CF73*ct_comp7*'Time on treatment'!$E$25)</f>
        <v>0</v>
      </c>
      <c r="CG196" s="109">
        <f ca="1">(CG73*ct_comp7*'Time on treatment'!$F$25)</f>
        <v>0</v>
      </c>
      <c r="CH196" s="109">
        <f ca="1">(CH73*ct_comp7*'Time on treatment'!$G$25)</f>
        <v>0</v>
      </c>
      <c r="CI196" s="110">
        <f ca="1">(CI73*ct_comp7*'Time on treatment'!$H$25)</f>
        <v>0</v>
      </c>
      <c r="CL196" s="87" t="s">
        <v>170</v>
      </c>
      <c r="CM196" s="109">
        <f ca="1">(CM73*ci_comp8)+(CM73*ct_comp8*'Time on treatment'!$D$26)</f>
        <v>0</v>
      </c>
      <c r="CN196" s="109">
        <f ca="1">(CN73*ct_comp8*'Time on treatment'!$E$26)</f>
        <v>0</v>
      </c>
      <c r="CO196" s="109">
        <f ca="1">(CO73*ct_comp8*'Time on treatment'!$F$26)</f>
        <v>0</v>
      </c>
      <c r="CP196" s="109">
        <f ca="1">(CP73*ct_comp8*'Time on treatment'!$G$26)</f>
        <v>0</v>
      </c>
      <c r="CQ196" s="110">
        <f ca="1">(CQ73*ct_comp8*'Time on treatment'!$H$26)</f>
        <v>0</v>
      </c>
      <c r="CT196" s="87" t="s">
        <v>170</v>
      </c>
      <c r="CU196" s="109">
        <f ca="1">(CU73*ci_comp9)+(CU73*ct_comp9*'Time on treatment'!$D$27)</f>
        <v>0</v>
      </c>
      <c r="CV196" s="109">
        <f ca="1">(CV73*ct_comp9*'Time on treatment'!$E$27)</f>
        <v>0</v>
      </c>
      <c r="CW196" s="109">
        <f ca="1">(CW73*ct_comp9*'Time on treatment'!$F$27)</f>
        <v>0</v>
      </c>
      <c r="CX196" s="109">
        <f ca="1">(CX73*ct_comp9*'Time on treatment'!$G$27)</f>
        <v>0</v>
      </c>
      <c r="CY196" s="110">
        <f ca="1">(CY73*ct_comp9*'Time on treatment'!$H$27)</f>
        <v>0</v>
      </c>
      <c r="DB196" s="87" t="s">
        <v>170</v>
      </c>
      <c r="DC196" s="109">
        <f ca="1">(DC73*ci_comp10)+(DC73*ct_comp10*'Time on treatment'!$D$28)</f>
        <v>0</v>
      </c>
      <c r="DD196" s="109">
        <f ca="1">(DD73*ct_comp10*'Time on treatment'!$E$28)</f>
        <v>0</v>
      </c>
      <c r="DE196" s="109">
        <f ca="1">(DE73*ct_comp10*'Time on treatment'!$F$28)</f>
        <v>0</v>
      </c>
      <c r="DF196" s="109">
        <f ca="1">(DF73*ct_comp10*'Time on treatment'!$G$28)</f>
        <v>0</v>
      </c>
      <c r="DG196" s="110">
        <f ca="1">(DG73*ct_comp10*'Time on treatment'!$H$28)</f>
        <v>0</v>
      </c>
    </row>
    <row r="197" spans="2:111">
      <c r="B197" s="87" t="s">
        <v>175</v>
      </c>
      <c r="C197" s="109"/>
      <c r="D197" s="109"/>
      <c r="E197" s="109"/>
      <c r="F197" s="109"/>
      <c r="G197" s="110"/>
      <c r="J197" s="87" t="s">
        <v>175</v>
      </c>
      <c r="K197" s="109"/>
      <c r="L197" s="109"/>
      <c r="M197" s="109"/>
      <c r="N197" s="109"/>
      <c r="O197" s="110"/>
      <c r="R197" s="87" t="s">
        <v>175</v>
      </c>
      <c r="S197" s="109"/>
      <c r="T197" s="109"/>
      <c r="U197" s="109"/>
      <c r="V197" s="109"/>
      <c r="W197" s="110"/>
      <c r="Z197" s="87" t="s">
        <v>175</v>
      </c>
      <c r="AA197" s="109"/>
      <c r="AB197" s="109"/>
      <c r="AC197" s="109"/>
      <c r="AD197" s="109"/>
      <c r="AE197" s="110"/>
      <c r="AH197" s="87" t="s">
        <v>175</v>
      </c>
      <c r="AI197" s="109"/>
      <c r="AJ197" s="109"/>
      <c r="AK197" s="109"/>
      <c r="AL197" s="109"/>
      <c r="AM197" s="110"/>
      <c r="AP197" s="87" t="s">
        <v>175</v>
      </c>
      <c r="AQ197" s="109"/>
      <c r="AR197" s="109"/>
      <c r="AS197" s="109"/>
      <c r="AT197" s="109"/>
      <c r="AU197" s="110"/>
      <c r="AX197" s="87" t="s">
        <v>175</v>
      </c>
      <c r="AY197" s="109"/>
      <c r="AZ197" s="109"/>
      <c r="BA197" s="109"/>
      <c r="BB197" s="109"/>
      <c r="BC197" s="110"/>
      <c r="BF197" s="87" t="s">
        <v>175</v>
      </c>
      <c r="BG197" s="109"/>
      <c r="BH197" s="109"/>
      <c r="BI197" s="109"/>
      <c r="BJ197" s="109"/>
      <c r="BK197" s="110"/>
      <c r="BN197" s="87" t="s">
        <v>175</v>
      </c>
      <c r="BO197" s="109"/>
      <c r="BP197" s="109"/>
      <c r="BQ197" s="109"/>
      <c r="BR197" s="109"/>
      <c r="BS197" s="110"/>
      <c r="BV197" s="87" t="s">
        <v>175</v>
      </c>
      <c r="BW197" s="109"/>
      <c r="BX197" s="109"/>
      <c r="BY197" s="109"/>
      <c r="BZ197" s="109"/>
      <c r="CA197" s="110"/>
      <c r="CD197" s="87" t="s">
        <v>175</v>
      </c>
      <c r="CE197" s="109"/>
      <c r="CF197" s="109"/>
      <c r="CG197" s="109"/>
      <c r="CH197" s="109"/>
      <c r="CI197" s="110"/>
      <c r="CL197" s="87" t="s">
        <v>175</v>
      </c>
      <c r="CM197" s="109"/>
      <c r="CN197" s="109"/>
      <c r="CO197" s="109"/>
      <c r="CP197" s="109"/>
      <c r="CQ197" s="110"/>
      <c r="CT197" s="87" t="s">
        <v>175</v>
      </c>
      <c r="CU197" s="109"/>
      <c r="CV197" s="109"/>
      <c r="CW197" s="109"/>
      <c r="CX197" s="109"/>
      <c r="CY197" s="110"/>
      <c r="DB197" s="87" t="s">
        <v>175</v>
      </c>
      <c r="DC197" s="109"/>
      <c r="DD197" s="109"/>
      <c r="DE197" s="109"/>
      <c r="DF197" s="109"/>
      <c r="DG197" s="110"/>
    </row>
    <row r="198" spans="2:111">
      <c r="B198" s="87" t="s">
        <v>171</v>
      </c>
      <c r="C198" s="111"/>
      <c r="D198" s="109">
        <f ca="1">(D75*ci_int1)+(D75*ct_int1*'Time on treatment'!$D$12)</f>
        <v>2982406.3514999999</v>
      </c>
      <c r="E198" s="109">
        <f ca="1">(E75*ct_int1*'Time on treatment'!$E$12)</f>
        <v>2833286.0339250006</v>
      </c>
      <c r="F198" s="109">
        <f ca="1">(F75*ct_int1*'Time on treatment'!$F$12)</f>
        <v>0</v>
      </c>
      <c r="G198" s="110">
        <f ca="1">(G75*ct_int1*'Time on treatment'!$G$12)</f>
        <v>0</v>
      </c>
      <c r="J198" s="87" t="s">
        <v>171</v>
      </c>
      <c r="K198" s="111"/>
      <c r="L198" s="109">
        <f ca="1">(L75*ci_int2)+(L75*ct_int2*'Time on treatment'!$D$13)</f>
        <v>1688152.4544434999</v>
      </c>
      <c r="M198" s="109">
        <f ca="1">(M75*ct_int2*'Time on treatment'!$E$13)</f>
        <v>1643564.3748936299</v>
      </c>
      <c r="N198" s="109">
        <f ca="1">(N75*ct_int2*'Time on treatment'!$F$13)</f>
        <v>1610022.2447937601</v>
      </c>
      <c r="O198" s="110">
        <f ca="1">(O75*ct_int2*'Time on treatment'!$G$13)</f>
        <v>1542937.9845940203</v>
      </c>
      <c r="R198" s="87" t="s">
        <v>171</v>
      </c>
      <c r="S198" s="111"/>
      <c r="T198" s="109">
        <f ca="1">(T75*ci_int3)+(T75*ct_int3*'Time on treatment'!$D$14)</f>
        <v>0</v>
      </c>
      <c r="U198" s="109">
        <f ca="1">(U75*ct_int3*'Time on treatment'!$E$14)</f>
        <v>0</v>
      </c>
      <c r="V198" s="109">
        <f ca="1">(V75*ct_int3*'Time on treatment'!$F$14)</f>
        <v>0</v>
      </c>
      <c r="W198" s="110">
        <f ca="1">(W75*ct_int3*'Time on treatment'!$G$14)</f>
        <v>0</v>
      </c>
      <c r="Z198" s="87" t="s">
        <v>171</v>
      </c>
      <c r="AA198" s="111"/>
      <c r="AB198" s="109">
        <f ca="1">(AB75*ci_int4)+(AB75*ct_int4*'Time on treatment'!$D$15)</f>
        <v>0</v>
      </c>
      <c r="AC198" s="109">
        <f ca="1">(AC75*ct_int4*'Time on treatment'!$E$15)</f>
        <v>0</v>
      </c>
      <c r="AD198" s="109">
        <f ca="1">(AD75*ct_int4*'Time on treatment'!$F$15)</f>
        <v>0</v>
      </c>
      <c r="AE198" s="110">
        <f ca="1">(AE75*ct_int4*'Time on treatment'!$G$15)</f>
        <v>0</v>
      </c>
      <c r="AH198" s="87" t="s">
        <v>171</v>
      </c>
      <c r="AI198" s="111"/>
      <c r="AJ198" s="109">
        <f ca="1">(AJ75*ci_comp1)+(AJ75*ct_comp1*'Time on treatment'!$D$19)</f>
        <v>5312328.4689885005</v>
      </c>
      <c r="AK198" s="109">
        <f ca="1">(AK75*ct_comp1*'Time on treatment'!$E$19)</f>
        <v>5312328.4689885005</v>
      </c>
      <c r="AL198" s="109">
        <f ca="1">(AL75*ct_comp1*'Time on treatment'!$F$19)</f>
        <v>5312328.4689885005</v>
      </c>
      <c r="AM198" s="110">
        <f ca="1">(AM75*ct_comp1*'Time on treatment'!$G$19)</f>
        <v>5312328.4689885005</v>
      </c>
      <c r="AP198" s="87" t="s">
        <v>171</v>
      </c>
      <c r="AQ198" s="111"/>
      <c r="AR198" s="109">
        <f ca="1">(AR75*ci_comp2)+(AR75*ct_comp2*'Time on treatment'!$D$20)</f>
        <v>0</v>
      </c>
      <c r="AS198" s="109">
        <f ca="1">(AS75*ct_comp2*'Time on treatment'!$E$20)</f>
        <v>0</v>
      </c>
      <c r="AT198" s="109">
        <f ca="1">(AT75*ct_comp2*'Time on treatment'!$F$20)</f>
        <v>0</v>
      </c>
      <c r="AU198" s="110">
        <f ca="1">(AU75*ct_comp2*'Time on treatment'!$G$20)</f>
        <v>0</v>
      </c>
      <c r="AX198" s="87" t="s">
        <v>171</v>
      </c>
      <c r="AY198" s="111"/>
      <c r="AZ198" s="109">
        <f ca="1">(AZ75*ci_comp3)+(AZ75*ct_comp3*'Time on treatment'!$D$21)</f>
        <v>0</v>
      </c>
      <c r="BA198" s="109">
        <f ca="1">(BA75*ct_comp3*'Time on treatment'!$E$21)</f>
        <v>0</v>
      </c>
      <c r="BB198" s="109">
        <f ca="1">(BB75*ct_comp3*'Time on treatment'!$F$21)</f>
        <v>0</v>
      </c>
      <c r="BC198" s="110">
        <f ca="1">(BC75*ct_comp3*'Time on treatment'!$G$21)</f>
        <v>0</v>
      </c>
      <c r="BF198" s="87" t="s">
        <v>171</v>
      </c>
      <c r="BG198" s="111"/>
      <c r="BH198" s="109">
        <f ca="1">(BH75*ci_comp4)+(BH75*ct_comp4*'Time on treatment'!$D$22)</f>
        <v>0</v>
      </c>
      <c r="BI198" s="109">
        <f ca="1">(BI75*ct_comp4*'Time on treatment'!$E$22)</f>
        <v>0</v>
      </c>
      <c r="BJ198" s="109">
        <f ca="1">(BJ75*ct_comp4*'Time on treatment'!$F$22)</f>
        <v>0</v>
      </c>
      <c r="BK198" s="110">
        <f ca="1">(BK75*ct_comp4*'Time on treatment'!$G$22)</f>
        <v>0</v>
      </c>
      <c r="BN198" s="87" t="s">
        <v>171</v>
      </c>
      <c r="BO198" s="111"/>
      <c r="BP198" s="109">
        <f ca="1">(BP75*ci_comp5)+(BP75*ct_comp5*'Time on treatment'!$D$23)</f>
        <v>0</v>
      </c>
      <c r="BQ198" s="109">
        <f ca="1">(BQ75*ct_comp5*'Time on treatment'!$E$23)</f>
        <v>0</v>
      </c>
      <c r="BR198" s="109">
        <f ca="1">(BR75*ct_comp5*'Time on treatment'!$F$23)</f>
        <v>0</v>
      </c>
      <c r="BS198" s="110">
        <f ca="1">(BS75*ct_comp5*'Time on treatment'!$G$23)</f>
        <v>0</v>
      </c>
      <c r="BV198" s="87" t="s">
        <v>171</v>
      </c>
      <c r="BW198" s="111"/>
      <c r="BX198" s="109">
        <f ca="1">(BX75*ci_comp6)+(BX75*ct_comp6*'Time on treatment'!$D$24)</f>
        <v>0</v>
      </c>
      <c r="BY198" s="109">
        <f ca="1">(BY75*ct_comp6*'Time on treatment'!$E$24)</f>
        <v>0</v>
      </c>
      <c r="BZ198" s="109">
        <f ca="1">(BZ75*ct_comp6*'Time on treatment'!$F$24)</f>
        <v>0</v>
      </c>
      <c r="CA198" s="110">
        <f ca="1">(CA75*ct_comp6*'Time on treatment'!$G$24)</f>
        <v>0</v>
      </c>
      <c r="CD198" s="87" t="s">
        <v>171</v>
      </c>
      <c r="CE198" s="111"/>
      <c r="CF198" s="109">
        <f ca="1">(CF75*ci_comp7)+(CF75*ct_comp7*'Time on treatment'!$D$25)</f>
        <v>0</v>
      </c>
      <c r="CG198" s="109">
        <f ca="1">(CG75*ct_comp7*'Time on treatment'!$E$25)</f>
        <v>0</v>
      </c>
      <c r="CH198" s="109">
        <f ca="1">(CH75*ct_comp7*'Time on treatment'!$F$25)</f>
        <v>0</v>
      </c>
      <c r="CI198" s="110">
        <f ca="1">(CI75*ct_comp7*'Time on treatment'!$G$25)</f>
        <v>0</v>
      </c>
      <c r="CL198" s="87" t="s">
        <v>171</v>
      </c>
      <c r="CM198" s="111"/>
      <c r="CN198" s="109">
        <f ca="1">(CN75*ci_comp8)+(CN75*ct_comp8*'Time on treatment'!$D$26)</f>
        <v>0</v>
      </c>
      <c r="CO198" s="109">
        <f ca="1">(CO75*ct_comp8*'Time on treatment'!$E$26)</f>
        <v>0</v>
      </c>
      <c r="CP198" s="109">
        <f ca="1">(CP75*ct_comp8*'Time on treatment'!$F$26)</f>
        <v>0</v>
      </c>
      <c r="CQ198" s="110">
        <f ca="1">(CQ75*ct_comp8*'Time on treatment'!$G$26)</f>
        <v>0</v>
      </c>
      <c r="CT198" s="87" t="s">
        <v>171</v>
      </c>
      <c r="CU198" s="111"/>
      <c r="CV198" s="109">
        <f ca="1">(CV75*ci_comp9)+(CV75*ct_comp9*'Time on treatment'!$D$27)</f>
        <v>0</v>
      </c>
      <c r="CW198" s="109">
        <f ca="1">(CW75*ct_comp9*'Time on treatment'!$E$27)</f>
        <v>0</v>
      </c>
      <c r="CX198" s="109">
        <f ca="1">(CX75*ct_comp9*'Time on treatment'!$F$27)</f>
        <v>0</v>
      </c>
      <c r="CY198" s="110">
        <f ca="1">(CY75*ct_comp9*'Time on treatment'!$G$27)</f>
        <v>0</v>
      </c>
      <c r="DB198" s="87" t="s">
        <v>171</v>
      </c>
      <c r="DC198" s="111"/>
      <c r="DD198" s="109">
        <f ca="1">(DD75*ci_comp10)+(DD75*ct_comp10*'Time on treatment'!$D$28)</f>
        <v>0</v>
      </c>
      <c r="DE198" s="109">
        <f ca="1">(DE75*ct_comp10*'Time on treatment'!$E$28)</f>
        <v>0</v>
      </c>
      <c r="DF198" s="109">
        <f ca="1">(DF75*ct_comp10*'Time on treatment'!$F$28)</f>
        <v>0</v>
      </c>
      <c r="DG198" s="110">
        <f ca="1">(DG75*ct_comp10*'Time on treatment'!$G$28)</f>
        <v>0</v>
      </c>
    </row>
    <row r="199" spans="2:111">
      <c r="B199" s="87" t="s">
        <v>176</v>
      </c>
      <c r="C199" s="111"/>
      <c r="D199" s="109"/>
      <c r="E199" s="109"/>
      <c r="F199" s="109"/>
      <c r="G199" s="110"/>
      <c r="J199" s="87" t="s">
        <v>176</v>
      </c>
      <c r="K199" s="111"/>
      <c r="L199" s="109"/>
      <c r="M199" s="109"/>
      <c r="N199" s="109"/>
      <c r="O199" s="110"/>
      <c r="R199" s="87" t="s">
        <v>176</v>
      </c>
      <c r="S199" s="111"/>
      <c r="T199" s="109"/>
      <c r="U199" s="109"/>
      <c r="V199" s="109"/>
      <c r="W199" s="110"/>
      <c r="Z199" s="87" t="s">
        <v>176</v>
      </c>
      <c r="AA199" s="111"/>
      <c r="AB199" s="109"/>
      <c r="AC199" s="109"/>
      <c r="AD199" s="109"/>
      <c r="AE199" s="110"/>
      <c r="AH199" s="87" t="s">
        <v>176</v>
      </c>
      <c r="AI199" s="111"/>
      <c r="AJ199" s="109"/>
      <c r="AK199" s="109"/>
      <c r="AL199" s="109"/>
      <c r="AM199" s="110"/>
      <c r="AP199" s="87" t="s">
        <v>176</v>
      </c>
      <c r="AQ199" s="111"/>
      <c r="AR199" s="109"/>
      <c r="AS199" s="109"/>
      <c r="AT199" s="109"/>
      <c r="AU199" s="110"/>
      <c r="AX199" s="87" t="s">
        <v>176</v>
      </c>
      <c r="AY199" s="111"/>
      <c r="AZ199" s="109"/>
      <c r="BA199" s="109"/>
      <c r="BB199" s="109"/>
      <c r="BC199" s="110"/>
      <c r="BF199" s="87" t="s">
        <v>176</v>
      </c>
      <c r="BG199" s="111"/>
      <c r="BH199" s="109"/>
      <c r="BI199" s="109"/>
      <c r="BJ199" s="109"/>
      <c r="BK199" s="110"/>
      <c r="BN199" s="87" t="s">
        <v>176</v>
      </c>
      <c r="BO199" s="111"/>
      <c r="BP199" s="109"/>
      <c r="BQ199" s="109"/>
      <c r="BR199" s="109"/>
      <c r="BS199" s="110"/>
      <c r="BV199" s="87" t="s">
        <v>176</v>
      </c>
      <c r="BW199" s="111"/>
      <c r="BX199" s="109"/>
      <c r="BY199" s="109"/>
      <c r="BZ199" s="109"/>
      <c r="CA199" s="110"/>
      <c r="CD199" s="87" t="s">
        <v>176</v>
      </c>
      <c r="CE199" s="111"/>
      <c r="CF199" s="109"/>
      <c r="CG199" s="109"/>
      <c r="CH199" s="109"/>
      <c r="CI199" s="110"/>
      <c r="CL199" s="87" t="s">
        <v>176</v>
      </c>
      <c r="CM199" s="111"/>
      <c r="CN199" s="109"/>
      <c r="CO199" s="109"/>
      <c r="CP199" s="109"/>
      <c r="CQ199" s="110"/>
      <c r="CT199" s="87" t="s">
        <v>176</v>
      </c>
      <c r="CU199" s="111"/>
      <c r="CV199" s="109"/>
      <c r="CW199" s="109"/>
      <c r="CX199" s="109"/>
      <c r="CY199" s="110"/>
      <c r="DB199" s="87" t="s">
        <v>176</v>
      </c>
      <c r="DC199" s="111"/>
      <c r="DD199" s="109"/>
      <c r="DE199" s="109"/>
      <c r="DF199" s="109"/>
      <c r="DG199" s="110"/>
    </row>
    <row r="200" spans="2:111">
      <c r="B200" s="87" t="s">
        <v>172</v>
      </c>
      <c r="C200" s="111"/>
      <c r="D200" s="111"/>
      <c r="E200" s="109">
        <f ca="1">(E77*ci_int1)+(E77*ct_int1*'Time on treatment'!$D$12)</f>
        <v>6009954.72444</v>
      </c>
      <c r="F200" s="109">
        <f ca="1">(F77*ct_int1*'Time on treatment'!$E$12)</f>
        <v>5709456.9882180002</v>
      </c>
      <c r="G200" s="110">
        <f ca="1">(G77*ct_int1*'Time on treatment'!$F$12)</f>
        <v>0</v>
      </c>
      <c r="J200" s="87" t="s">
        <v>172</v>
      </c>
      <c r="K200" s="111"/>
      <c r="L200" s="111"/>
      <c r="M200" s="109">
        <f ca="1">(M77*ci_int2)+(M77*ct_int2*'Time on treatment'!$D$13)</f>
        <v>3827089.0855673552</v>
      </c>
      <c r="N200" s="109">
        <f ca="1">(N77*ct_int2*'Time on treatment'!$E$13)</f>
        <v>3726006.6553978776</v>
      </c>
      <c r="O200" s="110">
        <f ca="1">(O77*ct_int2*'Time on treatment'!$F$13)</f>
        <v>3649965.7032469008</v>
      </c>
      <c r="R200" s="87" t="s">
        <v>172</v>
      </c>
      <c r="S200" s="111"/>
      <c r="T200" s="111"/>
      <c r="U200" s="109">
        <f ca="1">(U77*ci_int3)+(U77*ct_int3*'Time on treatment'!$D$14)</f>
        <v>0</v>
      </c>
      <c r="V200" s="109">
        <f ca="1">(V77*ct_int3*'Time on treatment'!$E$14)</f>
        <v>0</v>
      </c>
      <c r="W200" s="110">
        <f ca="1">(W77*ct_int3*'Time on treatment'!$F$14)</f>
        <v>0</v>
      </c>
      <c r="Z200" s="87" t="s">
        <v>172</v>
      </c>
      <c r="AA200" s="111"/>
      <c r="AB200" s="111"/>
      <c r="AC200" s="109">
        <f ca="1">(AC77*ci_int4)+(AC77*ct_int4*'Time on treatment'!$D$15)</f>
        <v>0</v>
      </c>
      <c r="AD200" s="109">
        <f ca="1">(AD77*ct_int4*'Time on treatment'!$E$15)</f>
        <v>0</v>
      </c>
      <c r="AE200" s="110">
        <f ca="1">(AE77*ct_int4*'Time on treatment'!$F$15)</f>
        <v>0</v>
      </c>
      <c r="AH200" s="87" t="s">
        <v>172</v>
      </c>
      <c r="AI200" s="111"/>
      <c r="AJ200" s="111"/>
      <c r="AK200" s="109">
        <f ca="1">(AK77*ci_comp1)+(AK77*ct_comp1*'Time on treatment'!$D$19)</f>
        <v>4047036.7341631805</v>
      </c>
      <c r="AL200" s="109">
        <f ca="1">(AL77*ct_comp1*'Time on treatment'!$E$19)</f>
        <v>4047036.7341631805</v>
      </c>
      <c r="AM200" s="110">
        <f ca="1">(AM77*ct_comp1*'Time on treatment'!$F$19)</f>
        <v>4047036.7341631805</v>
      </c>
      <c r="AP200" s="87" t="s">
        <v>172</v>
      </c>
      <c r="AQ200" s="111"/>
      <c r="AR200" s="111"/>
      <c r="AS200" s="109">
        <f ca="1">(AS77*ci_comp2)+(AS77*ct_comp2*'Time on treatment'!$D$20)</f>
        <v>0</v>
      </c>
      <c r="AT200" s="109">
        <f ca="1">(AT77*ct_comp2*'Time on treatment'!$E$20)</f>
        <v>0</v>
      </c>
      <c r="AU200" s="110">
        <f ca="1">(AU77*ct_comp2*'Time on treatment'!$F$20)</f>
        <v>0</v>
      </c>
      <c r="AX200" s="87" t="s">
        <v>172</v>
      </c>
      <c r="AY200" s="111"/>
      <c r="AZ200" s="111"/>
      <c r="BA200" s="109">
        <f ca="1">(BA77*ci_comp3)+(BA77*ct_comp3*'Time on treatment'!$D$21)</f>
        <v>0</v>
      </c>
      <c r="BB200" s="109">
        <f ca="1">(BB77*ct_comp3*'Time on treatment'!$E$21)</f>
        <v>0</v>
      </c>
      <c r="BC200" s="110">
        <f ca="1">(BC77*ct_comp3*'Time on treatment'!$F$21)</f>
        <v>0</v>
      </c>
      <c r="BF200" s="87" t="s">
        <v>172</v>
      </c>
      <c r="BG200" s="111"/>
      <c r="BH200" s="111"/>
      <c r="BI200" s="109">
        <f ca="1">(BI77*ci_comp4)+(BI77*ct_comp4*'Time on treatment'!$D$22)</f>
        <v>0</v>
      </c>
      <c r="BJ200" s="109">
        <f ca="1">(BJ77*ct_comp4*'Time on treatment'!$E$22)</f>
        <v>0</v>
      </c>
      <c r="BK200" s="110">
        <f ca="1">(BK77*ct_comp4*'Time on treatment'!$F$22)</f>
        <v>0</v>
      </c>
      <c r="BN200" s="87" t="s">
        <v>172</v>
      </c>
      <c r="BO200" s="111"/>
      <c r="BP200" s="111"/>
      <c r="BQ200" s="109">
        <f ca="1">(BQ77*ci_comp5)+(BQ77*ct_comp5*'Time on treatment'!$D$23)</f>
        <v>0</v>
      </c>
      <c r="BR200" s="109">
        <f ca="1">(BR77*ct_comp5*'Time on treatment'!$E$23)</f>
        <v>0</v>
      </c>
      <c r="BS200" s="110">
        <f ca="1">(BS77*ct_comp5*'Time on treatment'!$F$23)</f>
        <v>0</v>
      </c>
      <c r="BV200" s="87" t="s">
        <v>172</v>
      </c>
      <c r="BW200" s="111"/>
      <c r="BX200" s="111"/>
      <c r="BY200" s="109">
        <f ca="1">(BY77*ci_comp6)+(BY77*ct_comp6*'Time on treatment'!$D$24)</f>
        <v>0</v>
      </c>
      <c r="BZ200" s="109">
        <f ca="1">(BZ77*ct_comp6*'Time on treatment'!$E$24)</f>
        <v>0</v>
      </c>
      <c r="CA200" s="110">
        <f ca="1">(CA77*ct_comp6*'Time on treatment'!$F$24)</f>
        <v>0</v>
      </c>
      <c r="CD200" s="87" t="s">
        <v>172</v>
      </c>
      <c r="CE200" s="111"/>
      <c r="CF200" s="111"/>
      <c r="CG200" s="109">
        <f ca="1">(CG77*ci_comp7)+(CG77*ct_comp7*'Time on treatment'!$D$25)</f>
        <v>0</v>
      </c>
      <c r="CH200" s="109">
        <f ca="1">(CH77*ct_comp7*'Time on treatment'!$E$25)</f>
        <v>0</v>
      </c>
      <c r="CI200" s="110">
        <f ca="1">(CI77*ct_comp7*'Time on treatment'!$F$25)</f>
        <v>0</v>
      </c>
      <c r="CL200" s="87" t="s">
        <v>172</v>
      </c>
      <c r="CM200" s="111"/>
      <c r="CN200" s="111"/>
      <c r="CO200" s="109">
        <f ca="1">(CO77*ci_comp8)+(CO77*ct_comp8*'Time on treatment'!$D$26)</f>
        <v>0</v>
      </c>
      <c r="CP200" s="109">
        <f ca="1">(CP77*ct_comp8*'Time on treatment'!$E$26)</f>
        <v>0</v>
      </c>
      <c r="CQ200" s="110">
        <f ca="1">(CQ77*ct_comp8*'Time on treatment'!$F$26)</f>
        <v>0</v>
      </c>
      <c r="CT200" s="87" t="s">
        <v>172</v>
      </c>
      <c r="CU200" s="111"/>
      <c r="CV200" s="111"/>
      <c r="CW200" s="109">
        <f ca="1">(CW77*ci_comp9)+(CW77*ct_comp9*'Time on treatment'!$D$27)</f>
        <v>0</v>
      </c>
      <c r="CX200" s="109">
        <f ca="1">(CX77*ct_comp9*'Time on treatment'!$E$27)</f>
        <v>0</v>
      </c>
      <c r="CY200" s="110">
        <f ca="1">(CY77*ct_comp9*'Time on treatment'!$F$27)</f>
        <v>0</v>
      </c>
      <c r="DB200" s="87" t="s">
        <v>172</v>
      </c>
      <c r="DC200" s="111"/>
      <c r="DD200" s="111"/>
      <c r="DE200" s="109">
        <f ca="1">(DE77*ci_comp10)+(DE77*ct_comp10*'Time on treatment'!$D$28)</f>
        <v>0</v>
      </c>
      <c r="DF200" s="109">
        <f ca="1">(DF77*ct_comp10*'Time on treatment'!$E$28)</f>
        <v>0</v>
      </c>
      <c r="DG200" s="110">
        <f ca="1">(DG77*ct_comp10*'Time on treatment'!$F$28)</f>
        <v>0</v>
      </c>
    </row>
    <row r="201" spans="2:111">
      <c r="B201" s="87" t="s">
        <v>177</v>
      </c>
      <c r="C201" s="111"/>
      <c r="D201" s="111"/>
      <c r="E201" s="109"/>
      <c r="F201" s="109"/>
      <c r="G201" s="110"/>
      <c r="J201" s="87" t="s">
        <v>177</v>
      </c>
      <c r="K201" s="111"/>
      <c r="L201" s="111"/>
      <c r="M201" s="109"/>
      <c r="N201" s="109"/>
      <c r="O201" s="110"/>
      <c r="R201" s="87" t="s">
        <v>177</v>
      </c>
      <c r="S201" s="111"/>
      <c r="T201" s="111"/>
      <c r="U201" s="109"/>
      <c r="V201" s="109"/>
      <c r="W201" s="110"/>
      <c r="Z201" s="87" t="s">
        <v>177</v>
      </c>
      <c r="AA201" s="111"/>
      <c r="AB201" s="111"/>
      <c r="AC201" s="109"/>
      <c r="AD201" s="109"/>
      <c r="AE201" s="110"/>
      <c r="AH201" s="87" t="s">
        <v>177</v>
      </c>
      <c r="AI201" s="111"/>
      <c r="AJ201" s="111"/>
      <c r="AK201" s="109"/>
      <c r="AL201" s="109"/>
      <c r="AM201" s="110"/>
      <c r="AP201" s="87" t="s">
        <v>177</v>
      </c>
      <c r="AQ201" s="111"/>
      <c r="AR201" s="111"/>
      <c r="AS201" s="109"/>
      <c r="AT201" s="109"/>
      <c r="AU201" s="110"/>
      <c r="AX201" s="87" t="s">
        <v>177</v>
      </c>
      <c r="AY201" s="111"/>
      <c r="AZ201" s="111"/>
      <c r="BA201" s="109"/>
      <c r="BB201" s="109"/>
      <c r="BC201" s="110"/>
      <c r="BF201" s="87" t="s">
        <v>177</v>
      </c>
      <c r="BG201" s="111"/>
      <c r="BH201" s="111"/>
      <c r="BI201" s="109"/>
      <c r="BJ201" s="109"/>
      <c r="BK201" s="110"/>
      <c r="BN201" s="87" t="s">
        <v>177</v>
      </c>
      <c r="BO201" s="111"/>
      <c r="BP201" s="111"/>
      <c r="BQ201" s="109"/>
      <c r="BR201" s="109"/>
      <c r="BS201" s="110"/>
      <c r="BV201" s="87" t="s">
        <v>177</v>
      </c>
      <c r="BW201" s="111"/>
      <c r="BX201" s="111"/>
      <c r="BY201" s="109"/>
      <c r="BZ201" s="109"/>
      <c r="CA201" s="110"/>
      <c r="CD201" s="87" t="s">
        <v>177</v>
      </c>
      <c r="CE201" s="111"/>
      <c r="CF201" s="111"/>
      <c r="CG201" s="109"/>
      <c r="CH201" s="109"/>
      <c r="CI201" s="110"/>
      <c r="CL201" s="87" t="s">
        <v>177</v>
      </c>
      <c r="CM201" s="111"/>
      <c r="CN201" s="111"/>
      <c r="CO201" s="109"/>
      <c r="CP201" s="109"/>
      <c r="CQ201" s="110"/>
      <c r="CT201" s="87" t="s">
        <v>177</v>
      </c>
      <c r="CU201" s="111"/>
      <c r="CV201" s="111"/>
      <c r="CW201" s="109"/>
      <c r="CX201" s="109"/>
      <c r="CY201" s="110"/>
      <c r="DB201" s="87" t="s">
        <v>177</v>
      </c>
      <c r="DC201" s="111"/>
      <c r="DD201" s="111"/>
      <c r="DE201" s="109"/>
      <c r="DF201" s="109"/>
      <c r="DG201" s="110"/>
    </row>
    <row r="202" spans="2:111">
      <c r="B202" s="87" t="s">
        <v>173</v>
      </c>
      <c r="C202" s="111"/>
      <c r="D202" s="111"/>
      <c r="E202" s="111"/>
      <c r="F202" s="109">
        <f ca="1">(F79*ci_int1)+(F79*ct_int1*'Time on treatment'!$D$12)</f>
        <v>9082944.0282600001</v>
      </c>
      <c r="G202" s="110">
        <f ca="1">(G79*ct_int1*'Time on treatment'!$E$12)</f>
        <v>8628796.826847</v>
      </c>
      <c r="J202" s="87" t="s">
        <v>173</v>
      </c>
      <c r="K202" s="111"/>
      <c r="L202" s="111"/>
      <c r="M202" s="111"/>
      <c r="N202" s="109">
        <f ca="1">(N79*ci_int2)+(N79*ct_int2*'Time on treatment'!$D$13)</f>
        <v>4927062.6117741428</v>
      </c>
      <c r="O202" s="110">
        <f ca="1">(O79*ct_int2*'Time on treatment'!$E$13)</f>
        <v>4796927.2918848041</v>
      </c>
      <c r="R202" s="87" t="s">
        <v>173</v>
      </c>
      <c r="S202" s="111"/>
      <c r="T202" s="111"/>
      <c r="U202" s="111"/>
      <c r="V202" s="109">
        <f ca="1">(V79*ci_int3)+(V79*ct_int3*'Time on treatment'!$D$14)</f>
        <v>0</v>
      </c>
      <c r="W202" s="110">
        <f ca="1">(W79*ct_int3*'Time on treatment'!$E$14)</f>
        <v>0</v>
      </c>
      <c r="Z202" s="87" t="s">
        <v>173</v>
      </c>
      <c r="AA202" s="111"/>
      <c r="AB202" s="111"/>
      <c r="AC202" s="111"/>
      <c r="AD202" s="109">
        <f ca="1">(AD79*ci_int4)+(AD79*ct_int4*'Time on treatment'!$D$15)</f>
        <v>0</v>
      </c>
      <c r="AE202" s="110">
        <f ca="1">(AE79*ct_int4*'Time on treatment'!$E$15)</f>
        <v>0</v>
      </c>
      <c r="AH202" s="87" t="s">
        <v>173</v>
      </c>
      <c r="AI202" s="111"/>
      <c r="AJ202" s="111"/>
      <c r="AK202" s="111"/>
      <c r="AL202" s="109">
        <f ca="1">(AL79*ci_comp1)+(AL79*ct_comp1*'Time on treatment'!$D$19)</f>
        <v>3091060.4149506297</v>
      </c>
      <c r="AM202" s="110">
        <f ca="1">(AM79*ct_comp1*'Time on treatment'!$E$19)</f>
        <v>3091060.4149506297</v>
      </c>
      <c r="AP202" s="87" t="s">
        <v>173</v>
      </c>
      <c r="AQ202" s="111"/>
      <c r="AR202" s="111"/>
      <c r="AS202" s="111"/>
      <c r="AT202" s="109">
        <f ca="1">(AT79*ci_comp2)+(AT79*ct_comp2*'Time on treatment'!$D$20)</f>
        <v>0</v>
      </c>
      <c r="AU202" s="110">
        <f ca="1">(AU79*ct_comp2*'Time on treatment'!$E$20)</f>
        <v>0</v>
      </c>
      <c r="AX202" s="87" t="s">
        <v>173</v>
      </c>
      <c r="AY202" s="111"/>
      <c r="AZ202" s="111"/>
      <c r="BA202" s="111"/>
      <c r="BB202" s="109">
        <f ca="1">(BB79*ci_comp3)+(BB79*ct_comp3*'Time on treatment'!$D$21)</f>
        <v>0</v>
      </c>
      <c r="BC202" s="110">
        <f ca="1">(BC79*ct_comp3*'Time on treatment'!$E$21)</f>
        <v>0</v>
      </c>
      <c r="BF202" s="87" t="s">
        <v>173</v>
      </c>
      <c r="BG202" s="111"/>
      <c r="BH202" s="111"/>
      <c r="BI202" s="111"/>
      <c r="BJ202" s="109">
        <f ca="1">(BJ79*ci_comp4)+(BJ79*ct_comp4*'Time on treatment'!$D$22)</f>
        <v>0</v>
      </c>
      <c r="BK202" s="110">
        <f ca="1">(BK79*ct_comp4*'Time on treatment'!$E$22)</f>
        <v>0</v>
      </c>
      <c r="BN202" s="87" t="s">
        <v>173</v>
      </c>
      <c r="BO202" s="111"/>
      <c r="BP202" s="111"/>
      <c r="BQ202" s="111"/>
      <c r="BR202" s="109">
        <f ca="1">(BR79*ci_comp5)+(BR79*ct_comp5*'Time on treatment'!$D$23)</f>
        <v>0</v>
      </c>
      <c r="BS202" s="110">
        <f ca="1">(BS79*ct_comp5*'Time on treatment'!$E$23)</f>
        <v>0</v>
      </c>
      <c r="BV202" s="87" t="s">
        <v>173</v>
      </c>
      <c r="BW202" s="111"/>
      <c r="BX202" s="111"/>
      <c r="BY202" s="111"/>
      <c r="BZ202" s="109">
        <f ca="1">(BZ79*ci_comp6)+(BZ79*ct_comp6*'Time on treatment'!$D$24)</f>
        <v>0</v>
      </c>
      <c r="CA202" s="110">
        <f ca="1">(CA79*ct_comp6*'Time on treatment'!$E$24)</f>
        <v>0</v>
      </c>
      <c r="CD202" s="87" t="s">
        <v>173</v>
      </c>
      <c r="CE202" s="111"/>
      <c r="CF202" s="111"/>
      <c r="CG202" s="111"/>
      <c r="CH202" s="109">
        <f ca="1">(CH79*ci_comp7)+(CH79*ct_comp7*'Time on treatment'!$D$25)</f>
        <v>0</v>
      </c>
      <c r="CI202" s="110">
        <f ca="1">(CI79*ct_comp7*'Time on treatment'!$E$25)</f>
        <v>0</v>
      </c>
      <c r="CL202" s="87" t="s">
        <v>173</v>
      </c>
      <c r="CM202" s="111"/>
      <c r="CN202" s="111"/>
      <c r="CO202" s="111"/>
      <c r="CP202" s="109">
        <f ca="1">(CP79*ci_comp8)+(CP79*ct_comp8*'Time on treatment'!$D$26)</f>
        <v>0</v>
      </c>
      <c r="CQ202" s="110">
        <f ca="1">(CQ79*ct_comp8*'Time on treatment'!$E$26)</f>
        <v>0</v>
      </c>
      <c r="CT202" s="87" t="s">
        <v>173</v>
      </c>
      <c r="CU202" s="111"/>
      <c r="CV202" s="111"/>
      <c r="CW202" s="111"/>
      <c r="CX202" s="109">
        <f ca="1">(CX79*ci_comp9)+(CX79*ct_comp9*'Time on treatment'!$D$27)</f>
        <v>0</v>
      </c>
      <c r="CY202" s="110">
        <f ca="1">(CY79*ct_comp9*'Time on treatment'!$E$27)</f>
        <v>0</v>
      </c>
      <c r="DB202" s="87" t="s">
        <v>173</v>
      </c>
      <c r="DC202" s="111"/>
      <c r="DD202" s="111"/>
      <c r="DE202" s="111"/>
      <c r="DF202" s="109">
        <f ca="1">(DF79*ci_comp10)+(DF79*ct_comp10*'Time on treatment'!$D$28)</f>
        <v>0</v>
      </c>
      <c r="DG202" s="110">
        <f ca="1">(DG79*ct_comp10*'Time on treatment'!$E$28)</f>
        <v>0</v>
      </c>
    </row>
    <row r="203" spans="2:111">
      <c r="B203" s="87" t="s">
        <v>178</v>
      </c>
      <c r="C203" s="111"/>
      <c r="D203" s="111"/>
      <c r="E203" s="111"/>
      <c r="F203" s="109"/>
      <c r="G203" s="110"/>
      <c r="J203" s="87" t="s">
        <v>178</v>
      </c>
      <c r="K203" s="111"/>
      <c r="L203" s="111"/>
      <c r="M203" s="111"/>
      <c r="N203" s="109"/>
      <c r="O203" s="110"/>
      <c r="R203" s="87" t="s">
        <v>178</v>
      </c>
      <c r="S203" s="111"/>
      <c r="T203" s="111"/>
      <c r="U203" s="111"/>
      <c r="V203" s="109"/>
      <c r="W203" s="110"/>
      <c r="Z203" s="87" t="s">
        <v>178</v>
      </c>
      <c r="AA203" s="111"/>
      <c r="AB203" s="111"/>
      <c r="AC203" s="111"/>
      <c r="AD203" s="109"/>
      <c r="AE203" s="110"/>
      <c r="AH203" s="87" t="s">
        <v>178</v>
      </c>
      <c r="AI203" s="111"/>
      <c r="AJ203" s="111"/>
      <c r="AK203" s="111"/>
      <c r="AL203" s="109"/>
      <c r="AM203" s="110"/>
      <c r="AP203" s="87" t="s">
        <v>178</v>
      </c>
      <c r="AQ203" s="111"/>
      <c r="AR203" s="111"/>
      <c r="AS203" s="111"/>
      <c r="AT203" s="109"/>
      <c r="AU203" s="110"/>
      <c r="AX203" s="87" t="s">
        <v>178</v>
      </c>
      <c r="AY203" s="111"/>
      <c r="AZ203" s="111"/>
      <c r="BA203" s="111"/>
      <c r="BB203" s="109"/>
      <c r="BC203" s="110"/>
      <c r="BF203" s="87" t="s">
        <v>178</v>
      </c>
      <c r="BG203" s="111"/>
      <c r="BH203" s="111"/>
      <c r="BI203" s="111"/>
      <c r="BJ203" s="109"/>
      <c r="BK203" s="110"/>
      <c r="BN203" s="87" t="s">
        <v>178</v>
      </c>
      <c r="BO203" s="111"/>
      <c r="BP203" s="111"/>
      <c r="BQ203" s="111"/>
      <c r="BR203" s="109"/>
      <c r="BS203" s="110"/>
      <c r="BV203" s="87" t="s">
        <v>178</v>
      </c>
      <c r="BW203" s="111"/>
      <c r="BX203" s="111"/>
      <c r="BY203" s="111"/>
      <c r="BZ203" s="109"/>
      <c r="CA203" s="110"/>
      <c r="CD203" s="87" t="s">
        <v>178</v>
      </c>
      <c r="CE203" s="111"/>
      <c r="CF203" s="111"/>
      <c r="CG203" s="111"/>
      <c r="CH203" s="109"/>
      <c r="CI203" s="110"/>
      <c r="CL203" s="87" t="s">
        <v>178</v>
      </c>
      <c r="CM203" s="111"/>
      <c r="CN203" s="111"/>
      <c r="CO203" s="111"/>
      <c r="CP203" s="109"/>
      <c r="CQ203" s="110"/>
      <c r="CT203" s="87" t="s">
        <v>178</v>
      </c>
      <c r="CU203" s="111"/>
      <c r="CV203" s="111"/>
      <c r="CW203" s="111"/>
      <c r="CX203" s="109"/>
      <c r="CY203" s="110"/>
      <c r="DB203" s="87" t="s">
        <v>178</v>
      </c>
      <c r="DC203" s="111"/>
      <c r="DD203" s="111"/>
      <c r="DE203" s="111"/>
      <c r="DF203" s="109"/>
      <c r="DG203" s="110"/>
    </row>
    <row r="204" spans="2:111">
      <c r="B204" s="87" t="s">
        <v>174</v>
      </c>
      <c r="C204" s="111"/>
      <c r="D204" s="111"/>
      <c r="E204" s="111"/>
      <c r="F204" s="111"/>
      <c r="G204" s="110">
        <f ca="1">(G81*ci_int1)+(G81*ct_int1*'Time on treatment'!$D$12)</f>
        <v>9152265.85812</v>
      </c>
      <c r="J204" s="87" t="s">
        <v>174</v>
      </c>
      <c r="K204" s="111"/>
      <c r="L204" s="111"/>
      <c r="M204" s="111"/>
      <c r="N204" s="111"/>
      <c r="O204" s="110">
        <f ca="1">(O81*ci_int2)+(O81*ct_int2*'Time on treatment'!$D$13)</f>
        <v>5396376.5088598765</v>
      </c>
      <c r="R204" s="87" t="s">
        <v>174</v>
      </c>
      <c r="S204" s="111"/>
      <c r="T204" s="111"/>
      <c r="U204" s="111"/>
      <c r="V204" s="111"/>
      <c r="W204" s="110">
        <f ca="1">(W81*ci_int3)+(W81*ct_int3*'Time on treatment'!$D$14)</f>
        <v>0</v>
      </c>
      <c r="Z204" s="87" t="s">
        <v>174</v>
      </c>
      <c r="AA204" s="111"/>
      <c r="AB204" s="111"/>
      <c r="AC204" s="111"/>
      <c r="AD204" s="111"/>
      <c r="AE204" s="110">
        <f ca="1">(AE81*ci_int4)+(AE81*ct_int4*'Time on treatment'!$D$15)</f>
        <v>0</v>
      </c>
      <c r="AH204" s="87" t="s">
        <v>174</v>
      </c>
      <c r="AI204" s="111"/>
      <c r="AJ204" s="111"/>
      <c r="AK204" s="111"/>
      <c r="AL204" s="111"/>
      <c r="AM204" s="110">
        <f ca="1">(AM81*ci_comp1)+(AM81*ct_comp1*'Time on treatment'!$D$19)</f>
        <v>2982113.2921041008</v>
      </c>
      <c r="AP204" s="87" t="s">
        <v>174</v>
      </c>
      <c r="AQ204" s="111"/>
      <c r="AR204" s="111"/>
      <c r="AS204" s="111"/>
      <c r="AT204" s="111"/>
      <c r="AU204" s="110">
        <f ca="1">(AU81*ci_comp2)+(AU81*ct_comp2*'Time on treatment'!$D$20)</f>
        <v>0</v>
      </c>
      <c r="AX204" s="87" t="s">
        <v>174</v>
      </c>
      <c r="AY204" s="111"/>
      <c r="AZ204" s="111"/>
      <c r="BA204" s="111"/>
      <c r="BB204" s="111"/>
      <c r="BC204" s="110">
        <f ca="1">(BC81*ci_comp3)+(BC81*ct_comp3*'Time on treatment'!$D$21)</f>
        <v>0</v>
      </c>
      <c r="BF204" s="87" t="s">
        <v>174</v>
      </c>
      <c r="BG204" s="111"/>
      <c r="BH204" s="111"/>
      <c r="BI204" s="111"/>
      <c r="BJ204" s="111"/>
      <c r="BK204" s="110">
        <f ca="1">(BK81*ci_comp4)+(BK81*ct_comp4*'Time on treatment'!$D$22)</f>
        <v>0</v>
      </c>
      <c r="BN204" s="87" t="s">
        <v>174</v>
      </c>
      <c r="BO204" s="111"/>
      <c r="BP204" s="111"/>
      <c r="BQ204" s="111"/>
      <c r="BR204" s="111"/>
      <c r="BS204" s="110">
        <f ca="1">(BS81*ci_comp5)+(BS81*ct_comp5*'Time on treatment'!$D$23)</f>
        <v>0</v>
      </c>
      <c r="BV204" s="87" t="s">
        <v>174</v>
      </c>
      <c r="BW204" s="111"/>
      <c r="BX204" s="111"/>
      <c r="BY204" s="111"/>
      <c r="BZ204" s="111"/>
      <c r="CA204" s="110">
        <f ca="1">(CA81*ci_comp6)+(CA81*ct_comp6*'Time on treatment'!$D$24)</f>
        <v>0</v>
      </c>
      <c r="CD204" s="87" t="s">
        <v>174</v>
      </c>
      <c r="CE204" s="111"/>
      <c r="CF204" s="111"/>
      <c r="CG204" s="111"/>
      <c r="CH204" s="111"/>
      <c r="CI204" s="110">
        <f ca="1">(CI81*ci_comp7)+(CI81*ct_comp7*'Time on treatment'!$D$25)</f>
        <v>0</v>
      </c>
      <c r="CL204" s="87" t="s">
        <v>174</v>
      </c>
      <c r="CM204" s="111"/>
      <c r="CN204" s="111"/>
      <c r="CO204" s="111"/>
      <c r="CP204" s="111"/>
      <c r="CQ204" s="110">
        <f ca="1">(CQ81*ci_comp8)+(CQ81*ct_comp8*'Time on treatment'!$D$26)</f>
        <v>0</v>
      </c>
      <c r="CT204" s="87" t="s">
        <v>174</v>
      </c>
      <c r="CU204" s="111"/>
      <c r="CV204" s="111"/>
      <c r="CW204" s="111"/>
      <c r="CX204" s="111"/>
      <c r="CY204" s="110">
        <f ca="1">(CY81*ci_comp9)+(CY81*ct_comp9*'Time on treatment'!$D$27)</f>
        <v>0</v>
      </c>
      <c r="DB204" s="87" t="s">
        <v>174</v>
      </c>
      <c r="DC204" s="111"/>
      <c r="DD204" s="111"/>
      <c r="DE204" s="111"/>
      <c r="DF204" s="111"/>
      <c r="DG204" s="110">
        <f ca="1">(DG81*ci_comp10)+(DG81*ct_comp10*'Time on treatment'!$D$28)</f>
        <v>0</v>
      </c>
    </row>
    <row r="205" spans="2:111" ht="15" thickBot="1">
      <c r="B205" s="87" t="s">
        <v>179</v>
      </c>
      <c r="C205" s="111"/>
      <c r="D205" s="111"/>
      <c r="E205" s="111"/>
      <c r="F205" s="111"/>
      <c r="G205" s="112"/>
      <c r="J205" s="87" t="s">
        <v>179</v>
      </c>
      <c r="K205" s="111"/>
      <c r="L205" s="111"/>
      <c r="M205" s="111"/>
      <c r="N205" s="111"/>
      <c r="O205" s="112"/>
      <c r="R205" s="87" t="s">
        <v>179</v>
      </c>
      <c r="S205" s="111"/>
      <c r="T205" s="111"/>
      <c r="U205" s="111"/>
      <c r="V205" s="111"/>
      <c r="W205" s="112"/>
      <c r="Z205" s="87" t="s">
        <v>179</v>
      </c>
      <c r="AA205" s="111"/>
      <c r="AB205" s="111"/>
      <c r="AC205" s="111"/>
      <c r="AD205" s="111"/>
      <c r="AE205" s="112"/>
      <c r="AH205" s="87" t="s">
        <v>179</v>
      </c>
      <c r="AI205" s="111"/>
      <c r="AJ205" s="111"/>
      <c r="AK205" s="111"/>
      <c r="AL205" s="111"/>
      <c r="AM205" s="112"/>
      <c r="AP205" s="87" t="s">
        <v>179</v>
      </c>
      <c r="AQ205" s="111"/>
      <c r="AR205" s="111"/>
      <c r="AS205" s="111"/>
      <c r="AT205" s="111"/>
      <c r="AU205" s="112"/>
      <c r="AX205" s="87" t="s">
        <v>179</v>
      </c>
      <c r="AY205" s="111"/>
      <c r="AZ205" s="111"/>
      <c r="BA205" s="111"/>
      <c r="BB205" s="111"/>
      <c r="BC205" s="112"/>
      <c r="BF205" s="87" t="s">
        <v>179</v>
      </c>
      <c r="BG205" s="111"/>
      <c r="BH205" s="111"/>
      <c r="BI205" s="111"/>
      <c r="BJ205" s="111"/>
      <c r="BK205" s="112"/>
      <c r="BN205" s="87" t="s">
        <v>179</v>
      </c>
      <c r="BO205" s="111"/>
      <c r="BP205" s="111"/>
      <c r="BQ205" s="111"/>
      <c r="BR205" s="111"/>
      <c r="BS205" s="112"/>
      <c r="BV205" s="87" t="s">
        <v>179</v>
      </c>
      <c r="BW205" s="111"/>
      <c r="BX205" s="111"/>
      <c r="BY205" s="111"/>
      <c r="BZ205" s="111"/>
      <c r="CA205" s="112"/>
      <c r="CD205" s="87" t="s">
        <v>179</v>
      </c>
      <c r="CE205" s="111"/>
      <c r="CF205" s="111"/>
      <c r="CG205" s="111"/>
      <c r="CH205" s="111"/>
      <c r="CI205" s="112"/>
      <c r="CL205" s="87" t="s">
        <v>179</v>
      </c>
      <c r="CM205" s="111"/>
      <c r="CN205" s="111"/>
      <c r="CO205" s="111"/>
      <c r="CP205" s="111"/>
      <c r="CQ205" s="112"/>
      <c r="CT205" s="87" t="s">
        <v>179</v>
      </c>
      <c r="CU205" s="111"/>
      <c r="CV205" s="111"/>
      <c r="CW205" s="111"/>
      <c r="CX205" s="111"/>
      <c r="CY205" s="112"/>
      <c r="DB205" s="87" t="s">
        <v>179</v>
      </c>
      <c r="DC205" s="111"/>
      <c r="DD205" s="111"/>
      <c r="DE205" s="111"/>
      <c r="DF205" s="111"/>
      <c r="DG205" s="112"/>
    </row>
    <row r="206" spans="2:111" ht="15" thickBot="1">
      <c r="B206" s="85" t="str">
        <f>B164</f>
        <v>Drug 1</v>
      </c>
      <c r="C206" s="113">
        <f ca="1">SUM(C196:C204)</f>
        <v>887750.24954400002</v>
      </c>
      <c r="D206" s="113">
        <f ca="1">SUM(D196:D204)</f>
        <v>3825769.0885667996</v>
      </c>
      <c r="E206" s="113">
        <f ca="1">SUM(E196:E204)</f>
        <v>8843240.7583650015</v>
      </c>
      <c r="F206" s="113">
        <f ca="1">SUM(F196:F204)</f>
        <v>14792401.016478</v>
      </c>
      <c r="G206" s="114">
        <f ca="1">SUM(G196:G204)</f>
        <v>17781062.684967</v>
      </c>
      <c r="J206" s="85" t="str">
        <f>J164</f>
        <v>Drug 2</v>
      </c>
      <c r="K206" s="113">
        <f ca="1">SUM(K196:K204)</f>
        <v>418749.60073398007</v>
      </c>
      <c r="L206" s="113">
        <f ca="1">SUM(L196:L204)</f>
        <v>2095841.8926549205</v>
      </c>
      <c r="M206" s="113">
        <f ca="1">SUM(M196:M204)</f>
        <v>5870022.7060558461</v>
      </c>
      <c r="N206" s="113">
        <f ca="1">SUM(N196:N204)</f>
        <v>10645820.372327521</v>
      </c>
      <c r="O206" s="114">
        <f ca="1">SUM(O196:O204)</f>
        <v>15760616.156330783</v>
      </c>
      <c r="R206" s="85">
        <f>R164</f>
        <v>0</v>
      </c>
      <c r="S206" s="113">
        <f ca="1">SUM(S196:S204)</f>
        <v>0</v>
      </c>
      <c r="T206" s="113">
        <f ca="1">SUM(T196:T204)</f>
        <v>0</v>
      </c>
      <c r="U206" s="113">
        <f ca="1">SUM(U196:U204)</f>
        <v>0</v>
      </c>
      <c r="V206" s="113">
        <f ca="1">SUM(V196:V204)</f>
        <v>0</v>
      </c>
      <c r="W206" s="114">
        <f ca="1">SUM(W196:W204)</f>
        <v>0</v>
      </c>
      <c r="Z206" s="85">
        <f>Z164</f>
        <v>0</v>
      </c>
      <c r="AA206" s="113">
        <f ca="1">SUM(AA196:AA204)</f>
        <v>0</v>
      </c>
      <c r="AB206" s="113">
        <f ca="1">SUM(AB196:AB204)</f>
        <v>0</v>
      </c>
      <c r="AC206" s="113">
        <f ca="1">SUM(AC196:AC204)</f>
        <v>0</v>
      </c>
      <c r="AD206" s="113">
        <f ca="1">SUM(AD196:AD204)</f>
        <v>0</v>
      </c>
      <c r="AE206" s="114">
        <f ca="1">SUM(AE196:AE204)</f>
        <v>0</v>
      </c>
      <c r="AH206" s="85" t="str">
        <f>AH164</f>
        <v>BSC</v>
      </c>
      <c r="AI206" s="113">
        <f ca="1">SUM(AI196:AI204)</f>
        <v>6106570.9295022003</v>
      </c>
      <c r="AJ206" s="113">
        <f ca="1">SUM(AJ196:AJ204)</f>
        <v>11418899.398490701</v>
      </c>
      <c r="AK206" s="113">
        <f ca="1">SUM(AK196:AK204)</f>
        <v>15465936.132653881</v>
      </c>
      <c r="AL206" s="113">
        <f ca="1">SUM(AL196:AL204)</f>
        <v>18556996.547604509</v>
      </c>
      <c r="AM206" s="114">
        <f ca="1">SUM(AM196:AM204)</f>
        <v>21539109.839708611</v>
      </c>
      <c r="AP206" s="85">
        <f>AP164</f>
        <v>0</v>
      </c>
      <c r="AQ206" s="113">
        <f ca="1">SUM(AQ196:AQ204)</f>
        <v>0</v>
      </c>
      <c r="AR206" s="113">
        <f ca="1">SUM(AR196:AR204)</f>
        <v>0</v>
      </c>
      <c r="AS206" s="113">
        <f ca="1">SUM(AS196:AS204)</f>
        <v>0</v>
      </c>
      <c r="AT206" s="113">
        <f ca="1">SUM(AT196:AT204)</f>
        <v>0</v>
      </c>
      <c r="AU206" s="114">
        <f ca="1">SUM(AU196:AU204)</f>
        <v>0</v>
      </c>
      <c r="AX206" s="85">
        <f>AX164</f>
        <v>0</v>
      </c>
      <c r="AY206" s="113">
        <f ca="1">SUM(AY196:AY204)</f>
        <v>0</v>
      </c>
      <c r="AZ206" s="113">
        <f ca="1">SUM(AZ196:AZ204)</f>
        <v>0</v>
      </c>
      <c r="BA206" s="113">
        <f ca="1">SUM(BA196:BA204)</f>
        <v>0</v>
      </c>
      <c r="BB206" s="113">
        <f ca="1">SUM(BB196:BB204)</f>
        <v>0</v>
      </c>
      <c r="BC206" s="114">
        <f ca="1">SUM(BC196:BC204)</f>
        <v>0</v>
      </c>
      <c r="BF206" s="85">
        <f>BF164</f>
        <v>0</v>
      </c>
      <c r="BG206" s="113">
        <f ca="1">SUM(BG196:BG204)</f>
        <v>0</v>
      </c>
      <c r="BH206" s="113">
        <f ca="1">SUM(BH196:BH204)</f>
        <v>0</v>
      </c>
      <c r="BI206" s="113">
        <f ca="1">SUM(BI196:BI204)</f>
        <v>0</v>
      </c>
      <c r="BJ206" s="113">
        <f ca="1">SUM(BJ196:BJ204)</f>
        <v>0</v>
      </c>
      <c r="BK206" s="114">
        <f ca="1">SUM(BK196:BK204)</f>
        <v>0</v>
      </c>
      <c r="BN206" s="85">
        <f>BN164</f>
        <v>0</v>
      </c>
      <c r="BO206" s="113">
        <f ca="1">SUM(BO196:BO204)</f>
        <v>0</v>
      </c>
      <c r="BP206" s="113">
        <f ca="1">SUM(BP196:BP204)</f>
        <v>0</v>
      </c>
      <c r="BQ206" s="113">
        <f ca="1">SUM(BQ196:BQ204)</f>
        <v>0</v>
      </c>
      <c r="BR206" s="113">
        <f ca="1">SUM(BR196:BR204)</f>
        <v>0</v>
      </c>
      <c r="BS206" s="114">
        <f ca="1">SUM(BS196:BS204)</f>
        <v>0</v>
      </c>
      <c r="BV206" s="85">
        <f>BV164</f>
        <v>0</v>
      </c>
      <c r="BW206" s="113">
        <f ca="1">SUM(BW196:BW204)</f>
        <v>0</v>
      </c>
      <c r="BX206" s="113">
        <f ca="1">SUM(BX196:BX204)</f>
        <v>0</v>
      </c>
      <c r="BY206" s="113">
        <f ca="1">SUM(BY196:BY204)</f>
        <v>0</v>
      </c>
      <c r="BZ206" s="113">
        <f ca="1">SUM(BZ196:BZ204)</f>
        <v>0</v>
      </c>
      <c r="CA206" s="114">
        <f ca="1">SUM(CA196:CA204)</f>
        <v>0</v>
      </c>
      <c r="CD206" s="85">
        <f>CD164</f>
        <v>0</v>
      </c>
      <c r="CE206" s="113">
        <f ca="1">SUM(CE196:CE204)</f>
        <v>0</v>
      </c>
      <c r="CF206" s="113">
        <f ca="1">SUM(CF196:CF204)</f>
        <v>0</v>
      </c>
      <c r="CG206" s="113">
        <f ca="1">SUM(CG196:CG204)</f>
        <v>0</v>
      </c>
      <c r="CH206" s="113">
        <f ca="1">SUM(CH196:CH204)</f>
        <v>0</v>
      </c>
      <c r="CI206" s="114">
        <f ca="1">SUM(CI196:CI204)</f>
        <v>0</v>
      </c>
      <c r="CL206" s="85">
        <f>CL164</f>
        <v>0</v>
      </c>
      <c r="CM206" s="113">
        <f ca="1">SUM(CM196:CM204)</f>
        <v>0</v>
      </c>
      <c r="CN206" s="113">
        <f ca="1">SUM(CN196:CN204)</f>
        <v>0</v>
      </c>
      <c r="CO206" s="113">
        <f ca="1">SUM(CO196:CO204)</f>
        <v>0</v>
      </c>
      <c r="CP206" s="113">
        <f ca="1">SUM(CP196:CP204)</f>
        <v>0</v>
      </c>
      <c r="CQ206" s="114">
        <f ca="1">SUM(CQ196:CQ204)</f>
        <v>0</v>
      </c>
      <c r="CT206" s="85">
        <f>CT164</f>
        <v>0</v>
      </c>
      <c r="CU206" s="113">
        <f ca="1">SUM(CU196:CU204)</f>
        <v>0</v>
      </c>
      <c r="CV206" s="113">
        <f ca="1">SUM(CV196:CV204)</f>
        <v>0</v>
      </c>
      <c r="CW206" s="113">
        <f ca="1">SUM(CW196:CW204)</f>
        <v>0</v>
      </c>
      <c r="CX206" s="113">
        <f ca="1">SUM(CX196:CX204)</f>
        <v>0</v>
      </c>
      <c r="CY206" s="114">
        <f ca="1">SUM(CY196:CY204)</f>
        <v>0</v>
      </c>
      <c r="DB206" s="85">
        <f>DB164</f>
        <v>0</v>
      </c>
      <c r="DC206" s="113">
        <f ca="1">SUM(DC196:DC204)</f>
        <v>0</v>
      </c>
      <c r="DD206" s="113">
        <f ca="1">SUM(DD196:DD204)</f>
        <v>0</v>
      </c>
      <c r="DE206" s="113">
        <f ca="1">SUM(DE196:DE204)</f>
        <v>0</v>
      </c>
      <c r="DF206" s="113">
        <f ca="1">SUM(DF196:DF204)</f>
        <v>0</v>
      </c>
      <c r="DG206" s="114">
        <f ca="1">SUM(DG196:DG204)</f>
        <v>0</v>
      </c>
    </row>
    <row r="209" spans="2:24" s="3" customFormat="1" ht="13.95" customHeight="1">
      <c r="B209" s="7"/>
      <c r="C209" s="7"/>
      <c r="D209" s="7"/>
      <c r="E209" s="7"/>
      <c r="F209" s="7"/>
      <c r="G209" s="7"/>
      <c r="H209" s="7"/>
      <c r="I209" s="7"/>
      <c r="J209" s="7"/>
      <c r="K209" s="7"/>
      <c r="L209" s="142"/>
      <c r="M209" s="142"/>
      <c r="N209" s="9"/>
      <c r="O209" s="9"/>
      <c r="P209" s="9"/>
      <c r="Q209" s="9"/>
      <c r="R209" s="9"/>
      <c r="S209" s="9"/>
      <c r="T209" s="9"/>
      <c r="U209" s="9"/>
      <c r="V209" s="9"/>
      <c r="W209" s="9"/>
      <c r="X209" s="9"/>
    </row>
    <row r="210" spans="2:24" s="3" customFormat="1">
      <c r="B210" s="65"/>
      <c r="C210" s="65"/>
      <c r="D210" s="65"/>
      <c r="E210" s="65"/>
      <c r="F210" s="65"/>
      <c r="G210" s="65"/>
      <c r="H210" s="65"/>
      <c r="I210" s="65"/>
      <c r="J210" s="65"/>
      <c r="K210" s="65"/>
      <c r="L210" s="65"/>
      <c r="M210" s="65"/>
    </row>
    <row r="211" spans="2:24" s="3" customFormat="1">
      <c r="B211" s="404" t="s">
        <v>77</v>
      </c>
      <c r="C211" s="404"/>
      <c r="D211" s="404"/>
      <c r="E211" s="404"/>
      <c r="F211" s="404"/>
      <c r="G211" s="404"/>
      <c r="H211" s="404"/>
      <c r="I211" s="404"/>
      <c r="J211" s="404"/>
      <c r="K211" s="404"/>
      <c r="L211" s="404"/>
      <c r="M211" s="404"/>
    </row>
    <row r="212" spans="2:24" s="3" customFormat="1">
      <c r="B212" s="404"/>
      <c r="C212" s="404"/>
      <c r="D212" s="404"/>
      <c r="E212" s="404"/>
      <c r="F212" s="404"/>
      <c r="G212" s="404"/>
      <c r="H212" s="404"/>
      <c r="I212" s="404"/>
      <c r="J212" s="404"/>
      <c r="K212" s="404"/>
      <c r="L212" s="404"/>
      <c r="M212" s="404"/>
    </row>
    <row r="213" spans="2:24" s="1" customFormat="1" ht="85.95" customHeight="1">
      <c r="B213" s="403" t="e" vm="1">
        <v>#VALUE!</v>
      </c>
      <c r="C213" s="403"/>
      <c r="D213" s="403"/>
      <c r="E213" s="403"/>
      <c r="F213" s="403"/>
      <c r="G213" s="403"/>
      <c r="H213" s="403"/>
      <c r="I213" s="403"/>
      <c r="J213" s="403"/>
      <c r="K213" s="403"/>
      <c r="L213" s="403"/>
      <c r="M213" s="403"/>
    </row>
  </sheetData>
  <sheetProtection algorithmName="SHA-512" hashValue="99SGX0lu/nSkWcHo/bFTJGp0l3oyJZsXKSCTecJgwxz6U1+XYkIT85su/7V6bIAu3FRCLPXTzQjAYrYNIhsbmw==" saltValue="xoAIPQT6EaCgId4ZuXBxWA==" spinCount="100000" sheet="1" objects="1" scenarios="1" formatColumns="0"/>
  <mergeCells count="332">
    <mergeCell ref="BV4:CB4"/>
    <mergeCell ref="CD4:CJ4"/>
    <mergeCell ref="CL4:CR4"/>
    <mergeCell ref="CT4:CZ4"/>
    <mergeCell ref="DB4:DH4"/>
    <mergeCell ref="AX4:BD4"/>
    <mergeCell ref="BF4:BL4"/>
    <mergeCell ref="BN4:BT4"/>
    <mergeCell ref="R5:X5"/>
    <mergeCell ref="AP5:AV5"/>
    <mergeCell ref="AX5:BD5"/>
    <mergeCell ref="BN5:BT5"/>
    <mergeCell ref="CD5:CJ5"/>
    <mergeCell ref="CT5:CZ5"/>
    <mergeCell ref="DB5:DH5"/>
    <mergeCell ref="X8:X10"/>
    <mergeCell ref="X11:X13"/>
    <mergeCell ref="X14:X16"/>
    <mergeCell ref="B91:G91"/>
    <mergeCell ref="B105:G105"/>
    <mergeCell ref="B5:H5"/>
    <mergeCell ref="H8:H10"/>
    <mergeCell ref="H11:H13"/>
    <mergeCell ref="H14:H16"/>
    <mergeCell ref="J5:P5"/>
    <mergeCell ref="P8:P10"/>
    <mergeCell ref="P11:P13"/>
    <mergeCell ref="P14:P16"/>
    <mergeCell ref="H17:H19"/>
    <mergeCell ref="P17:P19"/>
    <mergeCell ref="J105:O105"/>
    <mergeCell ref="J91:O91"/>
    <mergeCell ref="X17:X19"/>
    <mergeCell ref="R91:W91"/>
    <mergeCell ref="R105:W105"/>
    <mergeCell ref="B26:G26"/>
    <mergeCell ref="J26:O26"/>
    <mergeCell ref="R26:W26"/>
    <mergeCell ref="B41:G41"/>
    <mergeCell ref="Z180:AE180"/>
    <mergeCell ref="B133:G133"/>
    <mergeCell ref="B194:G194"/>
    <mergeCell ref="B119:G119"/>
    <mergeCell ref="J119:O119"/>
    <mergeCell ref="J133:O133"/>
    <mergeCell ref="B180:G180"/>
    <mergeCell ref="B152:G152"/>
    <mergeCell ref="B166:G166"/>
    <mergeCell ref="J152:O152"/>
    <mergeCell ref="J166:O166"/>
    <mergeCell ref="J180:O180"/>
    <mergeCell ref="J194:O194"/>
    <mergeCell ref="R119:W119"/>
    <mergeCell ref="R194:W194"/>
    <mergeCell ref="R133:W133"/>
    <mergeCell ref="R152:W152"/>
    <mergeCell ref="R166:W166"/>
    <mergeCell ref="R180:W180"/>
    <mergeCell ref="Z194:AE194"/>
    <mergeCell ref="B149:H149"/>
    <mergeCell ref="J149:P149"/>
    <mergeCell ref="R149:X149"/>
    <mergeCell ref="Z149:AF149"/>
    <mergeCell ref="AH152:AM152"/>
    <mergeCell ref="AH166:AM166"/>
    <mergeCell ref="AH180:AM180"/>
    <mergeCell ref="Z119:AE119"/>
    <mergeCell ref="Z133:AE133"/>
    <mergeCell ref="Z152:AE152"/>
    <mergeCell ref="Z166:AE166"/>
    <mergeCell ref="AH194:AM194"/>
    <mergeCell ref="Z5:AF5"/>
    <mergeCell ref="AF8:AF10"/>
    <mergeCell ref="AF11:AF13"/>
    <mergeCell ref="AF14:AF16"/>
    <mergeCell ref="AF17:AF19"/>
    <mergeCell ref="Z91:AE91"/>
    <mergeCell ref="AH5:AN5"/>
    <mergeCell ref="AN8:AN10"/>
    <mergeCell ref="AN11:AN13"/>
    <mergeCell ref="AN14:AN16"/>
    <mergeCell ref="AN17:AN19"/>
    <mergeCell ref="AH91:AM91"/>
    <mergeCell ref="AH105:AM105"/>
    <mergeCell ref="AH119:AM119"/>
    <mergeCell ref="AH133:AM133"/>
    <mergeCell ref="Z105:AE105"/>
    <mergeCell ref="AV8:AV10"/>
    <mergeCell ref="AV11:AV13"/>
    <mergeCell ref="AV14:AV16"/>
    <mergeCell ref="AV17:AV19"/>
    <mergeCell ref="AP91:AU91"/>
    <mergeCell ref="AP105:AU105"/>
    <mergeCell ref="AP119:AU119"/>
    <mergeCell ref="AP133:AU133"/>
    <mergeCell ref="AP56:AU56"/>
    <mergeCell ref="AP88:AV88"/>
    <mergeCell ref="AP71:AU71"/>
    <mergeCell ref="AP152:AU152"/>
    <mergeCell ref="AP166:AU166"/>
    <mergeCell ref="AP180:AU180"/>
    <mergeCell ref="AP194:AU194"/>
    <mergeCell ref="AX194:BC194"/>
    <mergeCell ref="AX91:BC91"/>
    <mergeCell ref="AX105:BC105"/>
    <mergeCell ref="AX119:BC119"/>
    <mergeCell ref="AX133:BC133"/>
    <mergeCell ref="AX152:BC152"/>
    <mergeCell ref="AX166:BC166"/>
    <mergeCell ref="AX180:BC180"/>
    <mergeCell ref="BD8:BD10"/>
    <mergeCell ref="BD11:BD13"/>
    <mergeCell ref="BD14:BD16"/>
    <mergeCell ref="BD17:BD19"/>
    <mergeCell ref="BF5:BL5"/>
    <mergeCell ref="BL8:BL10"/>
    <mergeCell ref="BL11:BL13"/>
    <mergeCell ref="BL14:BL16"/>
    <mergeCell ref="BL17:BL19"/>
    <mergeCell ref="BF180:BK180"/>
    <mergeCell ref="BF194:BK194"/>
    <mergeCell ref="BF91:BK91"/>
    <mergeCell ref="BF105:BK105"/>
    <mergeCell ref="BF119:BK119"/>
    <mergeCell ref="BF133:BK133"/>
    <mergeCell ref="BN194:BS194"/>
    <mergeCell ref="BN91:BS91"/>
    <mergeCell ref="BN105:BS105"/>
    <mergeCell ref="BN119:BS119"/>
    <mergeCell ref="BN133:BS133"/>
    <mergeCell ref="BN152:BS152"/>
    <mergeCell ref="BN166:BS166"/>
    <mergeCell ref="BN180:BS180"/>
    <mergeCell ref="BT8:BT10"/>
    <mergeCell ref="BT11:BT13"/>
    <mergeCell ref="BT14:BT16"/>
    <mergeCell ref="BT17:BT19"/>
    <mergeCell ref="BV5:CB5"/>
    <mergeCell ref="CB8:CB10"/>
    <mergeCell ref="CB11:CB13"/>
    <mergeCell ref="CB14:CB16"/>
    <mergeCell ref="CB17:CB19"/>
    <mergeCell ref="BV91:CA91"/>
    <mergeCell ref="BV105:CA105"/>
    <mergeCell ref="BV119:CA119"/>
    <mergeCell ref="BV133:CA133"/>
    <mergeCell ref="CD194:CI194"/>
    <mergeCell ref="CD91:CI91"/>
    <mergeCell ref="CD105:CI105"/>
    <mergeCell ref="CD119:CI119"/>
    <mergeCell ref="CD133:CI133"/>
    <mergeCell ref="CD152:CI152"/>
    <mergeCell ref="CD166:CI166"/>
    <mergeCell ref="CD180:CI180"/>
    <mergeCell ref="BV150:CA150"/>
    <mergeCell ref="CD150:CI150"/>
    <mergeCell ref="CJ8:CJ10"/>
    <mergeCell ref="CJ11:CJ13"/>
    <mergeCell ref="CJ14:CJ16"/>
    <mergeCell ref="CJ17:CJ19"/>
    <mergeCell ref="CL5:CR5"/>
    <mergeCell ref="CR8:CR10"/>
    <mergeCell ref="CR11:CR13"/>
    <mergeCell ref="CR14:CR16"/>
    <mergeCell ref="CR17:CR19"/>
    <mergeCell ref="CL119:CQ119"/>
    <mergeCell ref="CL133:CQ133"/>
    <mergeCell ref="CT91:CY91"/>
    <mergeCell ref="CT105:CY105"/>
    <mergeCell ref="CT119:CY119"/>
    <mergeCell ref="CT133:CY133"/>
    <mergeCell ref="CT194:CY194"/>
    <mergeCell ref="CL150:CQ150"/>
    <mergeCell ref="CL149:CR149"/>
    <mergeCell ref="DH8:DH10"/>
    <mergeCell ref="DH11:DH13"/>
    <mergeCell ref="DH14:DH16"/>
    <mergeCell ref="DH17:DH19"/>
    <mergeCell ref="DB149:DH149"/>
    <mergeCell ref="DB150:DG150"/>
    <mergeCell ref="DB26:DG26"/>
    <mergeCell ref="CZ8:CZ10"/>
    <mergeCell ref="CZ11:CZ13"/>
    <mergeCell ref="CZ14:CZ16"/>
    <mergeCell ref="CZ17:CZ19"/>
    <mergeCell ref="CT149:CZ149"/>
    <mergeCell ref="Z26:AE26"/>
    <mergeCell ref="AH26:AM26"/>
    <mergeCell ref="AP26:AU26"/>
    <mergeCell ref="AX26:BC26"/>
    <mergeCell ref="BF26:BK26"/>
    <mergeCell ref="BN26:BS26"/>
    <mergeCell ref="DB194:DG194"/>
    <mergeCell ref="DB91:DG91"/>
    <mergeCell ref="DB105:DG105"/>
    <mergeCell ref="DB119:DG119"/>
    <mergeCell ref="DB133:DG133"/>
    <mergeCell ref="CT152:CY152"/>
    <mergeCell ref="CT166:CY166"/>
    <mergeCell ref="CT180:CY180"/>
    <mergeCell ref="DB152:DG152"/>
    <mergeCell ref="DB166:DG166"/>
    <mergeCell ref="DB180:DG180"/>
    <mergeCell ref="CT150:CY150"/>
    <mergeCell ref="CL152:CQ152"/>
    <mergeCell ref="CL166:CQ166"/>
    <mergeCell ref="CL180:CQ180"/>
    <mergeCell ref="CL194:CQ194"/>
    <mergeCell ref="CL91:CQ91"/>
    <mergeCell ref="CL105:CQ105"/>
    <mergeCell ref="AX71:BC71"/>
    <mergeCell ref="BF71:BK71"/>
    <mergeCell ref="BN71:BS71"/>
    <mergeCell ref="AX56:BC56"/>
    <mergeCell ref="BF56:BK56"/>
    <mergeCell ref="BN56:BS56"/>
    <mergeCell ref="BV56:CA56"/>
    <mergeCell ref="CD56:CI56"/>
    <mergeCell ref="J41:O41"/>
    <mergeCell ref="R41:W41"/>
    <mergeCell ref="Z41:AE41"/>
    <mergeCell ref="AH41:AM41"/>
    <mergeCell ref="AP41:AU41"/>
    <mergeCell ref="AX41:BC41"/>
    <mergeCell ref="BF41:BK41"/>
    <mergeCell ref="BN41:BS41"/>
    <mergeCell ref="B56:G56"/>
    <mergeCell ref="J56:O56"/>
    <mergeCell ref="R56:W56"/>
    <mergeCell ref="Z56:AE56"/>
    <mergeCell ref="AH56:AM56"/>
    <mergeCell ref="B71:G71"/>
    <mergeCell ref="J71:O71"/>
    <mergeCell ref="R71:W71"/>
    <mergeCell ref="Z71:AE71"/>
    <mergeCell ref="AH71:AM71"/>
    <mergeCell ref="B24:G24"/>
    <mergeCell ref="J24:O24"/>
    <mergeCell ref="R24:W24"/>
    <mergeCell ref="Z24:AE24"/>
    <mergeCell ref="AH24:AM24"/>
    <mergeCell ref="AP24:AU24"/>
    <mergeCell ref="AX24:BC24"/>
    <mergeCell ref="BF24:BK24"/>
    <mergeCell ref="BN24:BS24"/>
    <mergeCell ref="B89:G89"/>
    <mergeCell ref="J89:O89"/>
    <mergeCell ref="R89:W89"/>
    <mergeCell ref="Z89:AE89"/>
    <mergeCell ref="AH89:AM89"/>
    <mergeCell ref="AP89:AU89"/>
    <mergeCell ref="AX89:BC89"/>
    <mergeCell ref="BF89:BK89"/>
    <mergeCell ref="BN89:BS89"/>
    <mergeCell ref="CL24:CQ24"/>
    <mergeCell ref="CT24:CY24"/>
    <mergeCell ref="DB24:DG24"/>
    <mergeCell ref="BV71:CA71"/>
    <mergeCell ref="CD71:CI71"/>
    <mergeCell ref="CL71:CQ71"/>
    <mergeCell ref="CT71:CY71"/>
    <mergeCell ref="DB71:DG71"/>
    <mergeCell ref="CL56:CQ56"/>
    <mergeCell ref="CT56:CY56"/>
    <mergeCell ref="DB56:DG56"/>
    <mergeCell ref="CT26:CY26"/>
    <mergeCell ref="BV41:CA41"/>
    <mergeCell ref="CD41:CI41"/>
    <mergeCell ref="CL41:CQ41"/>
    <mergeCell ref="CT41:CY41"/>
    <mergeCell ref="DB41:DG41"/>
    <mergeCell ref="BV26:CA26"/>
    <mergeCell ref="CD26:CI26"/>
    <mergeCell ref="CL26:CQ26"/>
    <mergeCell ref="BV89:CA89"/>
    <mergeCell ref="CD89:CI89"/>
    <mergeCell ref="CL89:CQ89"/>
    <mergeCell ref="CT89:CY89"/>
    <mergeCell ref="DB89:DG89"/>
    <mergeCell ref="BV88:CB88"/>
    <mergeCell ref="CD88:CJ88"/>
    <mergeCell ref="CL88:CR88"/>
    <mergeCell ref="CT88:CZ88"/>
    <mergeCell ref="DB88:DH88"/>
    <mergeCell ref="BV23:CB23"/>
    <mergeCell ref="CD23:CJ23"/>
    <mergeCell ref="CL23:CR23"/>
    <mergeCell ref="CT23:CZ23"/>
    <mergeCell ref="DB23:DH23"/>
    <mergeCell ref="B88:H88"/>
    <mergeCell ref="J88:P88"/>
    <mergeCell ref="R88:X88"/>
    <mergeCell ref="Z88:AF88"/>
    <mergeCell ref="AH88:AN88"/>
    <mergeCell ref="B23:H23"/>
    <mergeCell ref="J23:P23"/>
    <mergeCell ref="R23:X23"/>
    <mergeCell ref="Z23:AF23"/>
    <mergeCell ref="AH23:AN23"/>
    <mergeCell ref="AP23:AV23"/>
    <mergeCell ref="AX23:BD23"/>
    <mergeCell ref="BF23:BL23"/>
    <mergeCell ref="BN23:BT23"/>
    <mergeCell ref="AX88:BD88"/>
    <mergeCell ref="BF88:BL88"/>
    <mergeCell ref="BN88:BT88"/>
    <mergeCell ref="BV24:CA24"/>
    <mergeCell ref="CD24:CI24"/>
    <mergeCell ref="B211:M212"/>
    <mergeCell ref="B213:M213"/>
    <mergeCell ref="AH149:AN149"/>
    <mergeCell ref="AP149:AV149"/>
    <mergeCell ref="AX149:BD149"/>
    <mergeCell ref="BF149:BL149"/>
    <mergeCell ref="BN149:BT149"/>
    <mergeCell ref="BV149:CB149"/>
    <mergeCell ref="CD149:CJ149"/>
    <mergeCell ref="B150:G150"/>
    <mergeCell ref="J150:O150"/>
    <mergeCell ref="R150:W150"/>
    <mergeCell ref="Z150:AE150"/>
    <mergeCell ref="AH150:AM150"/>
    <mergeCell ref="AP150:AU150"/>
    <mergeCell ref="AX150:BC150"/>
    <mergeCell ref="BF150:BK150"/>
    <mergeCell ref="BN150:BS150"/>
    <mergeCell ref="BV152:CA152"/>
    <mergeCell ref="BV166:CA166"/>
    <mergeCell ref="BV180:CA180"/>
    <mergeCell ref="BV194:CA194"/>
    <mergeCell ref="BF152:BK152"/>
    <mergeCell ref="BF166:BK166"/>
  </mergeCells>
  <phoneticPr fontId="2" type="noConversion"/>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2AD9D-CA46-41C8-9140-F7E9A78AB8F6}">
  <sheetPr codeName="Planilha4">
    <tabColor rgb="FF0EB1BA"/>
  </sheetPr>
  <dimension ref="B1:DI77"/>
  <sheetViews>
    <sheetView showGridLines="0" showRowColHeaders="0" workbookViewId="0">
      <selection activeCell="K26" sqref="K26"/>
    </sheetView>
  </sheetViews>
  <sheetFormatPr defaultColWidth="8.77734375" defaultRowHeight="14.4"/>
  <cols>
    <col min="1" max="1" width="5" style="79" customWidth="1"/>
    <col min="2" max="2" width="15.44140625" style="79" customWidth="1"/>
    <col min="3" max="3" width="12.44140625" style="79" customWidth="1"/>
    <col min="4" max="4" width="14.44140625" style="79" customWidth="1"/>
    <col min="5" max="5" width="15.109375" style="79" customWidth="1"/>
    <col min="6" max="6" width="12.44140625" style="79" customWidth="1"/>
    <col min="7" max="7" width="12.109375" style="79" customWidth="1"/>
    <col min="8" max="9" width="3.44140625" style="77" customWidth="1"/>
    <col min="10" max="10" width="14.6640625" style="79" customWidth="1"/>
    <col min="11" max="11" width="15.5546875" style="79" customWidth="1"/>
    <col min="12" max="15" width="14.44140625" style="79" customWidth="1"/>
    <col min="16" max="17" width="3.44140625" style="77" customWidth="1"/>
    <col min="18" max="18" width="13.33203125" style="79" customWidth="1"/>
    <col min="19" max="19" width="14.77734375" style="79" customWidth="1"/>
    <col min="20" max="20" width="13.44140625" style="79" customWidth="1"/>
    <col min="21" max="21" width="16.44140625" style="79" customWidth="1"/>
    <col min="22" max="22" width="15.44140625" style="79" customWidth="1"/>
    <col min="23" max="23" width="13.109375" style="79" customWidth="1"/>
    <col min="24" max="25" width="3.44140625" style="77" customWidth="1"/>
    <col min="26" max="26" width="11.77734375" style="79" customWidth="1"/>
    <col min="27" max="31" width="15.109375" style="79" customWidth="1"/>
    <col min="32" max="33" width="3.44140625" style="77" customWidth="1"/>
    <col min="34" max="34" width="17.77734375" style="79" customWidth="1"/>
    <col min="35" max="39" width="15.6640625" style="79" customWidth="1"/>
    <col min="40" max="41" width="3.44140625" style="77" customWidth="1"/>
    <col min="42" max="42" width="13.77734375" style="79" customWidth="1"/>
    <col min="43" max="47" width="16.44140625" style="79" customWidth="1"/>
    <col min="48" max="49" width="3.44140625" style="77" customWidth="1"/>
    <col min="50" max="50" width="15.6640625" style="79" customWidth="1"/>
    <col min="51" max="55" width="16.6640625" style="79" customWidth="1"/>
    <col min="56" max="57" width="3.44140625" style="77" customWidth="1"/>
    <col min="58" max="58" width="15.109375" style="79" customWidth="1"/>
    <col min="59" max="63" width="14.6640625" style="79" customWidth="1"/>
    <col min="64" max="65" width="3.44140625" style="77" customWidth="1"/>
    <col min="66" max="66" width="15.33203125" style="79" customWidth="1"/>
    <col min="67" max="71" width="15.44140625" style="79" customWidth="1"/>
    <col min="72" max="73" width="3.44140625" style="77" customWidth="1"/>
    <col min="74" max="74" width="14.33203125" style="79" customWidth="1"/>
    <col min="75" max="79" width="15" style="79" customWidth="1"/>
    <col min="80" max="81" width="3.44140625" style="77" customWidth="1"/>
    <col min="82" max="82" width="16.44140625" style="79" customWidth="1"/>
    <col min="83" max="87" width="17.44140625" style="79" customWidth="1"/>
    <col min="88" max="89" width="3.44140625" style="77" customWidth="1"/>
    <col min="90" max="90" width="14.6640625" style="79" customWidth="1"/>
    <col min="91" max="95" width="17.44140625" style="79" customWidth="1"/>
    <col min="96" max="97" width="3.44140625" style="77" customWidth="1"/>
    <col min="98" max="98" width="13.33203125" style="79" customWidth="1"/>
    <col min="99" max="103" width="18.109375" style="79" customWidth="1"/>
    <col min="104" max="105" width="3.44140625" style="77" customWidth="1"/>
    <col min="106" max="106" width="14.109375" style="79" customWidth="1"/>
    <col min="107" max="111" width="16.6640625" style="79" customWidth="1"/>
    <col min="112" max="113" width="3.44140625" style="77" customWidth="1"/>
    <col min="114" max="16384" width="8.77734375" style="79"/>
  </cols>
  <sheetData>
    <row r="1" spans="2:113" s="67" customFormat="1" ht="33.6">
      <c r="B1" s="104" t="s">
        <v>164</v>
      </c>
      <c r="C1" s="72"/>
      <c r="D1" s="35"/>
      <c r="E1" s="35"/>
      <c r="F1" s="35"/>
      <c r="G1" s="35"/>
      <c r="H1" s="73"/>
      <c r="I1" s="73"/>
      <c r="J1" s="35"/>
      <c r="K1" s="35"/>
      <c r="L1" s="35"/>
      <c r="M1" s="35"/>
      <c r="N1" s="35"/>
      <c r="O1" s="35"/>
      <c r="P1" s="73"/>
      <c r="Q1" s="73"/>
      <c r="R1" s="35"/>
      <c r="S1" s="35"/>
      <c r="T1" s="35"/>
      <c r="U1" s="35"/>
      <c r="V1" s="35"/>
      <c r="W1" s="35"/>
      <c r="X1" s="73"/>
      <c r="Y1" s="73"/>
      <c r="Z1" s="35"/>
      <c r="AA1" s="35"/>
      <c r="AB1" s="35"/>
      <c r="AC1" s="35"/>
      <c r="AD1" s="35"/>
      <c r="AE1" s="35"/>
      <c r="AF1" s="73"/>
      <c r="AG1" s="73"/>
      <c r="AH1" s="35"/>
      <c r="AI1" s="35"/>
      <c r="AJ1" s="35"/>
      <c r="AK1" s="35"/>
      <c r="AL1" s="35"/>
      <c r="AM1" s="35"/>
      <c r="AN1" s="73"/>
      <c r="AO1" s="73"/>
      <c r="AP1" s="35"/>
      <c r="AQ1" s="35"/>
      <c r="AR1" s="35"/>
      <c r="AS1" s="35"/>
      <c r="AT1" s="35"/>
      <c r="AU1" s="35"/>
      <c r="AV1" s="73"/>
      <c r="AW1" s="73"/>
      <c r="AX1" s="35"/>
      <c r="AY1" s="35"/>
      <c r="AZ1" s="35"/>
      <c r="BA1" s="35"/>
      <c r="BB1" s="35"/>
      <c r="BC1" s="35"/>
      <c r="BD1" s="73"/>
      <c r="BE1" s="73"/>
      <c r="BF1" s="35"/>
      <c r="BG1" s="35"/>
      <c r="BH1" s="35"/>
      <c r="BI1" s="35"/>
      <c r="BJ1" s="35"/>
      <c r="BK1" s="35"/>
      <c r="BL1" s="73"/>
      <c r="BM1" s="73"/>
      <c r="BN1" s="35"/>
      <c r="BO1" s="35"/>
      <c r="BP1" s="35"/>
      <c r="BQ1" s="35"/>
      <c r="BR1" s="35"/>
      <c r="BS1" s="35"/>
      <c r="BT1" s="73"/>
      <c r="BU1" s="73"/>
      <c r="BV1" s="35"/>
      <c r="BW1" s="35"/>
      <c r="BX1" s="35"/>
      <c r="BY1" s="35"/>
      <c r="BZ1" s="35"/>
      <c r="CA1" s="35"/>
      <c r="CB1" s="73"/>
      <c r="CC1" s="73"/>
      <c r="CD1" s="35"/>
      <c r="CE1" s="35"/>
      <c r="CF1" s="35"/>
      <c r="CG1" s="35"/>
      <c r="CH1" s="35"/>
      <c r="CI1" s="35"/>
      <c r="CJ1" s="73"/>
      <c r="CK1" s="73"/>
      <c r="CL1" s="35"/>
      <c r="CM1" s="35"/>
      <c r="CN1" s="35"/>
      <c r="CO1" s="35"/>
      <c r="CP1" s="35"/>
      <c r="CQ1" s="35"/>
      <c r="CR1" s="73"/>
      <c r="CS1" s="73"/>
      <c r="CT1" s="35"/>
      <c r="CU1" s="35"/>
      <c r="CV1" s="35"/>
      <c r="CW1" s="35"/>
      <c r="CX1" s="35"/>
      <c r="CY1" s="35"/>
      <c r="CZ1" s="73"/>
      <c r="DA1" s="73"/>
      <c r="DB1" s="35"/>
      <c r="DC1" s="35"/>
      <c r="DD1" s="35"/>
      <c r="DE1" s="35"/>
      <c r="DF1" s="35"/>
      <c r="DG1" s="35"/>
      <c r="DH1" s="73"/>
      <c r="DI1" s="73"/>
    </row>
    <row r="2" spans="2:113" s="67" customFormat="1" ht="17.25" customHeight="1">
      <c r="B2" s="72"/>
      <c r="C2" s="72"/>
      <c r="D2" s="35"/>
      <c r="E2" s="35"/>
      <c r="F2" s="35"/>
      <c r="G2" s="35"/>
      <c r="H2" s="73"/>
      <c r="I2" s="73"/>
      <c r="J2" s="35"/>
      <c r="K2" s="35"/>
      <c r="L2" s="35"/>
      <c r="M2" s="35"/>
      <c r="N2" s="35"/>
      <c r="O2" s="35"/>
      <c r="P2" s="73"/>
      <c r="Q2" s="73"/>
      <c r="R2" s="35"/>
      <c r="S2" s="35"/>
      <c r="T2" s="35"/>
      <c r="U2" s="35"/>
      <c r="V2" s="35"/>
      <c r="W2" s="35"/>
      <c r="X2" s="73"/>
      <c r="Y2" s="73"/>
      <c r="Z2" s="35"/>
      <c r="AA2" s="35"/>
      <c r="AB2" s="35"/>
      <c r="AC2" s="35"/>
      <c r="AD2" s="35"/>
      <c r="AE2" s="35"/>
      <c r="AF2" s="73"/>
      <c r="AG2" s="73"/>
      <c r="AH2" s="35"/>
      <c r="AI2" s="35"/>
      <c r="AJ2" s="35"/>
      <c r="AK2" s="35"/>
      <c r="AL2" s="35"/>
      <c r="AM2" s="35"/>
      <c r="AN2" s="73"/>
      <c r="AO2" s="73"/>
      <c r="AP2" s="35"/>
      <c r="AQ2" s="35"/>
      <c r="AR2" s="35"/>
      <c r="AS2" s="35"/>
      <c r="AT2" s="35"/>
      <c r="AU2" s="35"/>
      <c r="AV2" s="73"/>
      <c r="AW2" s="73"/>
      <c r="AX2" s="35"/>
      <c r="AY2" s="35"/>
      <c r="AZ2" s="35"/>
      <c r="BA2" s="35"/>
      <c r="BB2" s="35"/>
      <c r="BC2" s="35"/>
      <c r="BD2" s="73"/>
      <c r="BE2" s="73"/>
      <c r="BF2" s="35"/>
      <c r="BG2" s="35"/>
      <c r="BH2" s="35"/>
      <c r="BI2" s="35"/>
      <c r="BJ2" s="35"/>
      <c r="BK2" s="35"/>
      <c r="BL2" s="73"/>
      <c r="BM2" s="73"/>
      <c r="BN2" s="35"/>
      <c r="BO2" s="35"/>
      <c r="BP2" s="35"/>
      <c r="BQ2" s="35"/>
      <c r="BR2" s="35"/>
      <c r="BS2" s="35"/>
      <c r="BT2" s="73"/>
      <c r="BU2" s="73"/>
      <c r="BV2" s="35"/>
      <c r="BW2" s="35"/>
      <c r="BX2" s="35"/>
      <c r="BY2" s="35"/>
      <c r="BZ2" s="35"/>
      <c r="CA2" s="35"/>
      <c r="CB2" s="73"/>
      <c r="CC2" s="73"/>
      <c r="CD2" s="35"/>
      <c r="CE2" s="35"/>
      <c r="CF2" s="35"/>
      <c r="CG2" s="35"/>
      <c r="CH2" s="35"/>
      <c r="CI2" s="35"/>
      <c r="CJ2" s="73"/>
      <c r="CK2" s="73"/>
      <c r="CL2" s="35"/>
      <c r="CM2" s="35"/>
      <c r="CN2" s="35"/>
      <c r="CO2" s="35"/>
      <c r="CP2" s="35"/>
      <c r="CQ2" s="35"/>
      <c r="CR2" s="73"/>
      <c r="CS2" s="73"/>
      <c r="CT2" s="35"/>
      <c r="CU2" s="35"/>
      <c r="CV2" s="35"/>
      <c r="CW2" s="35"/>
      <c r="CX2" s="35"/>
      <c r="CY2" s="35"/>
      <c r="CZ2" s="73"/>
      <c r="DA2" s="73"/>
      <c r="DB2" s="35"/>
      <c r="DC2" s="35"/>
      <c r="DD2" s="35"/>
      <c r="DE2" s="35"/>
      <c r="DF2" s="35"/>
      <c r="DG2" s="35"/>
      <c r="DH2" s="73"/>
      <c r="DI2" s="73"/>
    </row>
    <row r="3" spans="2:113" s="74" customFormat="1" ht="2.25" customHeight="1">
      <c r="H3" s="75"/>
      <c r="I3" s="75"/>
      <c r="P3" s="75"/>
      <c r="Q3" s="75"/>
      <c r="X3" s="75"/>
      <c r="Y3" s="75"/>
      <c r="AF3" s="75"/>
      <c r="AG3" s="75"/>
      <c r="AN3" s="75"/>
      <c r="AO3" s="75"/>
      <c r="AV3" s="75"/>
      <c r="AW3" s="75"/>
      <c r="BD3" s="75"/>
      <c r="BE3" s="75"/>
      <c r="BL3" s="75"/>
      <c r="BM3" s="75"/>
      <c r="BT3" s="75"/>
      <c r="BU3" s="75"/>
      <c r="CB3" s="75"/>
      <c r="CC3" s="75"/>
      <c r="CJ3" s="75"/>
      <c r="CK3" s="75"/>
      <c r="CR3" s="75"/>
      <c r="CS3" s="75"/>
      <c r="CZ3" s="75"/>
      <c r="DA3" s="75"/>
      <c r="DH3" s="75"/>
      <c r="DI3" s="75"/>
    </row>
    <row r="4" spans="2:113" s="76" customFormat="1" ht="21">
      <c r="B4" s="107"/>
      <c r="C4" s="107"/>
      <c r="D4" s="107"/>
      <c r="E4" s="107"/>
      <c r="F4" s="107"/>
      <c r="G4" s="107"/>
      <c r="H4" s="107"/>
      <c r="I4" s="77"/>
      <c r="J4" s="108"/>
      <c r="K4" s="108"/>
      <c r="L4" s="108"/>
      <c r="M4" s="108"/>
      <c r="N4" s="108"/>
      <c r="O4" s="108"/>
      <c r="P4" s="108"/>
      <c r="Q4" s="77"/>
      <c r="R4" s="108"/>
      <c r="S4" s="108"/>
      <c r="T4" s="108"/>
      <c r="U4" s="108"/>
      <c r="V4" s="108"/>
      <c r="W4" s="108"/>
      <c r="X4" s="108"/>
      <c r="Y4" s="77"/>
      <c r="Z4" s="108"/>
      <c r="AA4" s="108"/>
      <c r="AB4" s="108"/>
      <c r="AC4" s="108"/>
      <c r="AD4" s="108"/>
      <c r="AE4" s="108"/>
      <c r="AF4" s="108"/>
      <c r="AG4" s="77"/>
      <c r="AH4" s="108"/>
      <c r="AI4" s="108"/>
      <c r="AJ4" s="108"/>
      <c r="AK4" s="108"/>
      <c r="AL4" s="108"/>
      <c r="AM4" s="108"/>
      <c r="AN4" s="108"/>
      <c r="AO4" s="77"/>
      <c r="AP4" s="108"/>
      <c r="AQ4" s="108"/>
      <c r="AR4" s="108"/>
      <c r="AS4" s="108"/>
      <c r="AT4" s="108"/>
      <c r="AU4" s="108"/>
      <c r="AV4" s="108"/>
      <c r="AW4" s="77"/>
      <c r="AX4" s="503"/>
      <c r="AY4" s="503"/>
      <c r="AZ4" s="503"/>
      <c r="BA4" s="503"/>
      <c r="BB4" s="503"/>
      <c r="BC4" s="503"/>
      <c r="BD4" s="503"/>
      <c r="BE4" s="77"/>
      <c r="BF4" s="503"/>
      <c r="BG4" s="503"/>
      <c r="BH4" s="503"/>
      <c r="BI4" s="503"/>
      <c r="BJ4" s="503"/>
      <c r="BK4" s="503"/>
      <c r="BL4" s="503"/>
      <c r="BM4" s="77"/>
      <c r="BN4" s="503"/>
      <c r="BO4" s="503"/>
      <c r="BP4" s="503"/>
      <c r="BQ4" s="503"/>
      <c r="BR4" s="503"/>
      <c r="BS4" s="503"/>
      <c r="BT4" s="503"/>
      <c r="BU4" s="77"/>
      <c r="BV4" s="503"/>
      <c r="BW4" s="503"/>
      <c r="BX4" s="503"/>
      <c r="BY4" s="503"/>
      <c r="BZ4" s="503"/>
      <c r="CA4" s="503"/>
      <c r="CB4" s="503"/>
      <c r="CC4" s="77"/>
      <c r="CD4" s="503"/>
      <c r="CE4" s="503"/>
      <c r="CF4" s="503"/>
      <c r="CG4" s="503"/>
      <c r="CH4" s="503"/>
      <c r="CI4" s="503"/>
      <c r="CJ4" s="503"/>
      <c r="CK4" s="77"/>
      <c r="CL4" s="503"/>
      <c r="CM4" s="503"/>
      <c r="CN4" s="503"/>
      <c r="CO4" s="503"/>
      <c r="CP4" s="503"/>
      <c r="CQ4" s="503"/>
      <c r="CR4" s="503"/>
      <c r="CS4" s="77"/>
      <c r="CT4" s="503"/>
      <c r="CU4" s="503"/>
      <c r="CV4" s="503"/>
      <c r="CW4" s="503"/>
      <c r="CX4" s="503"/>
      <c r="CY4" s="503"/>
      <c r="CZ4" s="503"/>
      <c r="DA4" s="77"/>
      <c r="DB4" s="503"/>
      <c r="DC4" s="503"/>
      <c r="DD4" s="503"/>
      <c r="DE4" s="503"/>
      <c r="DF4" s="503"/>
      <c r="DG4" s="503"/>
      <c r="DH4" s="503"/>
      <c r="DI4" s="77"/>
    </row>
    <row r="5" spans="2:113" s="76" customFormat="1" ht="21">
      <c r="B5" s="503" t="str">
        <f>intervencao1</f>
        <v>Drug 1</v>
      </c>
      <c r="C5" s="503"/>
      <c r="D5" s="503"/>
      <c r="E5" s="503"/>
      <c r="F5" s="503"/>
      <c r="G5" s="503"/>
      <c r="H5" s="503"/>
      <c r="I5" s="77"/>
      <c r="J5" s="503" t="str">
        <f>intervencao2</f>
        <v>Drug 2</v>
      </c>
      <c r="K5" s="503"/>
      <c r="L5" s="503"/>
      <c r="M5" s="503"/>
      <c r="N5" s="503"/>
      <c r="O5" s="503"/>
      <c r="P5" s="503"/>
      <c r="Q5" s="77"/>
      <c r="R5" s="503">
        <f>intervencao3</f>
        <v>0</v>
      </c>
      <c r="S5" s="503"/>
      <c r="T5" s="503"/>
      <c r="U5" s="503"/>
      <c r="V5" s="503"/>
      <c r="W5" s="503"/>
      <c r="X5" s="503"/>
      <c r="Y5" s="77"/>
      <c r="Z5" s="503">
        <f>intervencao4</f>
        <v>0</v>
      </c>
      <c r="AA5" s="503"/>
      <c r="AB5" s="503"/>
      <c r="AC5" s="503"/>
      <c r="AD5" s="503"/>
      <c r="AE5" s="503"/>
      <c r="AF5" s="503"/>
      <c r="AG5" s="77"/>
      <c r="AH5" s="503" t="str">
        <f>comparador1</f>
        <v>BSC</v>
      </c>
      <c r="AI5" s="503"/>
      <c r="AJ5" s="503"/>
      <c r="AK5" s="503"/>
      <c r="AL5" s="503"/>
      <c r="AM5" s="503"/>
      <c r="AN5" s="503"/>
      <c r="AO5" s="77"/>
      <c r="AP5" s="503">
        <f>comparador2</f>
        <v>0</v>
      </c>
      <c r="AQ5" s="503"/>
      <c r="AR5" s="503"/>
      <c r="AS5" s="503"/>
      <c r="AT5" s="503"/>
      <c r="AU5" s="503"/>
      <c r="AV5" s="503"/>
      <c r="AW5" s="77"/>
      <c r="AX5" s="503">
        <f>comparador3</f>
        <v>0</v>
      </c>
      <c r="AY5" s="503"/>
      <c r="AZ5" s="503"/>
      <c r="BA5" s="503"/>
      <c r="BB5" s="503"/>
      <c r="BC5" s="503"/>
      <c r="BD5" s="503"/>
      <c r="BE5" s="77"/>
      <c r="BF5" s="503">
        <f>comparador4</f>
        <v>0</v>
      </c>
      <c r="BG5" s="503"/>
      <c r="BH5" s="503"/>
      <c r="BI5" s="503"/>
      <c r="BJ5" s="503"/>
      <c r="BK5" s="503"/>
      <c r="BL5" s="503"/>
      <c r="BM5" s="77"/>
      <c r="BN5" s="503">
        <f>comparador5</f>
        <v>0</v>
      </c>
      <c r="BO5" s="503"/>
      <c r="BP5" s="503"/>
      <c r="BQ5" s="503"/>
      <c r="BR5" s="503"/>
      <c r="BS5" s="503"/>
      <c r="BT5" s="503"/>
      <c r="BU5" s="77"/>
      <c r="BV5" s="503">
        <f>comparador6</f>
        <v>0</v>
      </c>
      <c r="BW5" s="503"/>
      <c r="BX5" s="503"/>
      <c r="BY5" s="503"/>
      <c r="BZ5" s="503"/>
      <c r="CA5" s="503"/>
      <c r="CB5" s="503"/>
      <c r="CC5" s="77"/>
      <c r="CD5" s="503">
        <f>comparador7</f>
        <v>0</v>
      </c>
      <c r="CE5" s="503"/>
      <c r="CF5" s="503"/>
      <c r="CG5" s="503"/>
      <c r="CH5" s="503"/>
      <c r="CI5" s="503"/>
      <c r="CJ5" s="503"/>
      <c r="CK5" s="77"/>
      <c r="CL5" s="503">
        <f>comparador8</f>
        <v>0</v>
      </c>
      <c r="CM5" s="503"/>
      <c r="CN5" s="503"/>
      <c r="CO5" s="503"/>
      <c r="CP5" s="503"/>
      <c r="CQ5" s="503"/>
      <c r="CR5" s="503"/>
      <c r="CS5" s="77"/>
      <c r="CT5" s="503">
        <f>comparador9</f>
        <v>0</v>
      </c>
      <c r="CU5" s="503"/>
      <c r="CV5" s="503"/>
      <c r="CW5" s="503"/>
      <c r="CX5" s="503"/>
      <c r="CY5" s="503"/>
      <c r="CZ5" s="503"/>
      <c r="DA5" s="77"/>
      <c r="DB5" s="503">
        <f>comparador10</f>
        <v>0</v>
      </c>
      <c r="DC5" s="503"/>
      <c r="DD5" s="503"/>
      <c r="DE5" s="503"/>
      <c r="DF5" s="503"/>
      <c r="DG5" s="503"/>
      <c r="DH5" s="503"/>
      <c r="DI5" s="77"/>
    </row>
    <row r="6" spans="2:113" ht="16.2" thickBot="1">
      <c r="B6" s="78"/>
      <c r="C6" s="78">
        <f>ano_1</f>
        <v>2026</v>
      </c>
      <c r="D6" s="78">
        <f>C6+1</f>
        <v>2027</v>
      </c>
      <c r="E6" s="78">
        <f t="shared" ref="E6:G6" si="0">D6+1</f>
        <v>2028</v>
      </c>
      <c r="F6" s="78">
        <f t="shared" si="0"/>
        <v>2029</v>
      </c>
      <c r="G6" s="78">
        <f t="shared" si="0"/>
        <v>2030</v>
      </c>
      <c r="J6" s="78"/>
      <c r="K6" s="78">
        <f>ano_1</f>
        <v>2026</v>
      </c>
      <c r="L6" s="78">
        <f>K6+1</f>
        <v>2027</v>
      </c>
      <c r="M6" s="78">
        <f t="shared" ref="M6:O6" si="1">L6+1</f>
        <v>2028</v>
      </c>
      <c r="N6" s="78">
        <f t="shared" si="1"/>
        <v>2029</v>
      </c>
      <c r="O6" s="78">
        <f t="shared" si="1"/>
        <v>2030</v>
      </c>
      <c r="R6" s="78"/>
      <c r="S6" s="78">
        <f>ano_1</f>
        <v>2026</v>
      </c>
      <c r="T6" s="78">
        <f>S6+1</f>
        <v>2027</v>
      </c>
      <c r="U6" s="78">
        <f t="shared" ref="U6:W6" si="2">T6+1</f>
        <v>2028</v>
      </c>
      <c r="V6" s="78">
        <f t="shared" si="2"/>
        <v>2029</v>
      </c>
      <c r="W6" s="78">
        <f t="shared" si="2"/>
        <v>2030</v>
      </c>
      <c r="Z6" s="78"/>
      <c r="AA6" s="78">
        <f>ano_1</f>
        <v>2026</v>
      </c>
      <c r="AB6" s="78">
        <f>AA6+1</f>
        <v>2027</v>
      </c>
      <c r="AC6" s="78">
        <f t="shared" ref="AC6:AE6" si="3">AB6+1</f>
        <v>2028</v>
      </c>
      <c r="AD6" s="78">
        <f t="shared" si="3"/>
        <v>2029</v>
      </c>
      <c r="AE6" s="78">
        <f t="shared" si="3"/>
        <v>2030</v>
      </c>
      <c r="AH6" s="78"/>
      <c r="AI6" s="78">
        <f>ano_1</f>
        <v>2026</v>
      </c>
      <c r="AJ6" s="78">
        <f>AI6+1</f>
        <v>2027</v>
      </c>
      <c r="AK6" s="78">
        <f t="shared" ref="AK6:AM6" si="4">AJ6+1</f>
        <v>2028</v>
      </c>
      <c r="AL6" s="78">
        <f t="shared" si="4"/>
        <v>2029</v>
      </c>
      <c r="AM6" s="78">
        <f t="shared" si="4"/>
        <v>2030</v>
      </c>
      <c r="AP6" s="78"/>
      <c r="AQ6" s="78">
        <f>ano_1</f>
        <v>2026</v>
      </c>
      <c r="AR6" s="78">
        <f>AQ6+1</f>
        <v>2027</v>
      </c>
      <c r="AS6" s="78">
        <f t="shared" ref="AS6:AU6" si="5">AR6+1</f>
        <v>2028</v>
      </c>
      <c r="AT6" s="78">
        <f t="shared" si="5"/>
        <v>2029</v>
      </c>
      <c r="AU6" s="78">
        <f t="shared" si="5"/>
        <v>2030</v>
      </c>
      <c r="AX6" s="78"/>
      <c r="AY6" s="78">
        <f>ano_1</f>
        <v>2026</v>
      </c>
      <c r="AZ6" s="78">
        <f>AY6+1</f>
        <v>2027</v>
      </c>
      <c r="BA6" s="78">
        <f t="shared" ref="BA6:BC6" si="6">AZ6+1</f>
        <v>2028</v>
      </c>
      <c r="BB6" s="78">
        <f t="shared" si="6"/>
        <v>2029</v>
      </c>
      <c r="BC6" s="78">
        <f t="shared" si="6"/>
        <v>2030</v>
      </c>
      <c r="BF6" s="78"/>
      <c r="BG6" s="78">
        <f>ano_1</f>
        <v>2026</v>
      </c>
      <c r="BH6" s="78">
        <f>BG6+1</f>
        <v>2027</v>
      </c>
      <c r="BI6" s="78">
        <f t="shared" ref="BI6:BK6" si="7">BH6+1</f>
        <v>2028</v>
      </c>
      <c r="BJ6" s="78">
        <f t="shared" si="7"/>
        <v>2029</v>
      </c>
      <c r="BK6" s="78">
        <f t="shared" si="7"/>
        <v>2030</v>
      </c>
      <c r="BN6" s="78"/>
      <c r="BO6" s="78">
        <f>ano_1</f>
        <v>2026</v>
      </c>
      <c r="BP6" s="78">
        <f>BO6+1</f>
        <v>2027</v>
      </c>
      <c r="BQ6" s="78">
        <f t="shared" ref="BQ6:BS6" si="8">BP6+1</f>
        <v>2028</v>
      </c>
      <c r="BR6" s="78">
        <f t="shared" si="8"/>
        <v>2029</v>
      </c>
      <c r="BS6" s="78">
        <f t="shared" si="8"/>
        <v>2030</v>
      </c>
      <c r="BV6" s="78"/>
      <c r="BW6" s="78">
        <f>ano_1</f>
        <v>2026</v>
      </c>
      <c r="BX6" s="78">
        <f>BW6+1</f>
        <v>2027</v>
      </c>
      <c r="BY6" s="78">
        <f t="shared" ref="BY6:CA6" si="9">BX6+1</f>
        <v>2028</v>
      </c>
      <c r="BZ6" s="78">
        <f t="shared" si="9"/>
        <v>2029</v>
      </c>
      <c r="CA6" s="78">
        <f t="shared" si="9"/>
        <v>2030</v>
      </c>
      <c r="CD6" s="78"/>
      <c r="CE6" s="78">
        <f>ano_1</f>
        <v>2026</v>
      </c>
      <c r="CF6" s="78">
        <f>CE6+1</f>
        <v>2027</v>
      </c>
      <c r="CG6" s="78">
        <f t="shared" ref="CG6:CI6" si="10">CF6+1</f>
        <v>2028</v>
      </c>
      <c r="CH6" s="78">
        <f t="shared" si="10"/>
        <v>2029</v>
      </c>
      <c r="CI6" s="78">
        <f t="shared" si="10"/>
        <v>2030</v>
      </c>
      <c r="CL6" s="78"/>
      <c r="CM6" s="78">
        <f>ano_1</f>
        <v>2026</v>
      </c>
      <c r="CN6" s="78">
        <f>CM6+1</f>
        <v>2027</v>
      </c>
      <c r="CO6" s="78">
        <f t="shared" ref="CO6:CQ6" si="11">CN6+1</f>
        <v>2028</v>
      </c>
      <c r="CP6" s="78">
        <f t="shared" si="11"/>
        <v>2029</v>
      </c>
      <c r="CQ6" s="78">
        <f t="shared" si="11"/>
        <v>2030</v>
      </c>
      <c r="CT6" s="78"/>
      <c r="CU6" s="78">
        <f>ano_1</f>
        <v>2026</v>
      </c>
      <c r="CV6" s="78">
        <f>CU6+1</f>
        <v>2027</v>
      </c>
      <c r="CW6" s="78">
        <f t="shared" ref="CW6:CY6" si="12">CV6+1</f>
        <v>2028</v>
      </c>
      <c r="CX6" s="78">
        <f t="shared" si="12"/>
        <v>2029</v>
      </c>
      <c r="CY6" s="78">
        <f t="shared" si="12"/>
        <v>2030</v>
      </c>
      <c r="DB6" s="78"/>
      <c r="DC6" s="78">
        <f>ano_1</f>
        <v>2026</v>
      </c>
      <c r="DD6" s="78">
        <f>DC6+1</f>
        <v>2027</v>
      </c>
      <c r="DE6" s="78">
        <f t="shared" ref="DE6:DG6" si="13">DD6+1</f>
        <v>2028</v>
      </c>
      <c r="DF6" s="78">
        <f t="shared" si="13"/>
        <v>2029</v>
      </c>
      <c r="DG6" s="78">
        <f t="shared" si="13"/>
        <v>2030</v>
      </c>
    </row>
    <row r="7" spans="2:113" s="97" customFormat="1" ht="15" thickBot="1">
      <c r="B7" s="94" t="s">
        <v>205</v>
      </c>
      <c r="C7" s="313">
        <f>Results!D9</f>
        <v>684.99247650000007</v>
      </c>
      <c r="D7" s="313">
        <f>Results!E9</f>
        <v>690.371840625</v>
      </c>
      <c r="E7" s="313">
        <f>Results!F9</f>
        <v>695.59661162500004</v>
      </c>
      <c r="F7" s="313">
        <f>Results!G9</f>
        <v>700.84444662500005</v>
      </c>
      <c r="G7" s="313">
        <f>Results!H9</f>
        <v>706.19335325000009</v>
      </c>
      <c r="H7" s="95"/>
      <c r="I7" s="96"/>
      <c r="J7" s="94" t="s">
        <v>205</v>
      </c>
      <c r="K7" s="313">
        <f>Results!D$9</f>
        <v>684.99247650000007</v>
      </c>
      <c r="L7" s="313">
        <f>Results!E$9</f>
        <v>690.371840625</v>
      </c>
      <c r="M7" s="313">
        <f>Results!F$9</f>
        <v>695.59661162500004</v>
      </c>
      <c r="N7" s="313">
        <f>Results!G$9</f>
        <v>700.84444662500005</v>
      </c>
      <c r="O7" s="313">
        <f>Results!H$9</f>
        <v>706.19335325000009</v>
      </c>
      <c r="P7" s="95"/>
      <c r="Q7" s="96"/>
      <c r="R7" s="94" t="s">
        <v>205</v>
      </c>
      <c r="S7" s="313">
        <f>Results!D$9</f>
        <v>684.99247650000007</v>
      </c>
      <c r="T7" s="313">
        <f>Results!E$9</f>
        <v>690.371840625</v>
      </c>
      <c r="U7" s="313">
        <f>Results!F$9</f>
        <v>695.59661162500004</v>
      </c>
      <c r="V7" s="313">
        <f>Results!G$9</f>
        <v>700.84444662500005</v>
      </c>
      <c r="W7" s="313">
        <f>Results!H$9</f>
        <v>706.19335325000009</v>
      </c>
      <c r="X7" s="95"/>
      <c r="Y7" s="96"/>
      <c r="Z7" s="94" t="s">
        <v>205</v>
      </c>
      <c r="AA7" s="313">
        <f>Results!D$9</f>
        <v>684.99247650000007</v>
      </c>
      <c r="AB7" s="313">
        <f>Results!E$9</f>
        <v>690.371840625</v>
      </c>
      <c r="AC7" s="313">
        <f>Results!F$9</f>
        <v>695.59661162500004</v>
      </c>
      <c r="AD7" s="313">
        <f>Results!G$9</f>
        <v>700.84444662500005</v>
      </c>
      <c r="AE7" s="313">
        <f>Results!H$9</f>
        <v>706.19335325000009</v>
      </c>
      <c r="AF7" s="95"/>
      <c r="AG7" s="96"/>
      <c r="AH7" s="94" t="s">
        <v>205</v>
      </c>
      <c r="AI7" s="313">
        <f>Results!D$9</f>
        <v>684.99247650000007</v>
      </c>
      <c r="AJ7" s="313">
        <f>Results!E$9</f>
        <v>690.371840625</v>
      </c>
      <c r="AK7" s="313">
        <f>Results!F$9</f>
        <v>695.59661162500004</v>
      </c>
      <c r="AL7" s="313">
        <f>Results!G$9</f>
        <v>700.84444662500005</v>
      </c>
      <c r="AM7" s="313">
        <f>Results!H$9</f>
        <v>706.19335325000009</v>
      </c>
      <c r="AN7" s="95"/>
      <c r="AO7" s="96"/>
      <c r="AP7" s="94" t="s">
        <v>205</v>
      </c>
      <c r="AQ7" s="313">
        <f>Results!D$9</f>
        <v>684.99247650000007</v>
      </c>
      <c r="AR7" s="313">
        <f>Results!E$9</f>
        <v>690.371840625</v>
      </c>
      <c r="AS7" s="313">
        <f>Results!F$9</f>
        <v>695.59661162500004</v>
      </c>
      <c r="AT7" s="313">
        <f>Results!G$9</f>
        <v>700.84444662500005</v>
      </c>
      <c r="AU7" s="313">
        <f>Results!H$9</f>
        <v>706.19335325000009</v>
      </c>
      <c r="AV7" s="95"/>
      <c r="AW7" s="96"/>
      <c r="AX7" s="94" t="s">
        <v>205</v>
      </c>
      <c r="AY7" s="313">
        <f>Results!D$9</f>
        <v>684.99247650000007</v>
      </c>
      <c r="AZ7" s="313">
        <f>Results!E$9</f>
        <v>690.371840625</v>
      </c>
      <c r="BA7" s="313">
        <f>Results!F$9</f>
        <v>695.59661162500004</v>
      </c>
      <c r="BB7" s="313">
        <f>Results!G$9</f>
        <v>700.84444662500005</v>
      </c>
      <c r="BC7" s="313">
        <f>Results!H$9</f>
        <v>706.19335325000009</v>
      </c>
      <c r="BD7" s="95"/>
      <c r="BE7" s="96"/>
      <c r="BF7" s="94" t="s">
        <v>205</v>
      </c>
      <c r="BG7" s="313">
        <f>Results!D$9</f>
        <v>684.99247650000007</v>
      </c>
      <c r="BH7" s="313">
        <f>Results!E$9</f>
        <v>690.371840625</v>
      </c>
      <c r="BI7" s="313">
        <f>Results!F$9</f>
        <v>695.59661162500004</v>
      </c>
      <c r="BJ7" s="313">
        <f>Results!G$9</f>
        <v>700.84444662500005</v>
      </c>
      <c r="BK7" s="313">
        <f>Results!H$9</f>
        <v>706.19335325000009</v>
      </c>
      <c r="BL7" s="95"/>
      <c r="BM7" s="96"/>
      <c r="BN7" s="94" t="s">
        <v>205</v>
      </c>
      <c r="BO7" s="313">
        <f>Results!D$9</f>
        <v>684.99247650000007</v>
      </c>
      <c r="BP7" s="313">
        <f>Results!E$9</f>
        <v>690.371840625</v>
      </c>
      <c r="BQ7" s="313">
        <f>Results!F$9</f>
        <v>695.59661162500004</v>
      </c>
      <c r="BR7" s="313">
        <f>Results!G$9</f>
        <v>700.84444662500005</v>
      </c>
      <c r="BS7" s="313">
        <f>Results!H$9</f>
        <v>706.19335325000009</v>
      </c>
      <c r="BT7" s="95"/>
      <c r="BU7" s="96"/>
      <c r="BV7" s="94" t="s">
        <v>205</v>
      </c>
      <c r="BW7" s="313">
        <f>Results!D$9</f>
        <v>684.99247650000007</v>
      </c>
      <c r="BX7" s="313">
        <f>Results!E$9</f>
        <v>690.371840625</v>
      </c>
      <c r="BY7" s="313">
        <f>Results!F$9</f>
        <v>695.59661162500004</v>
      </c>
      <c r="BZ7" s="313">
        <f>Results!G$9</f>
        <v>700.84444662500005</v>
      </c>
      <c r="CA7" s="313">
        <f>Results!H$9</f>
        <v>706.19335325000009</v>
      </c>
      <c r="CB7" s="95"/>
      <c r="CC7" s="96"/>
      <c r="CD7" s="94" t="s">
        <v>205</v>
      </c>
      <c r="CE7" s="313">
        <f>Results!D$9</f>
        <v>684.99247650000007</v>
      </c>
      <c r="CF7" s="313">
        <f>Results!E$9</f>
        <v>690.371840625</v>
      </c>
      <c r="CG7" s="313">
        <f>Results!F$9</f>
        <v>695.59661162500004</v>
      </c>
      <c r="CH7" s="313">
        <f>Results!G$9</f>
        <v>700.84444662500005</v>
      </c>
      <c r="CI7" s="313">
        <f>Results!H$9</f>
        <v>706.19335325000009</v>
      </c>
      <c r="CJ7" s="95"/>
      <c r="CK7" s="96"/>
      <c r="CL7" s="94" t="s">
        <v>205</v>
      </c>
      <c r="CM7" s="313">
        <f>Results!D$9</f>
        <v>684.99247650000007</v>
      </c>
      <c r="CN7" s="313">
        <f>Results!E$9</f>
        <v>690.371840625</v>
      </c>
      <c r="CO7" s="313">
        <f>Results!F$9</f>
        <v>695.59661162500004</v>
      </c>
      <c r="CP7" s="313">
        <f>Results!G$9</f>
        <v>700.84444662500005</v>
      </c>
      <c r="CQ7" s="313">
        <f>Results!H$9</f>
        <v>706.19335325000009</v>
      </c>
      <c r="CR7" s="95"/>
      <c r="CS7" s="96"/>
      <c r="CT7" s="94" t="s">
        <v>205</v>
      </c>
      <c r="CU7" s="313">
        <f>Results!D$9</f>
        <v>684.99247650000007</v>
      </c>
      <c r="CV7" s="313">
        <f>Results!E$9</f>
        <v>690.371840625</v>
      </c>
      <c r="CW7" s="313">
        <f>Results!F$9</f>
        <v>695.59661162500004</v>
      </c>
      <c r="CX7" s="313">
        <f>Results!G$9</f>
        <v>700.84444662500005</v>
      </c>
      <c r="CY7" s="313">
        <f>Results!H$9</f>
        <v>706.19335325000009</v>
      </c>
      <c r="CZ7" s="95"/>
      <c r="DA7" s="96"/>
      <c r="DB7" s="94" t="s">
        <v>205</v>
      </c>
      <c r="DC7" s="313">
        <f>Results!D$9</f>
        <v>684.99247650000007</v>
      </c>
      <c r="DD7" s="313">
        <f>Results!E$9</f>
        <v>690.371840625</v>
      </c>
      <c r="DE7" s="313">
        <f>Results!F$9</f>
        <v>695.59661162500004</v>
      </c>
      <c r="DF7" s="313">
        <f>Results!G$9</f>
        <v>700.84444662500005</v>
      </c>
      <c r="DG7" s="313">
        <f>Results!H$9</f>
        <v>706.19335325000009</v>
      </c>
      <c r="DH7" s="95"/>
      <c r="DI7" s="96"/>
    </row>
    <row r="9" spans="2:113" s="81" customFormat="1">
      <c r="B9" s="120"/>
      <c r="C9" s="120"/>
      <c r="D9" s="120"/>
      <c r="E9" s="120"/>
      <c r="F9" s="120"/>
      <c r="G9" s="120"/>
      <c r="H9" s="82"/>
      <c r="I9" s="82"/>
      <c r="J9" s="120"/>
      <c r="K9" s="120"/>
      <c r="L9" s="120"/>
      <c r="M9" s="120"/>
      <c r="N9" s="120"/>
      <c r="O9" s="120"/>
      <c r="P9" s="82"/>
      <c r="Q9" s="82"/>
      <c r="R9" s="120"/>
      <c r="S9" s="120"/>
      <c r="T9" s="120"/>
      <c r="U9" s="120"/>
      <c r="V9" s="120"/>
      <c r="W9" s="120"/>
      <c r="X9" s="82"/>
      <c r="Y9" s="82"/>
      <c r="Z9" s="120"/>
      <c r="AA9" s="120"/>
      <c r="AB9" s="120"/>
      <c r="AC9" s="120"/>
      <c r="AD9" s="120"/>
      <c r="AE9" s="120"/>
      <c r="AF9" s="82"/>
      <c r="AG9" s="82"/>
      <c r="AH9" s="120"/>
      <c r="AI9" s="120"/>
      <c r="AJ9" s="120"/>
      <c r="AK9" s="120"/>
      <c r="AL9" s="120"/>
      <c r="AM9" s="120"/>
      <c r="AN9" s="82"/>
      <c r="AO9" s="82"/>
      <c r="AP9" s="120"/>
      <c r="AQ9" s="120"/>
      <c r="AR9" s="120"/>
      <c r="AS9" s="120"/>
      <c r="AT9" s="120"/>
      <c r="AU9" s="120"/>
      <c r="AV9" s="82"/>
      <c r="AW9" s="82"/>
      <c r="AX9" s="120"/>
      <c r="AY9" s="120"/>
      <c r="AZ9" s="120"/>
      <c r="BA9" s="120"/>
      <c r="BB9" s="120"/>
      <c r="BC9" s="120"/>
      <c r="BD9" s="82"/>
      <c r="BE9" s="82"/>
      <c r="BF9" s="120"/>
      <c r="BG9" s="120"/>
      <c r="BH9" s="120"/>
      <c r="BI9" s="120"/>
      <c r="BJ9" s="120"/>
      <c r="BK9" s="120"/>
      <c r="BL9" s="82"/>
      <c r="BM9" s="82"/>
      <c r="BN9" s="120"/>
      <c r="BO9" s="120"/>
      <c r="BP9" s="120"/>
      <c r="BQ9" s="120"/>
      <c r="BR9" s="120"/>
      <c r="BS9" s="120"/>
      <c r="BT9" s="82"/>
      <c r="BU9" s="82"/>
      <c r="BV9" s="120"/>
      <c r="BW9" s="120"/>
      <c r="BX9" s="120"/>
      <c r="BY9" s="120"/>
      <c r="BZ9" s="120"/>
      <c r="CA9" s="120"/>
      <c r="CB9" s="82"/>
      <c r="CC9" s="82"/>
      <c r="CD9" s="120"/>
      <c r="CE9" s="120"/>
      <c r="CF9" s="120"/>
      <c r="CG9" s="120"/>
      <c r="CH9" s="120"/>
      <c r="CI9" s="120"/>
      <c r="CJ9" s="82"/>
      <c r="CK9" s="82"/>
      <c r="CL9" s="120"/>
      <c r="CM9" s="120"/>
      <c r="CN9" s="120"/>
      <c r="CO9" s="120"/>
      <c r="CP9" s="120"/>
      <c r="CQ9" s="120"/>
      <c r="CR9" s="82"/>
      <c r="CS9" s="82"/>
      <c r="CT9" s="120"/>
      <c r="CU9" s="120"/>
      <c r="CV9" s="120"/>
      <c r="CW9" s="120"/>
      <c r="CX9" s="120"/>
      <c r="CY9" s="120"/>
      <c r="CZ9" s="82"/>
      <c r="DA9" s="82"/>
      <c r="DB9" s="120"/>
      <c r="DC9" s="120"/>
      <c r="DD9" s="120"/>
      <c r="DE9" s="120"/>
      <c r="DF9" s="120"/>
      <c r="DG9" s="120"/>
      <c r="DH9" s="82"/>
      <c r="DI9" s="82"/>
    </row>
    <row r="10" spans="2:113" s="76" customFormat="1" ht="21">
      <c r="B10" s="503" t="str">
        <f>intervencao1</f>
        <v>Drug 1</v>
      </c>
      <c r="C10" s="503"/>
      <c r="D10" s="503"/>
      <c r="E10" s="503"/>
      <c r="F10" s="503"/>
      <c r="G10" s="503"/>
      <c r="H10" s="503"/>
      <c r="I10" s="77"/>
      <c r="J10" s="503" t="str">
        <f>intervencao2</f>
        <v>Drug 2</v>
      </c>
      <c r="K10" s="503"/>
      <c r="L10" s="503"/>
      <c r="M10" s="503"/>
      <c r="N10" s="503"/>
      <c r="O10" s="503"/>
      <c r="P10" s="503"/>
      <c r="Q10" s="77"/>
      <c r="R10" s="503">
        <f>intervencao3</f>
        <v>0</v>
      </c>
      <c r="S10" s="503"/>
      <c r="T10" s="503"/>
      <c r="U10" s="503"/>
      <c r="V10" s="503"/>
      <c r="W10" s="503"/>
      <c r="X10" s="503"/>
      <c r="Y10" s="77"/>
      <c r="Z10" s="503">
        <f>intervencao4</f>
        <v>0</v>
      </c>
      <c r="AA10" s="503"/>
      <c r="AB10" s="503"/>
      <c r="AC10" s="503"/>
      <c r="AD10" s="503"/>
      <c r="AE10" s="503"/>
      <c r="AF10" s="503"/>
      <c r="AG10" s="77"/>
      <c r="AH10" s="503" t="str">
        <f>comparador1</f>
        <v>BSC</v>
      </c>
      <c r="AI10" s="503"/>
      <c r="AJ10" s="503"/>
      <c r="AK10" s="503"/>
      <c r="AL10" s="503"/>
      <c r="AM10" s="503"/>
      <c r="AN10" s="503"/>
      <c r="AO10" s="77"/>
      <c r="AP10" s="503">
        <f>comparador2</f>
        <v>0</v>
      </c>
      <c r="AQ10" s="503"/>
      <c r="AR10" s="503"/>
      <c r="AS10" s="503"/>
      <c r="AT10" s="503"/>
      <c r="AU10" s="503"/>
      <c r="AV10" s="503"/>
      <c r="AW10" s="77"/>
      <c r="AX10" s="503">
        <f>comparador3</f>
        <v>0</v>
      </c>
      <c r="AY10" s="503"/>
      <c r="AZ10" s="503"/>
      <c r="BA10" s="503"/>
      <c r="BB10" s="503"/>
      <c r="BC10" s="503"/>
      <c r="BD10" s="503"/>
      <c r="BE10" s="77"/>
      <c r="BF10" s="503">
        <f>comparador4</f>
        <v>0</v>
      </c>
      <c r="BG10" s="503"/>
      <c r="BH10" s="503"/>
      <c r="BI10" s="503"/>
      <c r="BJ10" s="503"/>
      <c r="BK10" s="503"/>
      <c r="BL10" s="503"/>
      <c r="BM10" s="77"/>
      <c r="BN10" s="503">
        <f>comparador5</f>
        <v>0</v>
      </c>
      <c r="BO10" s="503"/>
      <c r="BP10" s="503"/>
      <c r="BQ10" s="503"/>
      <c r="BR10" s="503"/>
      <c r="BS10" s="503"/>
      <c r="BT10" s="503"/>
      <c r="BU10" s="77"/>
      <c r="BV10" s="503">
        <f>comparador6</f>
        <v>0</v>
      </c>
      <c r="BW10" s="503"/>
      <c r="BX10" s="503"/>
      <c r="BY10" s="503"/>
      <c r="BZ10" s="503"/>
      <c r="CA10" s="503"/>
      <c r="CB10" s="503"/>
      <c r="CC10" s="77"/>
      <c r="CD10" s="503">
        <f>comparador7</f>
        <v>0</v>
      </c>
      <c r="CE10" s="503"/>
      <c r="CF10" s="503"/>
      <c r="CG10" s="503"/>
      <c r="CH10" s="503"/>
      <c r="CI10" s="503"/>
      <c r="CJ10" s="503"/>
      <c r="CK10" s="77"/>
      <c r="CL10" s="503">
        <f>comparador8</f>
        <v>0</v>
      </c>
      <c r="CM10" s="503"/>
      <c r="CN10" s="503"/>
      <c r="CO10" s="503"/>
      <c r="CP10" s="503"/>
      <c r="CQ10" s="503"/>
      <c r="CR10" s="503"/>
      <c r="CS10" s="77"/>
      <c r="CT10" s="503">
        <f>comparador9</f>
        <v>0</v>
      </c>
      <c r="CU10" s="503"/>
      <c r="CV10" s="503"/>
      <c r="CW10" s="503"/>
      <c r="CX10" s="503"/>
      <c r="CY10" s="503"/>
      <c r="CZ10" s="503"/>
      <c r="DA10" s="77"/>
      <c r="DB10" s="503">
        <f>comparador10</f>
        <v>0</v>
      </c>
      <c r="DC10" s="503"/>
      <c r="DD10" s="503"/>
      <c r="DE10" s="503"/>
      <c r="DF10" s="503"/>
      <c r="DG10" s="503"/>
      <c r="DH10" s="503"/>
      <c r="DI10" s="77"/>
    </row>
    <row r="11" spans="2:113" ht="18">
      <c r="B11" s="504" t="s">
        <v>180</v>
      </c>
      <c r="C11" s="504"/>
      <c r="D11" s="504"/>
      <c r="E11" s="504"/>
      <c r="F11" s="504"/>
      <c r="G11" s="504"/>
      <c r="H11" s="71"/>
      <c r="I11" s="71"/>
      <c r="J11" s="504" t="s">
        <v>180</v>
      </c>
      <c r="K11" s="504"/>
      <c r="L11" s="504"/>
      <c r="M11" s="504"/>
      <c r="N11" s="504"/>
      <c r="O11" s="504"/>
      <c r="P11" s="71"/>
      <c r="Q11" s="71"/>
      <c r="R11" s="504" t="s">
        <v>180</v>
      </c>
      <c r="S11" s="504"/>
      <c r="T11" s="504"/>
      <c r="U11" s="504"/>
      <c r="V11" s="504"/>
      <c r="W11" s="504"/>
      <c r="X11" s="71"/>
      <c r="Y11" s="71"/>
      <c r="Z11" s="504" t="s">
        <v>180</v>
      </c>
      <c r="AA11" s="504"/>
      <c r="AB11" s="504"/>
      <c r="AC11" s="504"/>
      <c r="AD11" s="504"/>
      <c r="AE11" s="504"/>
      <c r="AF11" s="71"/>
      <c r="AG11" s="71"/>
      <c r="AH11" s="504" t="s">
        <v>180</v>
      </c>
      <c r="AI11" s="504"/>
      <c r="AJ11" s="504"/>
      <c r="AK11" s="504"/>
      <c r="AL11" s="504"/>
      <c r="AM11" s="504"/>
      <c r="AN11" s="71"/>
      <c r="AO11" s="71"/>
      <c r="AP11" s="504" t="s">
        <v>180</v>
      </c>
      <c r="AQ11" s="504"/>
      <c r="AR11" s="504"/>
      <c r="AS11" s="504"/>
      <c r="AT11" s="504"/>
      <c r="AU11" s="504"/>
      <c r="AV11" s="71"/>
      <c r="AW11" s="71"/>
      <c r="AX11" s="504" t="s">
        <v>180</v>
      </c>
      <c r="AY11" s="504"/>
      <c r="AZ11" s="504"/>
      <c r="BA11" s="504"/>
      <c r="BB11" s="504"/>
      <c r="BC11" s="504"/>
      <c r="BD11" s="71"/>
      <c r="BE11" s="71"/>
      <c r="BF11" s="504" t="s">
        <v>180</v>
      </c>
      <c r="BG11" s="504"/>
      <c r="BH11" s="504"/>
      <c r="BI11" s="504"/>
      <c r="BJ11" s="504"/>
      <c r="BK11" s="504"/>
      <c r="BL11" s="71"/>
      <c r="BM11" s="71"/>
      <c r="BN11" s="504" t="s">
        <v>180</v>
      </c>
      <c r="BO11" s="504"/>
      <c r="BP11" s="504"/>
      <c r="BQ11" s="504"/>
      <c r="BR11" s="504"/>
      <c r="BS11" s="504"/>
      <c r="BT11" s="71"/>
      <c r="BU11" s="71"/>
      <c r="BV11" s="504" t="s">
        <v>180</v>
      </c>
      <c r="BW11" s="504"/>
      <c r="BX11" s="504"/>
      <c r="BY11" s="504"/>
      <c r="BZ11" s="504"/>
      <c r="CA11" s="504"/>
      <c r="CB11" s="71"/>
      <c r="CC11" s="71"/>
      <c r="CD11" s="504" t="s">
        <v>180</v>
      </c>
      <c r="CE11" s="504"/>
      <c r="CF11" s="504"/>
      <c r="CG11" s="504"/>
      <c r="CH11" s="504"/>
      <c r="CI11" s="504"/>
      <c r="CJ11" s="71"/>
      <c r="CK11" s="71"/>
      <c r="CL11" s="504" t="s">
        <v>180</v>
      </c>
      <c r="CM11" s="504"/>
      <c r="CN11" s="504"/>
      <c r="CO11" s="504"/>
      <c r="CP11" s="504"/>
      <c r="CQ11" s="504"/>
      <c r="CR11" s="71"/>
      <c r="CS11" s="71"/>
      <c r="CT11" s="504" t="s">
        <v>180</v>
      </c>
      <c r="CU11" s="504"/>
      <c r="CV11" s="504"/>
      <c r="CW11" s="504"/>
      <c r="CX11" s="504"/>
      <c r="CY11" s="504"/>
      <c r="CZ11" s="71"/>
      <c r="DA11" s="71"/>
      <c r="DB11" s="504" t="s">
        <v>180</v>
      </c>
      <c r="DC11" s="504"/>
      <c r="DD11" s="504"/>
      <c r="DE11" s="504"/>
      <c r="DF11" s="504"/>
      <c r="DG11" s="504"/>
      <c r="DH11" s="71"/>
      <c r="DI11" s="71"/>
    </row>
    <row r="12" spans="2:113" ht="15" thickBot="1">
      <c r="B12" s="83"/>
      <c r="C12" s="83"/>
      <c r="D12" s="83"/>
      <c r="E12" s="83"/>
      <c r="F12" s="83"/>
      <c r="G12" s="83"/>
      <c r="J12" s="83"/>
      <c r="K12" s="83"/>
      <c r="L12" s="83"/>
      <c r="M12" s="83"/>
      <c r="N12" s="83"/>
      <c r="O12" s="83"/>
      <c r="R12" s="83"/>
      <c r="S12" s="83"/>
      <c r="T12" s="83"/>
      <c r="U12" s="83"/>
      <c r="V12" s="83"/>
      <c r="W12" s="83"/>
      <c r="Z12" s="83"/>
      <c r="AA12" s="83"/>
      <c r="AB12" s="83"/>
      <c r="AC12" s="83"/>
      <c r="AD12" s="83"/>
      <c r="AE12" s="83"/>
      <c r="AH12" s="83"/>
      <c r="AI12" s="83"/>
      <c r="AJ12" s="83"/>
      <c r="AK12" s="83"/>
      <c r="AL12" s="83"/>
      <c r="AM12" s="83"/>
      <c r="AP12" s="83"/>
      <c r="AQ12" s="83"/>
      <c r="AR12" s="83"/>
      <c r="AS12" s="83"/>
      <c r="AT12" s="83"/>
      <c r="AU12" s="83"/>
      <c r="AX12" s="83"/>
      <c r="AY12" s="83"/>
      <c r="AZ12" s="83"/>
      <c r="BA12" s="83"/>
      <c r="BB12" s="83"/>
      <c r="BC12" s="83"/>
      <c r="BF12" s="83"/>
      <c r="BG12" s="83"/>
      <c r="BH12" s="83"/>
      <c r="BI12" s="83"/>
      <c r="BJ12" s="83"/>
      <c r="BK12" s="83"/>
      <c r="BN12" s="83"/>
      <c r="BO12" s="83"/>
      <c r="BP12" s="83"/>
      <c r="BQ12" s="83"/>
      <c r="BR12" s="83"/>
      <c r="BS12" s="83"/>
      <c r="BV12" s="83"/>
      <c r="BW12" s="83"/>
      <c r="BX12" s="83"/>
      <c r="BY12" s="83"/>
      <c r="BZ12" s="83"/>
      <c r="CA12" s="83"/>
      <c r="CD12" s="83"/>
      <c r="CE12" s="83"/>
      <c r="CF12" s="83"/>
      <c r="CG12" s="83"/>
      <c r="CH12" s="83"/>
      <c r="CI12" s="83"/>
      <c r="CL12" s="83"/>
      <c r="CM12" s="83"/>
      <c r="CN12" s="83"/>
      <c r="CO12" s="83"/>
      <c r="CP12" s="83"/>
      <c r="CQ12" s="83"/>
      <c r="CT12" s="83"/>
      <c r="CU12" s="83"/>
      <c r="CV12" s="83"/>
      <c r="CW12" s="83"/>
      <c r="CX12" s="83"/>
      <c r="CY12" s="83"/>
      <c r="DB12" s="83"/>
      <c r="DC12" s="83"/>
      <c r="DD12" s="83"/>
      <c r="DE12" s="83"/>
      <c r="DF12" s="83"/>
      <c r="DG12" s="83"/>
    </row>
    <row r="13" spans="2:113" ht="15" thickBot="1">
      <c r="B13" s="505" t="str">
        <f>cen_atual</f>
        <v>BSC only</v>
      </c>
      <c r="C13" s="506"/>
      <c r="D13" s="506"/>
      <c r="E13" s="506"/>
      <c r="F13" s="506"/>
      <c r="G13" s="507"/>
      <c r="J13" s="505" t="str">
        <f>cen_atual</f>
        <v>BSC only</v>
      </c>
      <c r="K13" s="506"/>
      <c r="L13" s="506"/>
      <c r="M13" s="506"/>
      <c r="N13" s="506"/>
      <c r="O13" s="507"/>
      <c r="R13" s="505" t="str">
        <f>cen_atual</f>
        <v>BSC only</v>
      </c>
      <c r="S13" s="506"/>
      <c r="T13" s="506"/>
      <c r="U13" s="506"/>
      <c r="V13" s="506"/>
      <c r="W13" s="507"/>
      <c r="Z13" s="505" t="str">
        <f>cen_atual</f>
        <v>BSC only</v>
      </c>
      <c r="AA13" s="506"/>
      <c r="AB13" s="506"/>
      <c r="AC13" s="506"/>
      <c r="AD13" s="506"/>
      <c r="AE13" s="507"/>
      <c r="AH13" s="505" t="str">
        <f>cen_atual</f>
        <v>BSC only</v>
      </c>
      <c r="AI13" s="506"/>
      <c r="AJ13" s="506"/>
      <c r="AK13" s="506"/>
      <c r="AL13" s="506"/>
      <c r="AM13" s="507"/>
      <c r="AP13" s="505" t="str">
        <f>cen_atual</f>
        <v>BSC only</v>
      </c>
      <c r="AQ13" s="506"/>
      <c r="AR13" s="506"/>
      <c r="AS13" s="506"/>
      <c r="AT13" s="506"/>
      <c r="AU13" s="507"/>
      <c r="AX13" s="505" t="str">
        <f>cen_atual</f>
        <v>BSC only</v>
      </c>
      <c r="AY13" s="506"/>
      <c r="AZ13" s="506"/>
      <c r="BA13" s="506"/>
      <c r="BB13" s="506"/>
      <c r="BC13" s="507"/>
      <c r="BF13" s="505" t="str">
        <f>cen_atual</f>
        <v>BSC only</v>
      </c>
      <c r="BG13" s="506"/>
      <c r="BH13" s="506"/>
      <c r="BI13" s="506"/>
      <c r="BJ13" s="506"/>
      <c r="BK13" s="507"/>
      <c r="BN13" s="505" t="str">
        <f>cen_atual</f>
        <v>BSC only</v>
      </c>
      <c r="BO13" s="506"/>
      <c r="BP13" s="506"/>
      <c r="BQ13" s="506"/>
      <c r="BR13" s="506"/>
      <c r="BS13" s="507"/>
      <c r="BV13" s="505" t="str">
        <f>cen_atual</f>
        <v>BSC only</v>
      </c>
      <c r="BW13" s="506"/>
      <c r="BX13" s="506"/>
      <c r="BY13" s="506"/>
      <c r="BZ13" s="506"/>
      <c r="CA13" s="507"/>
      <c r="CD13" s="505" t="str">
        <f>cen_atual</f>
        <v>BSC only</v>
      </c>
      <c r="CE13" s="506"/>
      <c r="CF13" s="506"/>
      <c r="CG13" s="506"/>
      <c r="CH13" s="506"/>
      <c r="CI13" s="507"/>
      <c r="CL13" s="505" t="str">
        <f>cen_atual</f>
        <v>BSC only</v>
      </c>
      <c r="CM13" s="506"/>
      <c r="CN13" s="506"/>
      <c r="CO13" s="506"/>
      <c r="CP13" s="506"/>
      <c r="CQ13" s="507"/>
      <c r="CT13" s="505" t="str">
        <f>cen_atual</f>
        <v>BSC only</v>
      </c>
      <c r="CU13" s="506"/>
      <c r="CV13" s="506"/>
      <c r="CW13" s="506"/>
      <c r="CX13" s="506"/>
      <c r="CY13" s="507"/>
      <c r="DB13" s="505" t="str">
        <f>cen_atual</f>
        <v>BSC only</v>
      </c>
      <c r="DC13" s="506"/>
      <c r="DD13" s="506"/>
      <c r="DE13" s="506"/>
      <c r="DF13" s="506"/>
      <c r="DG13" s="507"/>
    </row>
    <row r="14" spans="2:113">
      <c r="B14" s="84"/>
      <c r="C14" s="101">
        <f>ano_1</f>
        <v>2026</v>
      </c>
      <c r="D14" s="101">
        <f>C14+1</f>
        <v>2027</v>
      </c>
      <c r="E14" s="101">
        <f t="shared" ref="E14:G14" si="14">D14+1</f>
        <v>2028</v>
      </c>
      <c r="F14" s="101">
        <f t="shared" si="14"/>
        <v>2029</v>
      </c>
      <c r="G14" s="102">
        <f t="shared" si="14"/>
        <v>2030</v>
      </c>
      <c r="J14" s="84"/>
      <c r="K14" s="101">
        <f>ano_1</f>
        <v>2026</v>
      </c>
      <c r="L14" s="101">
        <f>K14+1</f>
        <v>2027</v>
      </c>
      <c r="M14" s="101">
        <f t="shared" ref="M14:O14" si="15">L14+1</f>
        <v>2028</v>
      </c>
      <c r="N14" s="101">
        <f t="shared" si="15"/>
        <v>2029</v>
      </c>
      <c r="O14" s="102">
        <f t="shared" si="15"/>
        <v>2030</v>
      </c>
      <c r="R14" s="84"/>
      <c r="S14" s="101">
        <f>ano_1</f>
        <v>2026</v>
      </c>
      <c r="T14" s="101">
        <f>S14+1</f>
        <v>2027</v>
      </c>
      <c r="U14" s="101">
        <f t="shared" ref="U14:W14" si="16">T14+1</f>
        <v>2028</v>
      </c>
      <c r="V14" s="101">
        <f t="shared" si="16"/>
        <v>2029</v>
      </c>
      <c r="W14" s="102">
        <f t="shared" si="16"/>
        <v>2030</v>
      </c>
      <c r="Z14" s="84"/>
      <c r="AA14" s="101">
        <f>ano_1</f>
        <v>2026</v>
      </c>
      <c r="AB14" s="101">
        <f>AA14+1</f>
        <v>2027</v>
      </c>
      <c r="AC14" s="101">
        <f t="shared" ref="AC14:AE14" si="17">AB14+1</f>
        <v>2028</v>
      </c>
      <c r="AD14" s="101">
        <f t="shared" si="17"/>
        <v>2029</v>
      </c>
      <c r="AE14" s="102">
        <f t="shared" si="17"/>
        <v>2030</v>
      </c>
      <c r="AH14" s="84"/>
      <c r="AI14" s="101">
        <f>ano_1</f>
        <v>2026</v>
      </c>
      <c r="AJ14" s="101">
        <f>AI14+1</f>
        <v>2027</v>
      </c>
      <c r="AK14" s="101">
        <f t="shared" ref="AK14:AM14" si="18">AJ14+1</f>
        <v>2028</v>
      </c>
      <c r="AL14" s="101">
        <f t="shared" si="18"/>
        <v>2029</v>
      </c>
      <c r="AM14" s="102">
        <f t="shared" si="18"/>
        <v>2030</v>
      </c>
      <c r="AP14" s="84"/>
      <c r="AQ14" s="101">
        <f>ano_1</f>
        <v>2026</v>
      </c>
      <c r="AR14" s="101">
        <f>AQ14+1</f>
        <v>2027</v>
      </c>
      <c r="AS14" s="101">
        <f t="shared" ref="AS14:AU14" si="19">AR14+1</f>
        <v>2028</v>
      </c>
      <c r="AT14" s="101">
        <f t="shared" si="19"/>
        <v>2029</v>
      </c>
      <c r="AU14" s="102">
        <f t="shared" si="19"/>
        <v>2030</v>
      </c>
      <c r="AX14" s="84"/>
      <c r="AY14" s="101">
        <f>ano_1</f>
        <v>2026</v>
      </c>
      <c r="AZ14" s="101">
        <f>AY14+1</f>
        <v>2027</v>
      </c>
      <c r="BA14" s="101">
        <f t="shared" ref="BA14:BC14" si="20">AZ14+1</f>
        <v>2028</v>
      </c>
      <c r="BB14" s="101">
        <f t="shared" si="20"/>
        <v>2029</v>
      </c>
      <c r="BC14" s="102">
        <f t="shared" si="20"/>
        <v>2030</v>
      </c>
      <c r="BF14" s="84"/>
      <c r="BG14" s="101">
        <f>ano_1</f>
        <v>2026</v>
      </c>
      <c r="BH14" s="101">
        <f>BG14+1</f>
        <v>2027</v>
      </c>
      <c r="BI14" s="101">
        <f t="shared" ref="BI14:BK14" si="21">BH14+1</f>
        <v>2028</v>
      </c>
      <c r="BJ14" s="101">
        <f t="shared" si="21"/>
        <v>2029</v>
      </c>
      <c r="BK14" s="102">
        <f t="shared" si="21"/>
        <v>2030</v>
      </c>
      <c r="BN14" s="84"/>
      <c r="BO14" s="101">
        <f>ano_1</f>
        <v>2026</v>
      </c>
      <c r="BP14" s="101">
        <f>BO14+1</f>
        <v>2027</v>
      </c>
      <c r="BQ14" s="101">
        <f t="shared" ref="BQ14:BS14" si="22">BP14+1</f>
        <v>2028</v>
      </c>
      <c r="BR14" s="101">
        <f t="shared" si="22"/>
        <v>2029</v>
      </c>
      <c r="BS14" s="102">
        <f t="shared" si="22"/>
        <v>2030</v>
      </c>
      <c r="BV14" s="84"/>
      <c r="BW14" s="101">
        <f>ano_1</f>
        <v>2026</v>
      </c>
      <c r="BX14" s="101">
        <f>BW14+1</f>
        <v>2027</v>
      </c>
      <c r="BY14" s="101">
        <f t="shared" ref="BY14:CA14" si="23">BX14+1</f>
        <v>2028</v>
      </c>
      <c r="BZ14" s="101">
        <f t="shared" si="23"/>
        <v>2029</v>
      </c>
      <c r="CA14" s="102">
        <f t="shared" si="23"/>
        <v>2030</v>
      </c>
      <c r="CD14" s="84"/>
      <c r="CE14" s="101">
        <f>ano_1</f>
        <v>2026</v>
      </c>
      <c r="CF14" s="101">
        <f>CE14+1</f>
        <v>2027</v>
      </c>
      <c r="CG14" s="101">
        <f t="shared" ref="CG14:CI14" si="24">CF14+1</f>
        <v>2028</v>
      </c>
      <c r="CH14" s="101">
        <f t="shared" si="24"/>
        <v>2029</v>
      </c>
      <c r="CI14" s="102">
        <f t="shared" si="24"/>
        <v>2030</v>
      </c>
      <c r="CL14" s="84"/>
      <c r="CM14" s="101">
        <f>ano_1</f>
        <v>2026</v>
      </c>
      <c r="CN14" s="101">
        <f>CM14+1</f>
        <v>2027</v>
      </c>
      <c r="CO14" s="101">
        <f t="shared" ref="CO14:CQ14" si="25">CN14+1</f>
        <v>2028</v>
      </c>
      <c r="CP14" s="101">
        <f t="shared" si="25"/>
        <v>2029</v>
      </c>
      <c r="CQ14" s="102">
        <f t="shared" si="25"/>
        <v>2030</v>
      </c>
      <c r="CT14" s="84"/>
      <c r="CU14" s="101">
        <f>ano_1</f>
        <v>2026</v>
      </c>
      <c r="CV14" s="101">
        <f>CU14+1</f>
        <v>2027</v>
      </c>
      <c r="CW14" s="101">
        <f t="shared" ref="CW14:CY14" si="26">CV14+1</f>
        <v>2028</v>
      </c>
      <c r="CX14" s="101">
        <f t="shared" si="26"/>
        <v>2029</v>
      </c>
      <c r="CY14" s="102">
        <f t="shared" si="26"/>
        <v>2030</v>
      </c>
      <c r="DB14" s="84"/>
      <c r="DC14" s="101">
        <f>ano_1</f>
        <v>2026</v>
      </c>
      <c r="DD14" s="101">
        <f>DC14+1</f>
        <v>2027</v>
      </c>
      <c r="DE14" s="101">
        <f t="shared" ref="DE14:DG14" si="27">DD14+1</f>
        <v>2028</v>
      </c>
      <c r="DF14" s="101">
        <f t="shared" si="27"/>
        <v>2029</v>
      </c>
      <c r="DG14" s="102">
        <f t="shared" si="27"/>
        <v>2030</v>
      </c>
    </row>
    <row r="15" spans="2:113" ht="15" thickBot="1">
      <c r="B15" s="386" t="s">
        <v>335</v>
      </c>
      <c r="C15" s="315">
        <f>C$7*'Mkt share'!$C22</f>
        <v>0</v>
      </c>
      <c r="D15" s="315">
        <f>D$7*'Mkt share'!$C22</f>
        <v>0</v>
      </c>
      <c r="E15" s="315">
        <f>E$7*'Mkt share'!$C22</f>
        <v>0</v>
      </c>
      <c r="F15" s="315">
        <f>F$7*'Mkt share'!$C22</f>
        <v>0</v>
      </c>
      <c r="G15" s="387">
        <f>G$7*'Mkt share'!$C22</f>
        <v>0</v>
      </c>
      <c r="J15" s="386" t="str">
        <f>B15</f>
        <v>Cohort on treat.</v>
      </c>
      <c r="K15" s="315">
        <f>K$7*'Mkt share'!C23</f>
        <v>0</v>
      </c>
      <c r="L15" s="315">
        <f>L$7*'Mkt share'!D23</f>
        <v>0</v>
      </c>
      <c r="M15" s="315">
        <f>M$7*'Mkt share'!E23</f>
        <v>0</v>
      </c>
      <c r="N15" s="315">
        <f>N$7*'Mkt share'!F23</f>
        <v>0</v>
      </c>
      <c r="O15" s="387">
        <f>O$7*'Mkt share'!G23</f>
        <v>0</v>
      </c>
      <c r="R15" s="386" t="str">
        <f>B15</f>
        <v>Cohort on treat.</v>
      </c>
      <c r="S15" s="315">
        <f>S$7*'Mkt share'!C24</f>
        <v>0</v>
      </c>
      <c r="T15" s="315">
        <f>T$7*'Mkt share'!D24</f>
        <v>0</v>
      </c>
      <c r="U15" s="315">
        <f>U$7*'Mkt share'!E24</f>
        <v>0</v>
      </c>
      <c r="V15" s="315">
        <f>V$7*'Mkt share'!F24</f>
        <v>0</v>
      </c>
      <c r="W15" s="387">
        <f>W$7*'Mkt share'!G24</f>
        <v>0</v>
      </c>
      <c r="Z15" s="386" t="str">
        <f>J15</f>
        <v>Cohort on treat.</v>
      </c>
      <c r="AA15" s="315">
        <f>AA$7*'Mkt share'!C25</f>
        <v>0</v>
      </c>
      <c r="AB15" s="315">
        <f>AB$7*'Mkt share'!D25</f>
        <v>0</v>
      </c>
      <c r="AC15" s="315">
        <f>AC$7*'Mkt share'!E25</f>
        <v>0</v>
      </c>
      <c r="AD15" s="315">
        <f>AD$7*'Mkt share'!F25</f>
        <v>0</v>
      </c>
      <c r="AE15" s="387">
        <f>AE$7*'Mkt share'!G25</f>
        <v>0</v>
      </c>
      <c r="AH15" s="386" t="str">
        <f>R15</f>
        <v>Cohort on treat.</v>
      </c>
      <c r="AI15" s="315">
        <f>AI$7*'Mkt share'!C26</f>
        <v>684.99247650000007</v>
      </c>
      <c r="AJ15" s="315">
        <f>AJ$7*'Mkt share'!D26</f>
        <v>690.371840625</v>
      </c>
      <c r="AK15" s="315">
        <f>AK$7*'Mkt share'!E26</f>
        <v>695.59661162500004</v>
      </c>
      <c r="AL15" s="315">
        <f>AL$7*'Mkt share'!F26</f>
        <v>700.84444662500005</v>
      </c>
      <c r="AM15" s="387">
        <f>AM$7*'Mkt share'!G26</f>
        <v>706.19335325000009</v>
      </c>
      <c r="AP15" s="386" t="s">
        <v>335</v>
      </c>
      <c r="AQ15" s="315">
        <f>AQ$7*'Mkt share'!C27</f>
        <v>0</v>
      </c>
      <c r="AR15" s="315">
        <f>AR$7*'Mkt share'!D27</f>
        <v>0</v>
      </c>
      <c r="AS15" s="315">
        <f>AS$7*'Mkt share'!E27</f>
        <v>0</v>
      </c>
      <c r="AT15" s="315">
        <f>AT$7*'Mkt share'!F27</f>
        <v>0</v>
      </c>
      <c r="AU15" s="387">
        <f>AU$7*'Mkt share'!G27</f>
        <v>0</v>
      </c>
      <c r="AX15" s="386" t="s">
        <v>335</v>
      </c>
      <c r="AY15" s="315">
        <f>AY$7*'Mkt share'!C28</f>
        <v>0</v>
      </c>
      <c r="AZ15" s="315">
        <f>AZ$7*'Mkt share'!D28</f>
        <v>0</v>
      </c>
      <c r="BA15" s="315">
        <f>BA$7*'Mkt share'!E28</f>
        <v>0</v>
      </c>
      <c r="BB15" s="315">
        <f>BB$7*'Mkt share'!F28</f>
        <v>0</v>
      </c>
      <c r="BC15" s="387">
        <f>BC$7*'Mkt share'!G28</f>
        <v>0</v>
      </c>
      <c r="BF15" s="386" t="s">
        <v>335</v>
      </c>
      <c r="BG15" s="315">
        <f>BG$7*'Mkt share'!C29</f>
        <v>0</v>
      </c>
      <c r="BH15" s="315">
        <f>BH$7*'Mkt share'!D29</f>
        <v>0</v>
      </c>
      <c r="BI15" s="315">
        <f>BI$7*'Mkt share'!E29</f>
        <v>0</v>
      </c>
      <c r="BJ15" s="315">
        <f>BJ$7*'Mkt share'!F29</f>
        <v>0</v>
      </c>
      <c r="BK15" s="387">
        <f>BK$7*'Mkt share'!G29</f>
        <v>0</v>
      </c>
      <c r="BN15" s="386" t="s">
        <v>335</v>
      </c>
      <c r="BO15" s="315">
        <f>BO$7*'Mkt share'!C30</f>
        <v>0</v>
      </c>
      <c r="BP15" s="315">
        <f>BP$7*'Mkt share'!D30</f>
        <v>0</v>
      </c>
      <c r="BQ15" s="315">
        <f>BQ$7*'Mkt share'!E30</f>
        <v>0</v>
      </c>
      <c r="BR15" s="315">
        <f>BR$7*'Mkt share'!F30</f>
        <v>0</v>
      </c>
      <c r="BS15" s="387">
        <f>BS$7*'Mkt share'!G30</f>
        <v>0</v>
      </c>
      <c r="BV15" s="386" t="s">
        <v>335</v>
      </c>
      <c r="BW15" s="315">
        <f>BW$7*'Mkt share'!C31</f>
        <v>0</v>
      </c>
      <c r="BX15" s="315">
        <f>BX$7*'Mkt share'!D31</f>
        <v>0</v>
      </c>
      <c r="BY15" s="315">
        <f>BY$7*'Mkt share'!E31</f>
        <v>0</v>
      </c>
      <c r="BZ15" s="315">
        <f>BZ$7*'Mkt share'!F31</f>
        <v>0</v>
      </c>
      <c r="CA15" s="387">
        <f>CA$7*'Mkt share'!G31</f>
        <v>0</v>
      </c>
      <c r="CD15" s="386" t="s">
        <v>335</v>
      </c>
      <c r="CE15" s="315">
        <f>CE$7*'Mkt share'!C32</f>
        <v>0</v>
      </c>
      <c r="CF15" s="315">
        <f>CF$7*'Mkt share'!D32</f>
        <v>0</v>
      </c>
      <c r="CG15" s="315">
        <f>CG$7*'Mkt share'!E32</f>
        <v>0</v>
      </c>
      <c r="CH15" s="315">
        <f>CH$7*'Mkt share'!F32</f>
        <v>0</v>
      </c>
      <c r="CI15" s="387">
        <f>CI$7*'Mkt share'!G32</f>
        <v>0</v>
      </c>
      <c r="CL15" s="386" t="s">
        <v>335</v>
      </c>
      <c r="CM15" s="315">
        <f>CM$7*'Mkt share'!C33</f>
        <v>0</v>
      </c>
      <c r="CN15" s="315">
        <f>CN$7*'Mkt share'!D33</f>
        <v>0</v>
      </c>
      <c r="CO15" s="315">
        <f>CO$7*'Mkt share'!E33</f>
        <v>0</v>
      </c>
      <c r="CP15" s="315">
        <f>CP$7*'Mkt share'!F33</f>
        <v>0</v>
      </c>
      <c r="CQ15" s="387">
        <f>CQ$7*'Mkt share'!G33</f>
        <v>0</v>
      </c>
      <c r="CT15" s="386" t="s">
        <v>335</v>
      </c>
      <c r="CU15" s="315">
        <f>CU$7*'Mkt share'!C34</f>
        <v>0</v>
      </c>
      <c r="CV15" s="315">
        <f>CV$7*'Mkt share'!D34</f>
        <v>0</v>
      </c>
      <c r="CW15" s="315">
        <f>CW$7*'Mkt share'!E34</f>
        <v>0</v>
      </c>
      <c r="CX15" s="315">
        <f>CX$7*'Mkt share'!F34</f>
        <v>0</v>
      </c>
      <c r="CY15" s="387">
        <f>CY$7*'Mkt share'!G34</f>
        <v>0</v>
      </c>
      <c r="DB15" s="386" t="s">
        <v>335</v>
      </c>
      <c r="DC15" s="315">
        <f>DC$7*'Mkt share'!C35</f>
        <v>0</v>
      </c>
      <c r="DD15" s="315">
        <f>DD$7*'Mkt share'!D35</f>
        <v>0</v>
      </c>
      <c r="DE15" s="315">
        <f>DE$7*'Mkt share'!E35</f>
        <v>0</v>
      </c>
      <c r="DF15" s="315">
        <f>DF$7*'Mkt share'!F35</f>
        <v>0</v>
      </c>
      <c r="DG15" s="387">
        <f>DG$7*'Mkt share'!G35</f>
        <v>0</v>
      </c>
    </row>
    <row r="16" spans="2:113" ht="15" thickBot="1">
      <c r="B16" s="80"/>
      <c r="C16" s="92"/>
      <c r="D16" s="92"/>
      <c r="E16" s="92"/>
      <c r="F16" s="92"/>
      <c r="G16" s="92"/>
      <c r="J16" s="80"/>
      <c r="K16" s="92"/>
      <c r="L16" s="92"/>
      <c r="M16" s="92"/>
      <c r="N16" s="92"/>
      <c r="O16" s="92"/>
      <c r="R16" s="80"/>
      <c r="S16" s="92"/>
      <c r="T16" s="92"/>
      <c r="U16" s="92"/>
      <c r="V16" s="92"/>
      <c r="W16" s="92"/>
      <c r="Z16" s="80"/>
      <c r="AA16" s="92"/>
      <c r="AB16" s="92"/>
      <c r="AC16" s="92"/>
      <c r="AD16" s="92"/>
      <c r="AE16" s="92"/>
      <c r="AH16" s="80"/>
      <c r="AI16" s="92"/>
      <c r="AJ16" s="92"/>
      <c r="AK16" s="92"/>
      <c r="AL16" s="92"/>
      <c r="AM16" s="92"/>
      <c r="AP16" s="80"/>
      <c r="AQ16" s="92"/>
      <c r="AR16" s="92"/>
      <c r="AS16" s="92"/>
      <c r="AT16" s="92"/>
      <c r="AU16" s="92"/>
      <c r="AX16" s="80"/>
      <c r="AY16" s="92"/>
      <c r="AZ16" s="92"/>
      <c r="BA16" s="92"/>
      <c r="BB16" s="92"/>
      <c r="BC16" s="92"/>
      <c r="BF16" s="80"/>
      <c r="BG16" s="92"/>
      <c r="BH16" s="92"/>
      <c r="BI16" s="92"/>
      <c r="BJ16" s="92"/>
      <c r="BK16" s="92"/>
      <c r="BN16" s="80"/>
      <c r="BO16" s="92"/>
      <c r="BP16" s="92"/>
      <c r="BQ16" s="92"/>
      <c r="BR16" s="92"/>
      <c r="BS16" s="92"/>
      <c r="BV16" s="80"/>
      <c r="BW16" s="92"/>
      <c r="BX16" s="92"/>
      <c r="BY16" s="92"/>
      <c r="BZ16" s="92"/>
      <c r="CA16" s="92"/>
      <c r="CD16" s="80"/>
      <c r="CE16" s="92"/>
      <c r="CF16" s="92"/>
      <c r="CG16" s="92"/>
      <c r="CH16" s="92"/>
      <c r="CI16" s="92"/>
      <c r="CL16" s="80"/>
      <c r="CM16" s="92"/>
      <c r="CN16" s="92"/>
      <c r="CO16" s="92"/>
      <c r="CP16" s="92"/>
      <c r="CQ16" s="92"/>
      <c r="CT16" s="80"/>
      <c r="CU16" s="92"/>
      <c r="CV16" s="92"/>
      <c r="CW16" s="92"/>
      <c r="CX16" s="92"/>
      <c r="CY16" s="92"/>
      <c r="DB16" s="80"/>
      <c r="DC16" s="92"/>
      <c r="DD16" s="92"/>
      <c r="DE16" s="92"/>
      <c r="DF16" s="92"/>
      <c r="DG16" s="92"/>
    </row>
    <row r="17" spans="2:113" ht="15" thickBot="1">
      <c r="B17" s="508" t="str">
        <f>cen_prop1</f>
        <v>Drug 1 only</v>
      </c>
      <c r="C17" s="509"/>
      <c r="D17" s="509"/>
      <c r="E17" s="509"/>
      <c r="F17" s="509"/>
      <c r="G17" s="510"/>
      <c r="J17" s="508" t="str">
        <f>cen_prop1</f>
        <v>Drug 1 only</v>
      </c>
      <c r="K17" s="509"/>
      <c r="L17" s="509"/>
      <c r="M17" s="509"/>
      <c r="N17" s="509"/>
      <c r="O17" s="510"/>
      <c r="R17" s="508" t="str">
        <f>cen_prop1</f>
        <v>Drug 1 only</v>
      </c>
      <c r="S17" s="509"/>
      <c r="T17" s="509"/>
      <c r="U17" s="509"/>
      <c r="V17" s="509"/>
      <c r="W17" s="510"/>
      <c r="Z17" s="508" t="str">
        <f>cen_prop1</f>
        <v>Drug 1 only</v>
      </c>
      <c r="AA17" s="509"/>
      <c r="AB17" s="509"/>
      <c r="AC17" s="509"/>
      <c r="AD17" s="509"/>
      <c r="AE17" s="510"/>
      <c r="AH17" s="508" t="str">
        <f>cen_prop1</f>
        <v>Drug 1 only</v>
      </c>
      <c r="AI17" s="509"/>
      <c r="AJ17" s="509"/>
      <c r="AK17" s="509"/>
      <c r="AL17" s="509"/>
      <c r="AM17" s="510"/>
      <c r="AP17" s="508" t="str">
        <f>cen_prop1</f>
        <v>Drug 1 only</v>
      </c>
      <c r="AQ17" s="509"/>
      <c r="AR17" s="509"/>
      <c r="AS17" s="509"/>
      <c r="AT17" s="509"/>
      <c r="AU17" s="510"/>
      <c r="AX17" s="508" t="str">
        <f>cen_prop1</f>
        <v>Drug 1 only</v>
      </c>
      <c r="AY17" s="509"/>
      <c r="AZ17" s="509"/>
      <c r="BA17" s="509"/>
      <c r="BB17" s="509"/>
      <c r="BC17" s="510"/>
      <c r="BF17" s="508" t="str">
        <f>cen_prop1</f>
        <v>Drug 1 only</v>
      </c>
      <c r="BG17" s="509"/>
      <c r="BH17" s="509"/>
      <c r="BI17" s="509"/>
      <c r="BJ17" s="509"/>
      <c r="BK17" s="510"/>
      <c r="BN17" s="508" t="str">
        <f>cen_prop1</f>
        <v>Drug 1 only</v>
      </c>
      <c r="BO17" s="509"/>
      <c r="BP17" s="509"/>
      <c r="BQ17" s="509"/>
      <c r="BR17" s="509"/>
      <c r="BS17" s="510"/>
      <c r="BV17" s="508" t="str">
        <f>cen_prop1</f>
        <v>Drug 1 only</v>
      </c>
      <c r="BW17" s="509"/>
      <c r="BX17" s="509"/>
      <c r="BY17" s="509"/>
      <c r="BZ17" s="509"/>
      <c r="CA17" s="510"/>
      <c r="CD17" s="508" t="str">
        <f>cen_prop1</f>
        <v>Drug 1 only</v>
      </c>
      <c r="CE17" s="509"/>
      <c r="CF17" s="509"/>
      <c r="CG17" s="509"/>
      <c r="CH17" s="509"/>
      <c r="CI17" s="510"/>
      <c r="CL17" s="508" t="str">
        <f>cen_prop1</f>
        <v>Drug 1 only</v>
      </c>
      <c r="CM17" s="509"/>
      <c r="CN17" s="509"/>
      <c r="CO17" s="509"/>
      <c r="CP17" s="509"/>
      <c r="CQ17" s="510"/>
      <c r="CT17" s="508" t="str">
        <f>cen_prop1</f>
        <v>Drug 1 only</v>
      </c>
      <c r="CU17" s="509"/>
      <c r="CV17" s="509"/>
      <c r="CW17" s="509"/>
      <c r="CX17" s="509"/>
      <c r="CY17" s="510"/>
      <c r="DB17" s="508" t="str">
        <f>cen_prop1</f>
        <v>Drug 1 only</v>
      </c>
      <c r="DC17" s="509"/>
      <c r="DD17" s="509"/>
      <c r="DE17" s="509"/>
      <c r="DF17" s="509"/>
      <c r="DG17" s="510"/>
    </row>
    <row r="18" spans="2:113">
      <c r="B18" s="84"/>
      <c r="C18" s="101">
        <f>ano_1</f>
        <v>2026</v>
      </c>
      <c r="D18" s="101">
        <f>C18+1</f>
        <v>2027</v>
      </c>
      <c r="E18" s="101">
        <f t="shared" ref="E18:G18" si="28">D18+1</f>
        <v>2028</v>
      </c>
      <c r="F18" s="101">
        <f t="shared" si="28"/>
        <v>2029</v>
      </c>
      <c r="G18" s="102">
        <f t="shared" si="28"/>
        <v>2030</v>
      </c>
      <c r="J18" s="84"/>
      <c r="K18" s="101">
        <f>ano_1</f>
        <v>2026</v>
      </c>
      <c r="L18" s="101">
        <f>K18+1</f>
        <v>2027</v>
      </c>
      <c r="M18" s="101">
        <f t="shared" ref="M18:O18" si="29">L18+1</f>
        <v>2028</v>
      </c>
      <c r="N18" s="101">
        <f t="shared" si="29"/>
        <v>2029</v>
      </c>
      <c r="O18" s="102">
        <f t="shared" si="29"/>
        <v>2030</v>
      </c>
      <c r="R18" s="84"/>
      <c r="S18" s="101">
        <f>ano_1</f>
        <v>2026</v>
      </c>
      <c r="T18" s="101">
        <f>S18+1</f>
        <v>2027</v>
      </c>
      <c r="U18" s="101">
        <f t="shared" ref="U18:W18" si="30">T18+1</f>
        <v>2028</v>
      </c>
      <c r="V18" s="101">
        <f t="shared" si="30"/>
        <v>2029</v>
      </c>
      <c r="W18" s="102">
        <f t="shared" si="30"/>
        <v>2030</v>
      </c>
      <c r="Z18" s="84"/>
      <c r="AA18" s="101">
        <f>ano_1</f>
        <v>2026</v>
      </c>
      <c r="AB18" s="101">
        <f>AA18+1</f>
        <v>2027</v>
      </c>
      <c r="AC18" s="101">
        <f t="shared" ref="AC18:AE18" si="31">AB18+1</f>
        <v>2028</v>
      </c>
      <c r="AD18" s="101">
        <f t="shared" si="31"/>
        <v>2029</v>
      </c>
      <c r="AE18" s="102">
        <f t="shared" si="31"/>
        <v>2030</v>
      </c>
      <c r="AH18" s="84"/>
      <c r="AI18" s="101">
        <f>ano_1</f>
        <v>2026</v>
      </c>
      <c r="AJ18" s="101">
        <f>AI18+1</f>
        <v>2027</v>
      </c>
      <c r="AK18" s="101">
        <f t="shared" ref="AK18:AM18" si="32">AJ18+1</f>
        <v>2028</v>
      </c>
      <c r="AL18" s="101">
        <f t="shared" si="32"/>
        <v>2029</v>
      </c>
      <c r="AM18" s="102">
        <f t="shared" si="32"/>
        <v>2030</v>
      </c>
      <c r="AP18" s="84"/>
      <c r="AQ18" s="101">
        <f>ano_1</f>
        <v>2026</v>
      </c>
      <c r="AR18" s="101">
        <f>AQ18+1</f>
        <v>2027</v>
      </c>
      <c r="AS18" s="101">
        <f t="shared" ref="AS18:AU18" si="33">AR18+1</f>
        <v>2028</v>
      </c>
      <c r="AT18" s="101">
        <f t="shared" si="33"/>
        <v>2029</v>
      </c>
      <c r="AU18" s="102">
        <f t="shared" si="33"/>
        <v>2030</v>
      </c>
      <c r="AX18" s="84"/>
      <c r="AY18" s="101">
        <f>ano_1</f>
        <v>2026</v>
      </c>
      <c r="AZ18" s="101">
        <f>AY18+1</f>
        <v>2027</v>
      </c>
      <c r="BA18" s="101">
        <f t="shared" ref="BA18:BC18" si="34">AZ18+1</f>
        <v>2028</v>
      </c>
      <c r="BB18" s="101">
        <f t="shared" si="34"/>
        <v>2029</v>
      </c>
      <c r="BC18" s="102">
        <f t="shared" si="34"/>
        <v>2030</v>
      </c>
      <c r="BF18" s="84"/>
      <c r="BG18" s="101">
        <f>ano_1</f>
        <v>2026</v>
      </c>
      <c r="BH18" s="101">
        <f>BG18+1</f>
        <v>2027</v>
      </c>
      <c r="BI18" s="101">
        <f t="shared" ref="BI18:BK18" si="35">BH18+1</f>
        <v>2028</v>
      </c>
      <c r="BJ18" s="101">
        <f t="shared" si="35"/>
        <v>2029</v>
      </c>
      <c r="BK18" s="102">
        <f t="shared" si="35"/>
        <v>2030</v>
      </c>
      <c r="BN18" s="84"/>
      <c r="BO18" s="101">
        <f>ano_1</f>
        <v>2026</v>
      </c>
      <c r="BP18" s="101">
        <f>BO18+1</f>
        <v>2027</v>
      </c>
      <c r="BQ18" s="101">
        <f t="shared" ref="BQ18:BS18" si="36">BP18+1</f>
        <v>2028</v>
      </c>
      <c r="BR18" s="101">
        <f t="shared" si="36"/>
        <v>2029</v>
      </c>
      <c r="BS18" s="102">
        <f t="shared" si="36"/>
        <v>2030</v>
      </c>
      <c r="BV18" s="84"/>
      <c r="BW18" s="101">
        <f>ano_1</f>
        <v>2026</v>
      </c>
      <c r="BX18" s="101">
        <f>BW18+1</f>
        <v>2027</v>
      </c>
      <c r="BY18" s="101">
        <f t="shared" ref="BY18:CA18" si="37">BX18+1</f>
        <v>2028</v>
      </c>
      <c r="BZ18" s="101">
        <f t="shared" si="37"/>
        <v>2029</v>
      </c>
      <c r="CA18" s="102">
        <f t="shared" si="37"/>
        <v>2030</v>
      </c>
      <c r="CD18" s="84"/>
      <c r="CE18" s="101">
        <f>ano_1</f>
        <v>2026</v>
      </c>
      <c r="CF18" s="101">
        <f>CE18+1</f>
        <v>2027</v>
      </c>
      <c r="CG18" s="101">
        <f t="shared" ref="CG18:CI18" si="38">CF18+1</f>
        <v>2028</v>
      </c>
      <c r="CH18" s="101">
        <f t="shared" si="38"/>
        <v>2029</v>
      </c>
      <c r="CI18" s="102">
        <f t="shared" si="38"/>
        <v>2030</v>
      </c>
      <c r="CL18" s="84"/>
      <c r="CM18" s="101">
        <f>ano_1</f>
        <v>2026</v>
      </c>
      <c r="CN18" s="101">
        <f>CM18+1</f>
        <v>2027</v>
      </c>
      <c r="CO18" s="101">
        <f t="shared" ref="CO18:CQ18" si="39">CN18+1</f>
        <v>2028</v>
      </c>
      <c r="CP18" s="101">
        <f t="shared" si="39"/>
        <v>2029</v>
      </c>
      <c r="CQ18" s="102">
        <f t="shared" si="39"/>
        <v>2030</v>
      </c>
      <c r="CT18" s="84"/>
      <c r="CU18" s="101">
        <f>ano_1</f>
        <v>2026</v>
      </c>
      <c r="CV18" s="101">
        <f>CU18+1</f>
        <v>2027</v>
      </c>
      <c r="CW18" s="101">
        <f t="shared" ref="CW18:CY18" si="40">CV18+1</f>
        <v>2028</v>
      </c>
      <c r="CX18" s="101">
        <f t="shared" si="40"/>
        <v>2029</v>
      </c>
      <c r="CY18" s="102">
        <f t="shared" si="40"/>
        <v>2030</v>
      </c>
      <c r="DB18" s="84"/>
      <c r="DC18" s="101">
        <f>ano_1</f>
        <v>2026</v>
      </c>
      <c r="DD18" s="101">
        <f>DC18+1</f>
        <v>2027</v>
      </c>
      <c r="DE18" s="101">
        <f t="shared" ref="DE18:DG18" si="41">DD18+1</f>
        <v>2028</v>
      </c>
      <c r="DF18" s="101">
        <f t="shared" si="41"/>
        <v>2029</v>
      </c>
      <c r="DG18" s="102">
        <f t="shared" si="41"/>
        <v>2030</v>
      </c>
    </row>
    <row r="19" spans="2:113" ht="15" thickBot="1">
      <c r="B19" s="386" t="s">
        <v>335</v>
      </c>
      <c r="C19" s="315">
        <f>C$7*'Mkt share'!$C$42</f>
        <v>34.249623825000008</v>
      </c>
      <c r="D19" s="315">
        <f>D$7*'Mkt share'!$D$42</f>
        <v>69.037184062500003</v>
      </c>
      <c r="E19" s="315">
        <f>E$7*'Mkt share'!$E$42</f>
        <v>104.33949174375</v>
      </c>
      <c r="F19" s="315">
        <f>F$7*'Mkt share'!$F$42</f>
        <v>140.16888932500001</v>
      </c>
      <c r="G19" s="387">
        <f>G$7*'Mkt share'!$G$42</f>
        <v>176.54833831250002</v>
      </c>
      <c r="J19" s="386" t="s">
        <v>335</v>
      </c>
      <c r="K19" s="315">
        <f>K$7*'Mkt share'!$C$43</f>
        <v>0</v>
      </c>
      <c r="L19" s="315">
        <f>L$7*'Mkt share'!$D$43</f>
        <v>0</v>
      </c>
      <c r="M19" s="315">
        <f>M$7*'Mkt share'!$E$43</f>
        <v>0</v>
      </c>
      <c r="N19" s="315">
        <f>N$7*'Mkt share'!$F$43</f>
        <v>0</v>
      </c>
      <c r="O19" s="387">
        <f>O$7*'Mkt share'!$G$43</f>
        <v>0</v>
      </c>
      <c r="R19" s="386" t="s">
        <v>335</v>
      </c>
      <c r="S19" s="315">
        <f>S$7*'Mkt share'!$C$44</f>
        <v>0</v>
      </c>
      <c r="T19" s="315">
        <f>T$7*'Mkt share'!$D$44</f>
        <v>0</v>
      </c>
      <c r="U19" s="315">
        <f>U$7*'Mkt share'!$E$44</f>
        <v>0</v>
      </c>
      <c r="V19" s="315">
        <f>V$7*'Mkt share'!$F$44</f>
        <v>0</v>
      </c>
      <c r="W19" s="387">
        <f>W$7*'Mkt share'!$G$44</f>
        <v>0</v>
      </c>
      <c r="Z19" s="386" t="s">
        <v>335</v>
      </c>
      <c r="AA19" s="315">
        <f>AA$7*'Mkt share'!$C$45</f>
        <v>0</v>
      </c>
      <c r="AB19" s="315">
        <f>AB$7*'Mkt share'!$D$45</f>
        <v>0</v>
      </c>
      <c r="AC19" s="315">
        <f>AC$7*'Mkt share'!$E$45</f>
        <v>0</v>
      </c>
      <c r="AD19" s="315">
        <f>AD$7*'Mkt share'!$F$45</f>
        <v>0</v>
      </c>
      <c r="AE19" s="387">
        <f>AE$7*'Mkt share'!$G$45</f>
        <v>0</v>
      </c>
      <c r="AH19" s="386" t="s">
        <v>335</v>
      </c>
      <c r="AI19" s="315">
        <f>AI$7*'Mkt share'!$C$46</f>
        <v>650.74285267499999</v>
      </c>
      <c r="AJ19" s="315">
        <f>AJ$7*'Mkt share'!$D$46</f>
        <v>621.33465656250007</v>
      </c>
      <c r="AK19" s="315">
        <f>AK$7*'Mkt share'!$E$46</f>
        <v>591.25711988124999</v>
      </c>
      <c r="AL19" s="315">
        <f>AL$7*'Mkt share'!$F$46</f>
        <v>560.67555730000004</v>
      </c>
      <c r="AM19" s="387">
        <f>AM$7*'Mkt share'!$G$46</f>
        <v>529.64501493750004</v>
      </c>
      <c r="AP19" s="386" t="s">
        <v>335</v>
      </c>
      <c r="AQ19" s="315">
        <f>AQ$7*'Mkt share'!$C$47</f>
        <v>0</v>
      </c>
      <c r="AR19" s="315">
        <f>AR$7*'Mkt share'!$D$47</f>
        <v>0</v>
      </c>
      <c r="AS19" s="315">
        <f>AS$7*'Mkt share'!$E$47</f>
        <v>0</v>
      </c>
      <c r="AT19" s="315">
        <f>AT$7*'Mkt share'!$F$47</f>
        <v>0</v>
      </c>
      <c r="AU19" s="387">
        <f>AU$7*'Mkt share'!$G$47</f>
        <v>0</v>
      </c>
      <c r="AX19" s="386" t="s">
        <v>335</v>
      </c>
      <c r="AY19" s="315">
        <f>AY$7*'Mkt share'!$C$48</f>
        <v>0</v>
      </c>
      <c r="AZ19" s="315">
        <f>AZ$7*'Mkt share'!$D$48</f>
        <v>0</v>
      </c>
      <c r="BA19" s="315">
        <f>BA$7*'Mkt share'!$E$48</f>
        <v>0</v>
      </c>
      <c r="BB19" s="315">
        <f>BB$7*'Mkt share'!$F$48</f>
        <v>0</v>
      </c>
      <c r="BC19" s="387">
        <f>BC$7*'Mkt share'!$G$48</f>
        <v>0</v>
      </c>
      <c r="BF19" s="386" t="s">
        <v>335</v>
      </c>
      <c r="BG19" s="315">
        <f>BG$7*'Mkt share'!$C$49</f>
        <v>0</v>
      </c>
      <c r="BH19" s="315">
        <f>BH$7*'Mkt share'!$D$49</f>
        <v>0</v>
      </c>
      <c r="BI19" s="315">
        <f>BI$7*'Mkt share'!$E$49</f>
        <v>0</v>
      </c>
      <c r="BJ19" s="315">
        <f>BJ$7*'Mkt share'!$F$49</f>
        <v>0</v>
      </c>
      <c r="BK19" s="387">
        <f>BK$7*'Mkt share'!$G$49</f>
        <v>0</v>
      </c>
      <c r="BN19" s="386" t="s">
        <v>335</v>
      </c>
      <c r="BO19" s="315">
        <f>BO$7*'Mkt share'!$C$50</f>
        <v>0</v>
      </c>
      <c r="BP19" s="315">
        <f>BP$7*'Mkt share'!$D$50</f>
        <v>0</v>
      </c>
      <c r="BQ19" s="315">
        <f>BQ$7*'Mkt share'!$E$50</f>
        <v>0</v>
      </c>
      <c r="BR19" s="315">
        <f>BR$7*'Mkt share'!$F$50</f>
        <v>0</v>
      </c>
      <c r="BS19" s="387">
        <f>BS$7*'Mkt share'!$G$50</f>
        <v>0</v>
      </c>
      <c r="BV19" s="386" t="s">
        <v>335</v>
      </c>
      <c r="BW19" s="315">
        <f>BW$7*'Mkt share'!$C$51</f>
        <v>0</v>
      </c>
      <c r="BX19" s="315">
        <f>BX$7*'Mkt share'!$D$51</f>
        <v>0</v>
      </c>
      <c r="BY19" s="315">
        <f>BY$7*'Mkt share'!$E$51</f>
        <v>0</v>
      </c>
      <c r="BZ19" s="315">
        <f>BZ$7*'Mkt share'!$F$51</f>
        <v>0</v>
      </c>
      <c r="CA19" s="387">
        <f>CA$7*'Mkt share'!$G$51</f>
        <v>0</v>
      </c>
      <c r="CD19" s="386" t="s">
        <v>335</v>
      </c>
      <c r="CE19" s="315">
        <f>CE$7*'Mkt share'!$C$52</f>
        <v>0</v>
      </c>
      <c r="CF19" s="315">
        <f>CF$7*'Mkt share'!$D$52</f>
        <v>0</v>
      </c>
      <c r="CG19" s="315">
        <f>CG$7*'Mkt share'!$E$52</f>
        <v>0</v>
      </c>
      <c r="CH19" s="315">
        <f>CH$7*'Mkt share'!$F$52</f>
        <v>0</v>
      </c>
      <c r="CI19" s="387">
        <f>CI$7*'Mkt share'!$G$52</f>
        <v>0</v>
      </c>
      <c r="CL19" s="386" t="s">
        <v>335</v>
      </c>
      <c r="CM19" s="315">
        <f>CM$7*'Mkt share'!$C$53</f>
        <v>0</v>
      </c>
      <c r="CN19" s="315">
        <f>CN$7*'Mkt share'!$D$53</f>
        <v>0</v>
      </c>
      <c r="CO19" s="315">
        <f>CO$7*'Mkt share'!$E$53</f>
        <v>0</v>
      </c>
      <c r="CP19" s="315">
        <f>CP$7*'Mkt share'!$F$53</f>
        <v>0</v>
      </c>
      <c r="CQ19" s="387">
        <f>CQ$7*'Mkt share'!$G$53</f>
        <v>0</v>
      </c>
      <c r="CT19" s="386" t="s">
        <v>335</v>
      </c>
      <c r="CU19" s="315">
        <f>CU$7*'Mkt share'!$C$54</f>
        <v>0</v>
      </c>
      <c r="CV19" s="315">
        <f>CV$7*'Mkt share'!$D$54</f>
        <v>0</v>
      </c>
      <c r="CW19" s="315">
        <f>CW$7*'Mkt share'!$E$54</f>
        <v>0</v>
      </c>
      <c r="CX19" s="315">
        <f>CX$7*'Mkt share'!$F$54</f>
        <v>0</v>
      </c>
      <c r="CY19" s="387">
        <f>CY$7*'Mkt share'!$G$54</f>
        <v>0</v>
      </c>
      <c r="DB19" s="386" t="s">
        <v>335</v>
      </c>
      <c r="DC19" s="315">
        <f>DC$7*'Mkt share'!$C$55</f>
        <v>0</v>
      </c>
      <c r="DD19" s="315">
        <f>DD$7*'Mkt share'!$D$55</f>
        <v>0</v>
      </c>
      <c r="DE19" s="315">
        <f>DE$7*'Mkt share'!$E$55</f>
        <v>0</v>
      </c>
      <c r="DF19" s="315">
        <f>DF$7*'Mkt share'!$F$55</f>
        <v>0</v>
      </c>
      <c r="DG19" s="387">
        <f>DG$7*'Mkt share'!$G$55</f>
        <v>0</v>
      </c>
    </row>
    <row r="20" spans="2:113" ht="15" thickBot="1">
      <c r="B20" s="80"/>
      <c r="C20" s="92"/>
      <c r="D20" s="92"/>
      <c r="E20" s="92"/>
      <c r="F20" s="92"/>
      <c r="G20" s="92"/>
      <c r="J20" s="80"/>
      <c r="K20" s="92"/>
      <c r="L20" s="92"/>
      <c r="M20" s="92"/>
      <c r="N20" s="92"/>
      <c r="O20" s="92"/>
      <c r="R20" s="80"/>
      <c r="S20" s="92"/>
      <c r="T20" s="92"/>
      <c r="U20" s="92"/>
      <c r="V20" s="92"/>
      <c r="W20" s="92"/>
      <c r="Z20" s="80"/>
      <c r="AA20" s="92"/>
      <c r="AB20" s="92"/>
      <c r="AC20" s="92"/>
      <c r="AD20" s="92"/>
      <c r="AE20" s="92"/>
      <c r="AH20" s="80"/>
      <c r="AI20" s="92"/>
      <c r="AJ20" s="92"/>
      <c r="AK20" s="92"/>
      <c r="AL20" s="92"/>
      <c r="AM20" s="92"/>
      <c r="AP20" s="80"/>
      <c r="AQ20" s="92"/>
      <c r="AR20" s="92"/>
      <c r="AS20" s="92"/>
      <c r="AT20" s="92"/>
      <c r="AU20" s="92"/>
      <c r="AX20" s="80"/>
      <c r="AY20" s="92"/>
      <c r="AZ20" s="92"/>
      <c r="BA20" s="92"/>
      <c r="BB20" s="92"/>
      <c r="BC20" s="92"/>
      <c r="BF20" s="80"/>
      <c r="BG20" s="92"/>
      <c r="BH20" s="92"/>
      <c r="BI20" s="92"/>
      <c r="BJ20" s="92"/>
      <c r="BK20" s="92"/>
      <c r="BN20" s="80"/>
      <c r="BO20" s="92"/>
      <c r="BP20" s="92"/>
      <c r="BQ20" s="92"/>
      <c r="BR20" s="92"/>
      <c r="BS20" s="92"/>
      <c r="BV20" s="80"/>
      <c r="BW20" s="92"/>
      <c r="BX20" s="92"/>
      <c r="BY20" s="92"/>
      <c r="BZ20" s="92"/>
      <c r="CA20" s="92"/>
      <c r="CD20" s="80"/>
      <c r="CE20" s="92"/>
      <c r="CF20" s="92"/>
      <c r="CG20" s="92"/>
      <c r="CH20" s="92"/>
      <c r="CI20" s="92"/>
      <c r="CL20" s="80"/>
      <c r="CM20" s="92"/>
      <c r="CN20" s="92"/>
      <c r="CO20" s="92"/>
      <c r="CP20" s="92"/>
      <c r="CQ20" s="92"/>
      <c r="CT20" s="80"/>
      <c r="CU20" s="92"/>
      <c r="CV20" s="92"/>
      <c r="CW20" s="92"/>
      <c r="CX20" s="92"/>
      <c r="CY20" s="92"/>
      <c r="DB20" s="80"/>
      <c r="DC20" s="92"/>
      <c r="DD20" s="92"/>
      <c r="DE20" s="92"/>
      <c r="DF20" s="92"/>
      <c r="DG20" s="92"/>
    </row>
    <row r="21" spans="2:113" ht="15" thickBot="1">
      <c r="B21" s="508" t="str">
        <f>cen_prop2</f>
        <v>Drug 2 only</v>
      </c>
      <c r="C21" s="509"/>
      <c r="D21" s="509"/>
      <c r="E21" s="509"/>
      <c r="F21" s="509"/>
      <c r="G21" s="510"/>
      <c r="J21" s="508" t="str">
        <f>cen_prop2</f>
        <v>Drug 2 only</v>
      </c>
      <c r="K21" s="509"/>
      <c r="L21" s="509"/>
      <c r="M21" s="509"/>
      <c r="N21" s="509"/>
      <c r="O21" s="510"/>
      <c r="R21" s="508" t="str">
        <f>cen_prop2</f>
        <v>Drug 2 only</v>
      </c>
      <c r="S21" s="509"/>
      <c r="T21" s="509"/>
      <c r="U21" s="509"/>
      <c r="V21" s="509"/>
      <c r="W21" s="510"/>
      <c r="Z21" s="508" t="str">
        <f>cen_prop2</f>
        <v>Drug 2 only</v>
      </c>
      <c r="AA21" s="509"/>
      <c r="AB21" s="509"/>
      <c r="AC21" s="509"/>
      <c r="AD21" s="509"/>
      <c r="AE21" s="510"/>
      <c r="AH21" s="508" t="str">
        <f>cen_prop2</f>
        <v>Drug 2 only</v>
      </c>
      <c r="AI21" s="509"/>
      <c r="AJ21" s="509"/>
      <c r="AK21" s="509"/>
      <c r="AL21" s="509"/>
      <c r="AM21" s="510"/>
      <c r="AP21" s="508" t="str">
        <f>cen_prop2</f>
        <v>Drug 2 only</v>
      </c>
      <c r="AQ21" s="509"/>
      <c r="AR21" s="509"/>
      <c r="AS21" s="509"/>
      <c r="AT21" s="509"/>
      <c r="AU21" s="510"/>
      <c r="AX21" s="508" t="str">
        <f>cen_prop2</f>
        <v>Drug 2 only</v>
      </c>
      <c r="AY21" s="509"/>
      <c r="AZ21" s="509"/>
      <c r="BA21" s="509"/>
      <c r="BB21" s="509"/>
      <c r="BC21" s="510"/>
      <c r="BF21" s="508" t="str">
        <f>cen_prop2</f>
        <v>Drug 2 only</v>
      </c>
      <c r="BG21" s="509"/>
      <c r="BH21" s="509"/>
      <c r="BI21" s="509"/>
      <c r="BJ21" s="509"/>
      <c r="BK21" s="510"/>
      <c r="BN21" s="508" t="str">
        <f>cen_prop2</f>
        <v>Drug 2 only</v>
      </c>
      <c r="BO21" s="509"/>
      <c r="BP21" s="509"/>
      <c r="BQ21" s="509"/>
      <c r="BR21" s="509"/>
      <c r="BS21" s="510"/>
      <c r="BV21" s="508" t="str">
        <f>cen_prop2</f>
        <v>Drug 2 only</v>
      </c>
      <c r="BW21" s="509"/>
      <c r="BX21" s="509"/>
      <c r="BY21" s="509"/>
      <c r="BZ21" s="509"/>
      <c r="CA21" s="510"/>
      <c r="CD21" s="508" t="str">
        <f>cen_prop2</f>
        <v>Drug 2 only</v>
      </c>
      <c r="CE21" s="509"/>
      <c r="CF21" s="509"/>
      <c r="CG21" s="509"/>
      <c r="CH21" s="509"/>
      <c r="CI21" s="510"/>
      <c r="CL21" s="508" t="str">
        <f>cen_prop2</f>
        <v>Drug 2 only</v>
      </c>
      <c r="CM21" s="509"/>
      <c r="CN21" s="509"/>
      <c r="CO21" s="509"/>
      <c r="CP21" s="509"/>
      <c r="CQ21" s="510"/>
      <c r="CT21" s="508" t="str">
        <f>cen_prop2</f>
        <v>Drug 2 only</v>
      </c>
      <c r="CU21" s="509"/>
      <c r="CV21" s="509"/>
      <c r="CW21" s="509"/>
      <c r="CX21" s="509"/>
      <c r="CY21" s="510"/>
      <c r="DB21" s="508" t="str">
        <f>cen_prop2</f>
        <v>Drug 2 only</v>
      </c>
      <c r="DC21" s="509"/>
      <c r="DD21" s="509"/>
      <c r="DE21" s="509"/>
      <c r="DF21" s="509"/>
      <c r="DG21" s="510"/>
    </row>
    <row r="22" spans="2:113">
      <c r="B22" s="84"/>
      <c r="C22" s="101">
        <f>ano_1</f>
        <v>2026</v>
      </c>
      <c r="D22" s="101">
        <f>C22+1</f>
        <v>2027</v>
      </c>
      <c r="E22" s="101">
        <f t="shared" ref="E22:G22" si="42">D22+1</f>
        <v>2028</v>
      </c>
      <c r="F22" s="101">
        <f t="shared" si="42"/>
        <v>2029</v>
      </c>
      <c r="G22" s="102">
        <f t="shared" si="42"/>
        <v>2030</v>
      </c>
      <c r="J22" s="84"/>
      <c r="K22" s="101">
        <f>ano_1</f>
        <v>2026</v>
      </c>
      <c r="L22" s="101">
        <f>K22+1</f>
        <v>2027</v>
      </c>
      <c r="M22" s="101">
        <f t="shared" ref="M22:O22" si="43">L22+1</f>
        <v>2028</v>
      </c>
      <c r="N22" s="101">
        <f t="shared" si="43"/>
        <v>2029</v>
      </c>
      <c r="O22" s="102">
        <f t="shared" si="43"/>
        <v>2030</v>
      </c>
      <c r="R22" s="84"/>
      <c r="S22" s="101">
        <f>ano_1</f>
        <v>2026</v>
      </c>
      <c r="T22" s="101">
        <f>S22+1</f>
        <v>2027</v>
      </c>
      <c r="U22" s="101">
        <f t="shared" ref="U22:W22" si="44">T22+1</f>
        <v>2028</v>
      </c>
      <c r="V22" s="101">
        <f t="shared" si="44"/>
        <v>2029</v>
      </c>
      <c r="W22" s="102">
        <f t="shared" si="44"/>
        <v>2030</v>
      </c>
      <c r="Z22" s="84"/>
      <c r="AA22" s="101">
        <f>ano_1</f>
        <v>2026</v>
      </c>
      <c r="AB22" s="101">
        <f>AA22+1</f>
        <v>2027</v>
      </c>
      <c r="AC22" s="101">
        <f t="shared" ref="AC22:AE22" si="45">AB22+1</f>
        <v>2028</v>
      </c>
      <c r="AD22" s="101">
        <f t="shared" si="45"/>
        <v>2029</v>
      </c>
      <c r="AE22" s="102">
        <f t="shared" si="45"/>
        <v>2030</v>
      </c>
      <c r="AH22" s="84"/>
      <c r="AI22" s="101">
        <f>ano_1</f>
        <v>2026</v>
      </c>
      <c r="AJ22" s="101">
        <f>AI22+1</f>
        <v>2027</v>
      </c>
      <c r="AK22" s="101">
        <f t="shared" ref="AK22:AM22" si="46">AJ22+1</f>
        <v>2028</v>
      </c>
      <c r="AL22" s="101">
        <f t="shared" si="46"/>
        <v>2029</v>
      </c>
      <c r="AM22" s="102">
        <f t="shared" si="46"/>
        <v>2030</v>
      </c>
      <c r="AP22" s="84"/>
      <c r="AQ22" s="101">
        <f>ano_1</f>
        <v>2026</v>
      </c>
      <c r="AR22" s="101">
        <f>AQ22+1</f>
        <v>2027</v>
      </c>
      <c r="AS22" s="101">
        <f t="shared" ref="AS22:AU22" si="47">AR22+1</f>
        <v>2028</v>
      </c>
      <c r="AT22" s="101">
        <f t="shared" si="47"/>
        <v>2029</v>
      </c>
      <c r="AU22" s="102">
        <f t="shared" si="47"/>
        <v>2030</v>
      </c>
      <c r="AX22" s="84"/>
      <c r="AY22" s="101">
        <f>ano_1</f>
        <v>2026</v>
      </c>
      <c r="AZ22" s="101">
        <f>AY22+1</f>
        <v>2027</v>
      </c>
      <c r="BA22" s="101">
        <f t="shared" ref="BA22:BC22" si="48">AZ22+1</f>
        <v>2028</v>
      </c>
      <c r="BB22" s="101">
        <f t="shared" si="48"/>
        <v>2029</v>
      </c>
      <c r="BC22" s="102">
        <f t="shared" si="48"/>
        <v>2030</v>
      </c>
      <c r="BF22" s="84"/>
      <c r="BG22" s="101">
        <f>ano_1</f>
        <v>2026</v>
      </c>
      <c r="BH22" s="101">
        <f>BG22+1</f>
        <v>2027</v>
      </c>
      <c r="BI22" s="101">
        <f t="shared" ref="BI22:BK22" si="49">BH22+1</f>
        <v>2028</v>
      </c>
      <c r="BJ22" s="101">
        <f t="shared" si="49"/>
        <v>2029</v>
      </c>
      <c r="BK22" s="102">
        <f t="shared" si="49"/>
        <v>2030</v>
      </c>
      <c r="BN22" s="84"/>
      <c r="BO22" s="101">
        <f>ano_1</f>
        <v>2026</v>
      </c>
      <c r="BP22" s="101">
        <f>BO22+1</f>
        <v>2027</v>
      </c>
      <c r="BQ22" s="101">
        <f t="shared" ref="BQ22:BS22" si="50">BP22+1</f>
        <v>2028</v>
      </c>
      <c r="BR22" s="101">
        <f t="shared" si="50"/>
        <v>2029</v>
      </c>
      <c r="BS22" s="102">
        <f t="shared" si="50"/>
        <v>2030</v>
      </c>
      <c r="BV22" s="84"/>
      <c r="BW22" s="101">
        <f>ano_1</f>
        <v>2026</v>
      </c>
      <c r="BX22" s="101">
        <f>BW22+1</f>
        <v>2027</v>
      </c>
      <c r="BY22" s="101">
        <f t="shared" ref="BY22:CA22" si="51">BX22+1</f>
        <v>2028</v>
      </c>
      <c r="BZ22" s="101">
        <f t="shared" si="51"/>
        <v>2029</v>
      </c>
      <c r="CA22" s="102">
        <f t="shared" si="51"/>
        <v>2030</v>
      </c>
      <c r="CD22" s="84"/>
      <c r="CE22" s="101">
        <f>ano_1</f>
        <v>2026</v>
      </c>
      <c r="CF22" s="101">
        <f>CE22+1</f>
        <v>2027</v>
      </c>
      <c r="CG22" s="101">
        <f t="shared" ref="CG22:CI22" si="52">CF22+1</f>
        <v>2028</v>
      </c>
      <c r="CH22" s="101">
        <f t="shared" si="52"/>
        <v>2029</v>
      </c>
      <c r="CI22" s="102">
        <f t="shared" si="52"/>
        <v>2030</v>
      </c>
      <c r="CL22" s="84"/>
      <c r="CM22" s="101">
        <f>ano_1</f>
        <v>2026</v>
      </c>
      <c r="CN22" s="101">
        <f>CM22+1</f>
        <v>2027</v>
      </c>
      <c r="CO22" s="101">
        <f t="shared" ref="CO22:CQ22" si="53">CN22+1</f>
        <v>2028</v>
      </c>
      <c r="CP22" s="101">
        <f t="shared" si="53"/>
        <v>2029</v>
      </c>
      <c r="CQ22" s="102">
        <f t="shared" si="53"/>
        <v>2030</v>
      </c>
      <c r="CT22" s="84"/>
      <c r="CU22" s="101">
        <f>ano_1</f>
        <v>2026</v>
      </c>
      <c r="CV22" s="101">
        <f>CU22+1</f>
        <v>2027</v>
      </c>
      <c r="CW22" s="101">
        <f t="shared" ref="CW22:CY22" si="54">CV22+1</f>
        <v>2028</v>
      </c>
      <c r="CX22" s="101">
        <f t="shared" si="54"/>
        <v>2029</v>
      </c>
      <c r="CY22" s="102">
        <f t="shared" si="54"/>
        <v>2030</v>
      </c>
      <c r="DB22" s="84"/>
      <c r="DC22" s="101">
        <f>ano_1</f>
        <v>2026</v>
      </c>
      <c r="DD22" s="101">
        <f>DC22+1</f>
        <v>2027</v>
      </c>
      <c r="DE22" s="101">
        <f t="shared" ref="DE22:DG22" si="55">DD22+1</f>
        <v>2028</v>
      </c>
      <c r="DF22" s="101">
        <f t="shared" si="55"/>
        <v>2029</v>
      </c>
      <c r="DG22" s="102">
        <f t="shared" si="55"/>
        <v>2030</v>
      </c>
    </row>
    <row r="23" spans="2:113" ht="15" thickBot="1">
      <c r="B23" s="386" t="s">
        <v>335</v>
      </c>
      <c r="C23" s="315">
        <f>C$7*'Mkt share'!$C$62</f>
        <v>0</v>
      </c>
      <c r="D23" s="315">
        <f>D$7*'Mkt share'!$D$62</f>
        <v>0</v>
      </c>
      <c r="E23" s="315">
        <f>E$7*'Mkt share'!$E$62</f>
        <v>0</v>
      </c>
      <c r="F23" s="315">
        <f>F$7*'Mkt share'!$F$62</f>
        <v>0</v>
      </c>
      <c r="G23" s="387">
        <f>G$7*'Mkt share'!$G$62</f>
        <v>0</v>
      </c>
      <c r="J23" s="386" t="s">
        <v>335</v>
      </c>
      <c r="K23" s="315">
        <f>K$7*'Mkt share'!$C$63</f>
        <v>13.699849530000002</v>
      </c>
      <c r="L23" s="315">
        <f>L$7*'Mkt share'!$D$63</f>
        <v>55.229747250000003</v>
      </c>
      <c r="M23" s="315">
        <f>M$7*'Mkt share'!$E$63</f>
        <v>125.20739009250001</v>
      </c>
      <c r="N23" s="315">
        <f>N$7*'Mkt share'!$F$63</f>
        <v>161.19422272375002</v>
      </c>
      <c r="O23" s="387">
        <f>O$7*'Mkt share'!$G$63</f>
        <v>176.54833831250002</v>
      </c>
      <c r="R23" s="386" t="s">
        <v>335</v>
      </c>
      <c r="S23" s="315">
        <f>S$7*'Mkt share'!$C$64</f>
        <v>0</v>
      </c>
      <c r="T23" s="315">
        <f>T$7*'Mkt share'!$D$64</f>
        <v>0</v>
      </c>
      <c r="U23" s="315">
        <f>U$7*'Mkt share'!$E$64</f>
        <v>0</v>
      </c>
      <c r="V23" s="315">
        <f>V$7*'Mkt share'!$F$64</f>
        <v>0</v>
      </c>
      <c r="W23" s="387">
        <f>W$7*'Mkt share'!$G$64</f>
        <v>0</v>
      </c>
      <c r="Z23" s="386" t="s">
        <v>335</v>
      </c>
      <c r="AA23" s="315">
        <f>AA$7*'Mkt share'!$C$65</f>
        <v>0</v>
      </c>
      <c r="AB23" s="315">
        <f>AB$7*'Mkt share'!$D$65</f>
        <v>0</v>
      </c>
      <c r="AC23" s="315">
        <f>AC$7*'Mkt share'!$E$65</f>
        <v>0</v>
      </c>
      <c r="AD23" s="315">
        <f>AD$7*'Mkt share'!$F$65</f>
        <v>0</v>
      </c>
      <c r="AE23" s="387">
        <f>AE$7*'Mkt share'!$G$65</f>
        <v>0</v>
      </c>
      <c r="AH23" s="386" t="s">
        <v>335</v>
      </c>
      <c r="AI23" s="315">
        <f>AI$7*'Mkt share'!$C$66</f>
        <v>671.29262697000001</v>
      </c>
      <c r="AJ23" s="315">
        <f>AJ$7*'Mkt share'!$D$66</f>
        <v>635.14209337500006</v>
      </c>
      <c r="AK23" s="315">
        <f>AK$7*'Mkt share'!$E$66</f>
        <v>570.38922153249996</v>
      </c>
      <c r="AL23" s="315">
        <f>AL$7*'Mkt share'!$F$66</f>
        <v>539.65022390125</v>
      </c>
      <c r="AM23" s="387">
        <f>AM$7*'Mkt share'!$G$66</f>
        <v>529.64501493750004</v>
      </c>
      <c r="AP23" s="386" t="s">
        <v>335</v>
      </c>
      <c r="AQ23" s="315">
        <f>AQ$7*'Mkt share'!$C$67</f>
        <v>0</v>
      </c>
      <c r="AR23" s="315">
        <f>AR$7*'Mkt share'!$D$67</f>
        <v>0</v>
      </c>
      <c r="AS23" s="315">
        <f>AS$7*'Mkt share'!$E$67</f>
        <v>0</v>
      </c>
      <c r="AT23" s="315">
        <f>AT$7*'Mkt share'!$F$67</f>
        <v>0</v>
      </c>
      <c r="AU23" s="387">
        <f>AU$7*'Mkt share'!$G$67</f>
        <v>0</v>
      </c>
      <c r="AX23" s="386" t="s">
        <v>335</v>
      </c>
      <c r="AY23" s="315">
        <f>AY$7*'Mkt share'!$C$68</f>
        <v>0</v>
      </c>
      <c r="AZ23" s="315">
        <f>AZ$7*'Mkt share'!$D$68</f>
        <v>0</v>
      </c>
      <c r="BA23" s="315">
        <f>BA$7*'Mkt share'!$E$68</f>
        <v>0</v>
      </c>
      <c r="BB23" s="315">
        <f>BB$7*'Mkt share'!$F$68</f>
        <v>0</v>
      </c>
      <c r="BC23" s="387">
        <f>BC$7*'Mkt share'!$G$68</f>
        <v>0</v>
      </c>
      <c r="BF23" s="386" t="s">
        <v>335</v>
      </c>
      <c r="BG23" s="315">
        <f>BG$7*'Mkt share'!$C$69</f>
        <v>0</v>
      </c>
      <c r="BH23" s="315">
        <f>BH$7*'Mkt share'!$D$69</f>
        <v>0</v>
      </c>
      <c r="BI23" s="315">
        <f>BI$7*'Mkt share'!$E$69</f>
        <v>0</v>
      </c>
      <c r="BJ23" s="315">
        <f>BJ$7*'Mkt share'!$F$69</f>
        <v>0</v>
      </c>
      <c r="BK23" s="387">
        <f>BK$7*'Mkt share'!$G$69</f>
        <v>0</v>
      </c>
      <c r="BN23" s="386" t="s">
        <v>335</v>
      </c>
      <c r="BO23" s="315">
        <f>BO$7*'Mkt share'!$C$70</f>
        <v>0</v>
      </c>
      <c r="BP23" s="315">
        <f>BP$7*'Mkt share'!$D$70</f>
        <v>0</v>
      </c>
      <c r="BQ23" s="315">
        <f>BQ$7*'Mkt share'!$E$70</f>
        <v>0</v>
      </c>
      <c r="BR23" s="315">
        <f>BR$7*'Mkt share'!$F$70</f>
        <v>0</v>
      </c>
      <c r="BS23" s="387">
        <f>BS$7*'Mkt share'!$G$70</f>
        <v>0</v>
      </c>
      <c r="BV23" s="386" t="s">
        <v>335</v>
      </c>
      <c r="BW23" s="315">
        <f>BW$7*'Mkt share'!$C$71</f>
        <v>0</v>
      </c>
      <c r="BX23" s="315">
        <f>BX$7*'Mkt share'!$D$71</f>
        <v>0</v>
      </c>
      <c r="BY23" s="315">
        <f>BY$7*'Mkt share'!$E$71</f>
        <v>0</v>
      </c>
      <c r="BZ23" s="315">
        <f>BZ$7*'Mkt share'!$F$71</f>
        <v>0</v>
      </c>
      <c r="CA23" s="387">
        <f>CA$7*'Mkt share'!$G$71</f>
        <v>0</v>
      </c>
      <c r="CD23" s="386" t="s">
        <v>335</v>
      </c>
      <c r="CE23" s="315">
        <f>CE$7*'Mkt share'!$C$72</f>
        <v>0</v>
      </c>
      <c r="CF23" s="315">
        <f>CF$7*'Mkt share'!$D$72</f>
        <v>0</v>
      </c>
      <c r="CG23" s="315">
        <f>CG$7*'Mkt share'!$E$72</f>
        <v>0</v>
      </c>
      <c r="CH23" s="315">
        <f>CH$7*'Mkt share'!$F$72</f>
        <v>0</v>
      </c>
      <c r="CI23" s="387">
        <f>CI$7*'Mkt share'!$G$72</f>
        <v>0</v>
      </c>
      <c r="CL23" s="386" t="s">
        <v>335</v>
      </c>
      <c r="CM23" s="315">
        <f>CM$7*'Mkt share'!$C$73</f>
        <v>0</v>
      </c>
      <c r="CN23" s="315">
        <f>CN$7*'Mkt share'!$D$73</f>
        <v>0</v>
      </c>
      <c r="CO23" s="315">
        <f>CO$7*'Mkt share'!$E$73</f>
        <v>0</v>
      </c>
      <c r="CP23" s="315">
        <f>CP$7*'Mkt share'!$F$73</f>
        <v>0</v>
      </c>
      <c r="CQ23" s="387">
        <f>CQ$7*'Mkt share'!$G$73</f>
        <v>0</v>
      </c>
      <c r="CT23" s="386" t="s">
        <v>335</v>
      </c>
      <c r="CU23" s="315">
        <f>CU$7*'Mkt share'!$C$74</f>
        <v>0</v>
      </c>
      <c r="CV23" s="315">
        <f>CV$7*'Mkt share'!$D$74</f>
        <v>0</v>
      </c>
      <c r="CW23" s="315">
        <f>CW$7*'Mkt share'!$E$74</f>
        <v>0</v>
      </c>
      <c r="CX23" s="315">
        <f>CX$7*'Mkt share'!$F$74</f>
        <v>0</v>
      </c>
      <c r="CY23" s="387">
        <f>CY$7*'Mkt share'!$G$74</f>
        <v>0</v>
      </c>
      <c r="DB23" s="386" t="s">
        <v>335</v>
      </c>
      <c r="DC23" s="315">
        <f>DC$7*'Mkt share'!$C$75</f>
        <v>0</v>
      </c>
      <c r="DD23" s="315">
        <f>DD$7*'Mkt share'!$D$75</f>
        <v>0</v>
      </c>
      <c r="DE23" s="315">
        <f>DE$7*'Mkt share'!$E$75</f>
        <v>0</v>
      </c>
      <c r="DF23" s="315">
        <f>DF$7*'Mkt share'!$F$75</f>
        <v>0</v>
      </c>
      <c r="DG23" s="387">
        <f>DG$7*'Mkt share'!$G$75</f>
        <v>0</v>
      </c>
    </row>
    <row r="24" spans="2:113" ht="15" thickBot="1">
      <c r="B24" s="80"/>
      <c r="C24" s="92"/>
      <c r="D24" s="92"/>
      <c r="E24" s="92"/>
      <c r="F24" s="92"/>
      <c r="G24" s="92"/>
      <c r="J24" s="80"/>
      <c r="K24" s="92"/>
      <c r="L24" s="92"/>
      <c r="M24" s="92"/>
      <c r="N24" s="92"/>
      <c r="O24" s="92"/>
      <c r="R24" s="80"/>
      <c r="S24" s="92"/>
      <c r="T24" s="92"/>
      <c r="U24" s="92"/>
      <c r="V24" s="92"/>
      <c r="W24" s="92"/>
      <c r="Z24" s="80"/>
      <c r="AA24" s="92"/>
      <c r="AB24" s="92"/>
      <c r="AC24" s="92"/>
      <c r="AD24" s="92"/>
      <c r="AE24" s="92"/>
      <c r="AH24" s="80"/>
      <c r="AI24" s="92"/>
      <c r="AJ24" s="92"/>
      <c r="AK24" s="92"/>
      <c r="AL24" s="92"/>
      <c r="AM24" s="92"/>
      <c r="AP24" s="80"/>
      <c r="AQ24" s="92"/>
      <c r="AR24" s="92"/>
      <c r="AS24" s="92"/>
      <c r="AT24" s="92"/>
      <c r="AU24" s="92"/>
      <c r="AX24" s="80"/>
      <c r="AY24" s="92"/>
      <c r="AZ24" s="92"/>
      <c r="BA24" s="92"/>
      <c r="BB24" s="92"/>
      <c r="BC24" s="92"/>
      <c r="BF24" s="80"/>
      <c r="BG24" s="92"/>
      <c r="BH24" s="92"/>
      <c r="BI24" s="92"/>
      <c r="BJ24" s="92"/>
      <c r="BK24" s="92"/>
      <c r="BN24" s="80"/>
      <c r="BO24" s="92"/>
      <c r="BP24" s="92"/>
      <c r="BQ24" s="92"/>
      <c r="BR24" s="92"/>
      <c r="BS24" s="92"/>
      <c r="BV24" s="80"/>
      <c r="BW24" s="92"/>
      <c r="BX24" s="92"/>
      <c r="BY24" s="92"/>
      <c r="BZ24" s="92"/>
      <c r="CA24" s="92"/>
      <c r="CD24" s="80"/>
      <c r="CE24" s="92"/>
      <c r="CF24" s="92"/>
      <c r="CG24" s="92"/>
      <c r="CH24" s="92"/>
      <c r="CI24" s="92"/>
      <c r="CL24" s="80"/>
      <c r="CM24" s="92"/>
      <c r="CN24" s="92"/>
      <c r="CO24" s="92"/>
      <c r="CP24" s="92"/>
      <c r="CQ24" s="92"/>
      <c r="CT24" s="80"/>
      <c r="CU24" s="92"/>
      <c r="CV24" s="92"/>
      <c r="CW24" s="92"/>
      <c r="CX24" s="92"/>
      <c r="CY24" s="92"/>
      <c r="DB24" s="80"/>
      <c r="DC24" s="92"/>
      <c r="DD24" s="92"/>
      <c r="DE24" s="92"/>
      <c r="DF24" s="92"/>
      <c r="DG24" s="92"/>
    </row>
    <row r="25" spans="2:113" ht="15" thickBot="1">
      <c r="B25" s="508" t="str">
        <f>cen_prop3</f>
        <v>Both drugs</v>
      </c>
      <c r="C25" s="509"/>
      <c r="D25" s="509"/>
      <c r="E25" s="509"/>
      <c r="F25" s="509"/>
      <c r="G25" s="510"/>
      <c r="J25" s="508" t="str">
        <f>cen_prop3</f>
        <v>Both drugs</v>
      </c>
      <c r="K25" s="509"/>
      <c r="L25" s="509"/>
      <c r="M25" s="509"/>
      <c r="N25" s="509"/>
      <c r="O25" s="510"/>
      <c r="R25" s="508" t="str">
        <f>cen_prop3</f>
        <v>Both drugs</v>
      </c>
      <c r="S25" s="509"/>
      <c r="T25" s="509"/>
      <c r="U25" s="509"/>
      <c r="V25" s="509"/>
      <c r="W25" s="510"/>
      <c r="Z25" s="508" t="str">
        <f>cen_prop3</f>
        <v>Both drugs</v>
      </c>
      <c r="AA25" s="509"/>
      <c r="AB25" s="509"/>
      <c r="AC25" s="509"/>
      <c r="AD25" s="509"/>
      <c r="AE25" s="510"/>
      <c r="AH25" s="508" t="str">
        <f>cen_prop3</f>
        <v>Both drugs</v>
      </c>
      <c r="AI25" s="509"/>
      <c r="AJ25" s="509"/>
      <c r="AK25" s="509"/>
      <c r="AL25" s="509"/>
      <c r="AM25" s="510"/>
      <c r="AP25" s="508" t="str">
        <f>cen_prop3</f>
        <v>Both drugs</v>
      </c>
      <c r="AQ25" s="509"/>
      <c r="AR25" s="509"/>
      <c r="AS25" s="509"/>
      <c r="AT25" s="509"/>
      <c r="AU25" s="510"/>
      <c r="AX25" s="508" t="str">
        <f>cen_prop3</f>
        <v>Both drugs</v>
      </c>
      <c r="AY25" s="509"/>
      <c r="AZ25" s="509"/>
      <c r="BA25" s="509"/>
      <c r="BB25" s="509"/>
      <c r="BC25" s="510"/>
      <c r="BF25" s="508" t="str">
        <f>cen_prop3</f>
        <v>Both drugs</v>
      </c>
      <c r="BG25" s="509"/>
      <c r="BH25" s="509"/>
      <c r="BI25" s="509"/>
      <c r="BJ25" s="509"/>
      <c r="BK25" s="510"/>
      <c r="BN25" s="508" t="str">
        <f>cen_prop3</f>
        <v>Both drugs</v>
      </c>
      <c r="BO25" s="509"/>
      <c r="BP25" s="509"/>
      <c r="BQ25" s="509"/>
      <c r="BR25" s="509"/>
      <c r="BS25" s="510"/>
      <c r="BV25" s="508" t="str">
        <f>cen_prop3</f>
        <v>Both drugs</v>
      </c>
      <c r="BW25" s="509"/>
      <c r="BX25" s="509"/>
      <c r="BY25" s="509"/>
      <c r="BZ25" s="509"/>
      <c r="CA25" s="510"/>
      <c r="CD25" s="508" t="str">
        <f>cen_prop3</f>
        <v>Both drugs</v>
      </c>
      <c r="CE25" s="509"/>
      <c r="CF25" s="509"/>
      <c r="CG25" s="509"/>
      <c r="CH25" s="509"/>
      <c r="CI25" s="510"/>
      <c r="CL25" s="508" t="str">
        <f>cen_prop3</f>
        <v>Both drugs</v>
      </c>
      <c r="CM25" s="509"/>
      <c r="CN25" s="509"/>
      <c r="CO25" s="509"/>
      <c r="CP25" s="509"/>
      <c r="CQ25" s="510"/>
      <c r="CT25" s="508" t="str">
        <f>cen_prop3</f>
        <v>Both drugs</v>
      </c>
      <c r="CU25" s="509"/>
      <c r="CV25" s="509"/>
      <c r="CW25" s="509"/>
      <c r="CX25" s="509"/>
      <c r="CY25" s="510"/>
      <c r="DB25" s="508" t="str">
        <f>cen_prop3</f>
        <v>Both drugs</v>
      </c>
      <c r="DC25" s="509"/>
      <c r="DD25" s="509"/>
      <c r="DE25" s="509"/>
      <c r="DF25" s="509"/>
      <c r="DG25" s="510"/>
    </row>
    <row r="26" spans="2:113">
      <c r="B26" s="84"/>
      <c r="C26" s="101">
        <f>ano_1</f>
        <v>2026</v>
      </c>
      <c r="D26" s="101">
        <f>C26+1</f>
        <v>2027</v>
      </c>
      <c r="E26" s="101">
        <f t="shared" ref="E26:G26" si="56">D26+1</f>
        <v>2028</v>
      </c>
      <c r="F26" s="101">
        <f t="shared" si="56"/>
        <v>2029</v>
      </c>
      <c r="G26" s="102">
        <f t="shared" si="56"/>
        <v>2030</v>
      </c>
      <c r="J26" s="84"/>
      <c r="K26" s="101">
        <f>ano_1</f>
        <v>2026</v>
      </c>
      <c r="L26" s="101">
        <f>K26+1</f>
        <v>2027</v>
      </c>
      <c r="M26" s="101">
        <f t="shared" ref="M26:O26" si="57">L26+1</f>
        <v>2028</v>
      </c>
      <c r="N26" s="101">
        <f t="shared" si="57"/>
        <v>2029</v>
      </c>
      <c r="O26" s="102">
        <f t="shared" si="57"/>
        <v>2030</v>
      </c>
      <c r="R26" s="84"/>
      <c r="S26" s="101">
        <f>ano_1</f>
        <v>2026</v>
      </c>
      <c r="T26" s="101">
        <f>S26+1</f>
        <v>2027</v>
      </c>
      <c r="U26" s="101">
        <f t="shared" ref="U26:W26" si="58">T26+1</f>
        <v>2028</v>
      </c>
      <c r="V26" s="101">
        <f t="shared" si="58"/>
        <v>2029</v>
      </c>
      <c r="W26" s="102">
        <f t="shared" si="58"/>
        <v>2030</v>
      </c>
      <c r="Z26" s="84"/>
      <c r="AA26" s="101">
        <f>ano_1</f>
        <v>2026</v>
      </c>
      <c r="AB26" s="101">
        <f>AA26+1</f>
        <v>2027</v>
      </c>
      <c r="AC26" s="101">
        <f t="shared" ref="AC26:AE26" si="59">AB26+1</f>
        <v>2028</v>
      </c>
      <c r="AD26" s="101">
        <f t="shared" si="59"/>
        <v>2029</v>
      </c>
      <c r="AE26" s="102">
        <f t="shared" si="59"/>
        <v>2030</v>
      </c>
      <c r="AH26" s="84"/>
      <c r="AI26" s="101">
        <f>ano_1</f>
        <v>2026</v>
      </c>
      <c r="AJ26" s="101">
        <f>AI26+1</f>
        <v>2027</v>
      </c>
      <c r="AK26" s="101">
        <f t="shared" ref="AK26:AM26" si="60">AJ26+1</f>
        <v>2028</v>
      </c>
      <c r="AL26" s="101">
        <f t="shared" si="60"/>
        <v>2029</v>
      </c>
      <c r="AM26" s="102">
        <f t="shared" si="60"/>
        <v>2030</v>
      </c>
      <c r="AP26" s="84"/>
      <c r="AQ26" s="101">
        <f>ano_1</f>
        <v>2026</v>
      </c>
      <c r="AR26" s="101">
        <f>AQ26+1</f>
        <v>2027</v>
      </c>
      <c r="AS26" s="101">
        <f t="shared" ref="AS26:AU26" si="61">AR26+1</f>
        <v>2028</v>
      </c>
      <c r="AT26" s="101">
        <f t="shared" si="61"/>
        <v>2029</v>
      </c>
      <c r="AU26" s="102">
        <f t="shared" si="61"/>
        <v>2030</v>
      </c>
      <c r="AX26" s="84"/>
      <c r="AY26" s="101">
        <f>ano_1</f>
        <v>2026</v>
      </c>
      <c r="AZ26" s="101">
        <f>AY26+1</f>
        <v>2027</v>
      </c>
      <c r="BA26" s="101">
        <f t="shared" ref="BA26:BC26" si="62">AZ26+1</f>
        <v>2028</v>
      </c>
      <c r="BB26" s="101">
        <f t="shared" si="62"/>
        <v>2029</v>
      </c>
      <c r="BC26" s="102">
        <f t="shared" si="62"/>
        <v>2030</v>
      </c>
      <c r="BF26" s="84"/>
      <c r="BG26" s="101">
        <f>ano_1</f>
        <v>2026</v>
      </c>
      <c r="BH26" s="101">
        <f>BG26+1</f>
        <v>2027</v>
      </c>
      <c r="BI26" s="101">
        <f t="shared" ref="BI26:BK26" si="63">BH26+1</f>
        <v>2028</v>
      </c>
      <c r="BJ26" s="101">
        <f t="shared" si="63"/>
        <v>2029</v>
      </c>
      <c r="BK26" s="102">
        <f t="shared" si="63"/>
        <v>2030</v>
      </c>
      <c r="BN26" s="84"/>
      <c r="BO26" s="101">
        <f>ano_1</f>
        <v>2026</v>
      </c>
      <c r="BP26" s="101">
        <f>BO26+1</f>
        <v>2027</v>
      </c>
      <c r="BQ26" s="101">
        <f t="shared" ref="BQ26:BS26" si="64">BP26+1</f>
        <v>2028</v>
      </c>
      <c r="BR26" s="101">
        <f t="shared" si="64"/>
        <v>2029</v>
      </c>
      <c r="BS26" s="102">
        <f t="shared" si="64"/>
        <v>2030</v>
      </c>
      <c r="BV26" s="84"/>
      <c r="BW26" s="101">
        <f>ano_1</f>
        <v>2026</v>
      </c>
      <c r="BX26" s="101">
        <f>BW26+1</f>
        <v>2027</v>
      </c>
      <c r="BY26" s="101">
        <f t="shared" ref="BY26:CA26" si="65">BX26+1</f>
        <v>2028</v>
      </c>
      <c r="BZ26" s="101">
        <f t="shared" si="65"/>
        <v>2029</v>
      </c>
      <c r="CA26" s="102">
        <f t="shared" si="65"/>
        <v>2030</v>
      </c>
      <c r="CD26" s="84"/>
      <c r="CE26" s="101">
        <f>ano_1</f>
        <v>2026</v>
      </c>
      <c r="CF26" s="101">
        <f>CE26+1</f>
        <v>2027</v>
      </c>
      <c r="CG26" s="101">
        <f t="shared" ref="CG26:CI26" si="66">CF26+1</f>
        <v>2028</v>
      </c>
      <c r="CH26" s="101">
        <f t="shared" si="66"/>
        <v>2029</v>
      </c>
      <c r="CI26" s="102">
        <f t="shared" si="66"/>
        <v>2030</v>
      </c>
      <c r="CL26" s="84"/>
      <c r="CM26" s="101">
        <f>ano_1</f>
        <v>2026</v>
      </c>
      <c r="CN26" s="101">
        <f>CM26+1</f>
        <v>2027</v>
      </c>
      <c r="CO26" s="101">
        <f t="shared" ref="CO26:CQ26" si="67">CN26+1</f>
        <v>2028</v>
      </c>
      <c r="CP26" s="101">
        <f t="shared" si="67"/>
        <v>2029</v>
      </c>
      <c r="CQ26" s="102">
        <f t="shared" si="67"/>
        <v>2030</v>
      </c>
      <c r="CT26" s="84"/>
      <c r="CU26" s="101">
        <f>ano_1</f>
        <v>2026</v>
      </c>
      <c r="CV26" s="101">
        <f>CU26+1</f>
        <v>2027</v>
      </c>
      <c r="CW26" s="101">
        <f t="shared" ref="CW26:CY26" si="68">CV26+1</f>
        <v>2028</v>
      </c>
      <c r="CX26" s="101">
        <f t="shared" si="68"/>
        <v>2029</v>
      </c>
      <c r="CY26" s="102">
        <f t="shared" si="68"/>
        <v>2030</v>
      </c>
      <c r="DB26" s="84"/>
      <c r="DC26" s="101">
        <f>ano_1</f>
        <v>2026</v>
      </c>
      <c r="DD26" s="101">
        <f>DC26+1</f>
        <v>2027</v>
      </c>
      <c r="DE26" s="101">
        <f t="shared" ref="DE26:DG26" si="69">DD26+1</f>
        <v>2028</v>
      </c>
      <c r="DF26" s="101">
        <f t="shared" si="69"/>
        <v>2029</v>
      </c>
      <c r="DG26" s="102">
        <f t="shared" si="69"/>
        <v>2030</v>
      </c>
    </row>
    <row r="27" spans="2:113" ht="15" thickBot="1">
      <c r="B27" s="386" t="s">
        <v>335</v>
      </c>
      <c r="C27" s="315">
        <f>C$7*'Mkt share'!$C$82</f>
        <v>20.549774295000002</v>
      </c>
      <c r="D27" s="315">
        <f>D$7*'Mkt share'!$D$82</f>
        <v>69.037184062500003</v>
      </c>
      <c r="E27" s="315">
        <f>E$7*'Mkt share'!$E$82</f>
        <v>139.11932232500001</v>
      </c>
      <c r="F27" s="315">
        <f>F$7*'Mkt share'!$F$82</f>
        <v>210.25333398750001</v>
      </c>
      <c r="G27" s="387">
        <f>G$7*'Mkt share'!$G$82</f>
        <v>211.85800597500003</v>
      </c>
      <c r="J27" s="386" t="s">
        <v>335</v>
      </c>
      <c r="K27" s="315">
        <f>K$7*'Mkt share'!$C$83</f>
        <v>13.699849530000002</v>
      </c>
      <c r="L27" s="315">
        <f>L$7*'Mkt share'!$D$83</f>
        <v>55.229747250000003</v>
      </c>
      <c r="M27" s="315">
        <f>M$7*'Mkt share'!$E$83</f>
        <v>125.20739009250001</v>
      </c>
      <c r="N27" s="315">
        <f>N$7*'Mkt share'!$F$83</f>
        <v>161.19422272375002</v>
      </c>
      <c r="O27" s="387">
        <f>O$7*'Mkt share'!$G$83</f>
        <v>176.54833831250002</v>
      </c>
      <c r="R27" s="386" t="s">
        <v>335</v>
      </c>
      <c r="S27" s="315">
        <f>S$7*'Mkt share'!$C$84</f>
        <v>0</v>
      </c>
      <c r="T27" s="315">
        <f>T$7*'Mkt share'!$D$84</f>
        <v>0</v>
      </c>
      <c r="U27" s="315">
        <f>U$7*'Mkt share'!$E$84</f>
        <v>0</v>
      </c>
      <c r="V27" s="315">
        <f>V$7*'Mkt share'!$F$84</f>
        <v>0</v>
      </c>
      <c r="W27" s="387">
        <f>W$7*'Mkt share'!$G$84</f>
        <v>0</v>
      </c>
      <c r="Z27" s="386" t="s">
        <v>335</v>
      </c>
      <c r="AA27" s="315">
        <f>AA$7*'Mkt share'!$C$85</f>
        <v>0</v>
      </c>
      <c r="AB27" s="315">
        <f>AB$7*'Mkt share'!$D$85</f>
        <v>0</v>
      </c>
      <c r="AC27" s="315">
        <f>AC$7*'Mkt share'!$E$85</f>
        <v>0</v>
      </c>
      <c r="AD27" s="315">
        <f>AD$7*'Mkt share'!$F$85</f>
        <v>0</v>
      </c>
      <c r="AE27" s="387">
        <f>AE$7*'Mkt share'!$G$85</f>
        <v>0</v>
      </c>
      <c r="AH27" s="386" t="s">
        <v>336</v>
      </c>
      <c r="AI27" s="315">
        <f>AI$7*'Mkt share'!$C$86</f>
        <v>650.74285267499999</v>
      </c>
      <c r="AJ27" s="315">
        <f>AJ$7*'Mkt share'!$D$86</f>
        <v>566.10490931250001</v>
      </c>
      <c r="AK27" s="315">
        <f>AK$7*'Mkt share'!$E$86</f>
        <v>431.26989920750003</v>
      </c>
      <c r="AL27" s="315">
        <f>AL$7*'Mkt share'!$F$86</f>
        <v>329.39688991374999</v>
      </c>
      <c r="AM27" s="387">
        <f>AM$7*'Mkt share'!$G$86</f>
        <v>317.78700896250007</v>
      </c>
      <c r="AP27" s="386" t="s">
        <v>335</v>
      </c>
      <c r="AQ27" s="315">
        <f>AQ$7*'Mkt share'!$C$87</f>
        <v>0</v>
      </c>
      <c r="AR27" s="315">
        <f>AR$7*'Mkt share'!$D$87</f>
        <v>0</v>
      </c>
      <c r="AS27" s="315">
        <f>AS$7*'Mkt share'!$E$87</f>
        <v>0</v>
      </c>
      <c r="AT27" s="315">
        <f>AT$7*'Mkt share'!$F$87</f>
        <v>0</v>
      </c>
      <c r="AU27" s="387">
        <f>AU$7*'Mkt share'!$G$87</f>
        <v>0</v>
      </c>
      <c r="AX27" s="386" t="s">
        <v>335</v>
      </c>
      <c r="AY27" s="315">
        <f>AY$7*'Mkt share'!$C$88</f>
        <v>0</v>
      </c>
      <c r="AZ27" s="315">
        <f>AZ$7*'Mkt share'!$D$88</f>
        <v>0</v>
      </c>
      <c r="BA27" s="315">
        <f>BA$7*'Mkt share'!$E$88</f>
        <v>0</v>
      </c>
      <c r="BB27" s="315">
        <f>BB$7*'Mkt share'!$F$88</f>
        <v>0</v>
      </c>
      <c r="BC27" s="387">
        <f>BC$7*'Mkt share'!$G$88</f>
        <v>0</v>
      </c>
      <c r="BF27" s="386" t="s">
        <v>335</v>
      </c>
      <c r="BG27" s="315">
        <f>BG$7*'Mkt share'!$C$89</f>
        <v>0</v>
      </c>
      <c r="BH27" s="315">
        <f>BH$7*'Mkt share'!$D$89</f>
        <v>0</v>
      </c>
      <c r="BI27" s="315">
        <f>BI$7*'Mkt share'!$E$89</f>
        <v>0</v>
      </c>
      <c r="BJ27" s="315">
        <f>BJ$7*'Mkt share'!$F$89</f>
        <v>0</v>
      </c>
      <c r="BK27" s="387">
        <f>BK$7*'Mkt share'!$G$89</f>
        <v>0</v>
      </c>
      <c r="BN27" s="386" t="s">
        <v>335</v>
      </c>
      <c r="BO27" s="315">
        <f>BO$7*'Mkt share'!$C$90</f>
        <v>0</v>
      </c>
      <c r="BP27" s="315">
        <f>BP$7*'Mkt share'!$D$90</f>
        <v>0</v>
      </c>
      <c r="BQ27" s="315">
        <f>BQ$7*'Mkt share'!$E$90</f>
        <v>0</v>
      </c>
      <c r="BR27" s="315">
        <f>BR$7*'Mkt share'!$F$90</f>
        <v>0</v>
      </c>
      <c r="BS27" s="387">
        <f>BS$7*'Mkt share'!$G$90</f>
        <v>0</v>
      </c>
      <c r="BV27" s="386" t="s">
        <v>335</v>
      </c>
      <c r="BW27" s="315">
        <f>BW$7*'Mkt share'!$C$91</f>
        <v>0</v>
      </c>
      <c r="BX27" s="315">
        <f>BX$7*'Mkt share'!$D$91</f>
        <v>0</v>
      </c>
      <c r="BY27" s="315">
        <f>BY$7*'Mkt share'!$E$91</f>
        <v>0</v>
      </c>
      <c r="BZ27" s="315">
        <f>BZ$7*'Mkt share'!$F$91</f>
        <v>0</v>
      </c>
      <c r="CA27" s="387">
        <f>CA$7*'Mkt share'!$G$91</f>
        <v>0</v>
      </c>
      <c r="CD27" s="386" t="s">
        <v>335</v>
      </c>
      <c r="CE27" s="315">
        <f>CE$7*'Mkt share'!$C$92</f>
        <v>0</v>
      </c>
      <c r="CF27" s="315">
        <f>CF$7*'Mkt share'!$D$92</f>
        <v>0</v>
      </c>
      <c r="CG27" s="315">
        <f>CG$7*'Mkt share'!$E$92</f>
        <v>0</v>
      </c>
      <c r="CH27" s="315">
        <f>CH$7*'Mkt share'!$F$92</f>
        <v>0</v>
      </c>
      <c r="CI27" s="387">
        <f>CI$7*'Mkt share'!$G$92</f>
        <v>0</v>
      </c>
      <c r="CL27" s="386" t="s">
        <v>335</v>
      </c>
      <c r="CM27" s="315">
        <f>CM$7*'Mkt share'!$C$93</f>
        <v>0</v>
      </c>
      <c r="CN27" s="315">
        <f>CN$7*'Mkt share'!$D$93</f>
        <v>0</v>
      </c>
      <c r="CO27" s="315">
        <f>CO$7*'Mkt share'!$E$93</f>
        <v>0</v>
      </c>
      <c r="CP27" s="315">
        <f>CP$7*'Mkt share'!$F$93</f>
        <v>0</v>
      </c>
      <c r="CQ27" s="387">
        <f>CQ$7*'Mkt share'!$G$93</f>
        <v>0</v>
      </c>
      <c r="CT27" s="386" t="s">
        <v>335</v>
      </c>
      <c r="CU27" s="315">
        <f>CU$7*'Mkt share'!$C$94</f>
        <v>0</v>
      </c>
      <c r="CV27" s="315">
        <f>CV$7*'Mkt share'!$D$94</f>
        <v>0</v>
      </c>
      <c r="CW27" s="315">
        <f>CW$7*'Mkt share'!$E$94</f>
        <v>0</v>
      </c>
      <c r="CX27" s="315">
        <f>CX$7*'Mkt share'!$F$94</f>
        <v>0</v>
      </c>
      <c r="CY27" s="387">
        <f>CY$7*'Mkt share'!$G$94</f>
        <v>0</v>
      </c>
      <c r="DB27" s="386" t="s">
        <v>335</v>
      </c>
      <c r="DC27" s="315">
        <f>DC$7*'Mkt share'!$C$95</f>
        <v>0</v>
      </c>
      <c r="DD27" s="315">
        <f>DD$7*'Mkt share'!$D$95</f>
        <v>0</v>
      </c>
      <c r="DE27" s="315">
        <f>DE$7*'Mkt share'!$E$95</f>
        <v>0</v>
      </c>
      <c r="DF27" s="315">
        <f>DF$7*'Mkt share'!$F$95</f>
        <v>0</v>
      </c>
      <c r="DG27" s="387">
        <f>DG$7*'Mkt share'!$G$95</f>
        <v>0</v>
      </c>
    </row>
    <row r="28" spans="2:113">
      <c r="B28" s="80"/>
      <c r="C28" s="92"/>
      <c r="D28" s="92"/>
      <c r="E28" s="92"/>
      <c r="F28" s="92"/>
      <c r="G28" s="92"/>
      <c r="J28" s="80"/>
      <c r="K28" s="92"/>
      <c r="L28" s="92"/>
      <c r="M28" s="92"/>
      <c r="N28" s="92"/>
      <c r="O28" s="92"/>
      <c r="R28" s="80"/>
      <c r="S28" s="92"/>
      <c r="T28" s="92"/>
      <c r="U28" s="92"/>
      <c r="V28" s="92"/>
      <c r="W28" s="92"/>
      <c r="Z28" s="80"/>
      <c r="AA28" s="92"/>
      <c r="AB28" s="92"/>
      <c r="AC28" s="92"/>
      <c r="AD28" s="92"/>
      <c r="AE28" s="92"/>
      <c r="AH28" s="80"/>
      <c r="AI28" s="92"/>
      <c r="AJ28" s="92"/>
      <c r="AK28" s="92"/>
      <c r="AL28" s="92"/>
      <c r="AM28" s="92"/>
      <c r="AP28" s="80"/>
      <c r="AQ28" s="92"/>
      <c r="AR28" s="92"/>
      <c r="AS28" s="92"/>
      <c r="AT28" s="92"/>
      <c r="AU28" s="92"/>
      <c r="AX28" s="80"/>
      <c r="AY28" s="92"/>
      <c r="AZ28" s="92"/>
      <c r="BA28" s="92"/>
      <c r="BB28" s="92"/>
      <c r="BC28" s="92"/>
      <c r="BF28" s="80"/>
      <c r="BG28" s="92"/>
      <c r="BH28" s="92"/>
      <c r="BI28" s="92"/>
      <c r="BJ28" s="92"/>
      <c r="BK28" s="92"/>
      <c r="BN28" s="80"/>
      <c r="BO28" s="92"/>
      <c r="BP28" s="92"/>
      <c r="BQ28" s="92"/>
      <c r="BR28" s="92"/>
      <c r="BS28" s="92"/>
      <c r="BV28" s="80"/>
      <c r="BW28" s="92"/>
      <c r="BX28" s="92"/>
      <c r="BY28" s="92"/>
      <c r="BZ28" s="92"/>
      <c r="CA28" s="92"/>
      <c r="CD28" s="80"/>
      <c r="CE28" s="92"/>
      <c r="CF28" s="92"/>
      <c r="CG28" s="92"/>
      <c r="CH28" s="92"/>
      <c r="CI28" s="92"/>
      <c r="CL28" s="80"/>
      <c r="CM28" s="92"/>
      <c r="CN28" s="92"/>
      <c r="CO28" s="92"/>
      <c r="CP28" s="92"/>
      <c r="CQ28" s="92"/>
      <c r="CT28" s="80"/>
      <c r="CU28" s="92"/>
      <c r="CV28" s="92"/>
      <c r="CW28" s="92"/>
      <c r="CX28" s="92"/>
      <c r="CY28" s="92"/>
      <c r="DB28" s="80"/>
      <c r="DC28" s="92"/>
      <c r="DD28" s="92"/>
      <c r="DE28" s="92"/>
      <c r="DF28" s="92"/>
      <c r="DG28" s="92"/>
    </row>
    <row r="30" spans="2:113" s="81" customFormat="1">
      <c r="B30" s="120"/>
      <c r="C30" s="120"/>
      <c r="D30" s="120"/>
      <c r="E30" s="120"/>
      <c r="F30" s="120"/>
      <c r="G30" s="120"/>
      <c r="H30" s="82"/>
      <c r="I30" s="82"/>
      <c r="J30" s="120"/>
      <c r="K30" s="120"/>
      <c r="L30" s="120"/>
      <c r="M30" s="120"/>
      <c r="N30" s="120"/>
      <c r="O30" s="120"/>
      <c r="P30" s="82"/>
      <c r="Q30" s="82"/>
      <c r="R30" s="120"/>
      <c r="S30" s="120"/>
      <c r="T30" s="120"/>
      <c r="U30" s="120"/>
      <c r="V30" s="120"/>
      <c r="W30" s="120"/>
      <c r="X30" s="82"/>
      <c r="Y30" s="82"/>
      <c r="Z30" s="120"/>
      <c r="AA30" s="120"/>
      <c r="AB30" s="120"/>
      <c r="AC30" s="120"/>
      <c r="AD30" s="120"/>
      <c r="AE30" s="120"/>
      <c r="AF30" s="82"/>
      <c r="AG30" s="82"/>
      <c r="AH30" s="120"/>
      <c r="AI30" s="120"/>
      <c r="AJ30" s="120"/>
      <c r="AK30" s="120"/>
      <c r="AL30" s="120"/>
      <c r="AM30" s="120"/>
      <c r="AN30" s="82"/>
      <c r="AO30" s="82"/>
      <c r="AP30" s="120"/>
      <c r="AQ30" s="120"/>
      <c r="AR30" s="120"/>
      <c r="AS30" s="120"/>
      <c r="AT30" s="120"/>
      <c r="AU30" s="120"/>
      <c r="AV30" s="82"/>
      <c r="AW30" s="82"/>
      <c r="AX30" s="120"/>
      <c r="AY30" s="120"/>
      <c r="AZ30" s="120"/>
      <c r="BA30" s="120"/>
      <c r="BB30" s="120"/>
      <c r="BC30" s="120"/>
      <c r="BD30" s="82"/>
      <c r="BE30" s="82"/>
      <c r="BF30" s="120"/>
      <c r="BG30" s="120"/>
      <c r="BH30" s="120"/>
      <c r="BI30" s="120"/>
      <c r="BJ30" s="120"/>
      <c r="BK30" s="120"/>
      <c r="BL30" s="82"/>
      <c r="BM30" s="82"/>
      <c r="BN30" s="120"/>
      <c r="BO30" s="120"/>
      <c r="BP30" s="120"/>
      <c r="BQ30" s="120"/>
      <c r="BR30" s="120"/>
      <c r="BS30" s="120"/>
      <c r="BT30" s="82"/>
      <c r="BU30" s="82"/>
      <c r="BV30" s="120"/>
      <c r="BW30" s="120"/>
      <c r="BX30" s="120"/>
      <c r="BY30" s="120"/>
      <c r="BZ30" s="120"/>
      <c r="CA30" s="120"/>
      <c r="CB30" s="82"/>
      <c r="CC30" s="82"/>
      <c r="CD30" s="120"/>
      <c r="CE30" s="120"/>
      <c r="CF30" s="120"/>
      <c r="CG30" s="120"/>
      <c r="CH30" s="120"/>
      <c r="CI30" s="120"/>
      <c r="CJ30" s="82"/>
      <c r="CK30" s="82"/>
      <c r="CL30" s="120"/>
      <c r="CM30" s="120"/>
      <c r="CN30" s="120"/>
      <c r="CO30" s="120"/>
      <c r="CP30" s="120"/>
      <c r="CQ30" s="120"/>
      <c r="CR30" s="82"/>
      <c r="CS30" s="82"/>
      <c r="CT30" s="120"/>
      <c r="CU30" s="120"/>
      <c r="CV30" s="120"/>
      <c r="CW30" s="120"/>
      <c r="CX30" s="120"/>
      <c r="CY30" s="120"/>
      <c r="CZ30" s="82"/>
      <c r="DA30" s="82"/>
      <c r="DB30" s="120"/>
      <c r="DC30" s="120"/>
      <c r="DD30" s="120"/>
      <c r="DE30" s="120"/>
      <c r="DF30" s="120"/>
      <c r="DG30" s="120"/>
      <c r="DH30" s="82"/>
      <c r="DI30" s="82"/>
    </row>
    <row r="31" spans="2:113" s="76" customFormat="1" ht="21">
      <c r="B31" s="503" t="str">
        <f>intervencao1</f>
        <v>Drug 1</v>
      </c>
      <c r="C31" s="503"/>
      <c r="D31" s="503"/>
      <c r="E31" s="503"/>
      <c r="F31" s="503"/>
      <c r="G31" s="503"/>
      <c r="H31" s="503"/>
      <c r="I31" s="77"/>
      <c r="J31" s="503" t="str">
        <f>intervencao2</f>
        <v>Drug 2</v>
      </c>
      <c r="K31" s="503"/>
      <c r="L31" s="503"/>
      <c r="M31" s="503"/>
      <c r="N31" s="503"/>
      <c r="O31" s="503"/>
      <c r="P31" s="503"/>
      <c r="Q31" s="77"/>
      <c r="R31" s="503">
        <f>intervencao3</f>
        <v>0</v>
      </c>
      <c r="S31" s="503"/>
      <c r="T31" s="503"/>
      <c r="U31" s="503"/>
      <c r="V31" s="503"/>
      <c r="W31" s="503"/>
      <c r="X31" s="503"/>
      <c r="Y31" s="77"/>
      <c r="Z31" s="503">
        <f>intervencao4</f>
        <v>0</v>
      </c>
      <c r="AA31" s="503"/>
      <c r="AB31" s="503"/>
      <c r="AC31" s="503"/>
      <c r="AD31" s="503"/>
      <c r="AE31" s="503"/>
      <c r="AF31" s="503"/>
      <c r="AG31" s="77"/>
      <c r="AH31" s="503" t="str">
        <f>comparador1</f>
        <v>BSC</v>
      </c>
      <c r="AI31" s="503"/>
      <c r="AJ31" s="503"/>
      <c r="AK31" s="503"/>
      <c r="AL31" s="503"/>
      <c r="AM31" s="503"/>
      <c r="AN31" s="503"/>
      <c r="AO31" s="77"/>
      <c r="AP31" s="503">
        <f>comparador2</f>
        <v>0</v>
      </c>
      <c r="AQ31" s="503"/>
      <c r="AR31" s="503"/>
      <c r="AS31" s="503"/>
      <c r="AT31" s="503"/>
      <c r="AU31" s="503"/>
      <c r="AV31" s="503"/>
      <c r="AW31" s="77"/>
      <c r="AX31" s="503">
        <f>comparador3</f>
        <v>0</v>
      </c>
      <c r="AY31" s="503"/>
      <c r="AZ31" s="503"/>
      <c r="BA31" s="503"/>
      <c r="BB31" s="503"/>
      <c r="BC31" s="503"/>
      <c r="BD31" s="503"/>
      <c r="BE31" s="77"/>
      <c r="BF31" s="503">
        <f>comparador4</f>
        <v>0</v>
      </c>
      <c r="BG31" s="503"/>
      <c r="BH31" s="503"/>
      <c r="BI31" s="503"/>
      <c r="BJ31" s="503"/>
      <c r="BK31" s="503"/>
      <c r="BL31" s="503"/>
      <c r="BM31" s="77"/>
      <c r="BN31" s="503">
        <f>comparador5</f>
        <v>0</v>
      </c>
      <c r="BO31" s="503"/>
      <c r="BP31" s="503"/>
      <c r="BQ31" s="503"/>
      <c r="BR31" s="503"/>
      <c r="BS31" s="503"/>
      <c r="BT31" s="503"/>
      <c r="BU31" s="77"/>
      <c r="BV31" s="503">
        <f>comparador6</f>
        <v>0</v>
      </c>
      <c r="BW31" s="503"/>
      <c r="BX31" s="503"/>
      <c r="BY31" s="503"/>
      <c r="BZ31" s="503"/>
      <c r="CA31" s="503"/>
      <c r="CB31" s="503"/>
      <c r="CC31" s="77"/>
      <c r="CD31" s="503">
        <f>comparador7</f>
        <v>0</v>
      </c>
      <c r="CE31" s="503"/>
      <c r="CF31" s="503"/>
      <c r="CG31" s="503"/>
      <c r="CH31" s="503"/>
      <c r="CI31" s="503"/>
      <c r="CJ31" s="503"/>
      <c r="CK31" s="77"/>
      <c r="CL31" s="503">
        <f>comparador8</f>
        <v>0</v>
      </c>
      <c r="CM31" s="503"/>
      <c r="CN31" s="503"/>
      <c r="CO31" s="503"/>
      <c r="CP31" s="503"/>
      <c r="CQ31" s="503"/>
      <c r="CR31" s="503"/>
      <c r="CS31" s="77"/>
      <c r="CT31" s="503">
        <f>comparador9</f>
        <v>0</v>
      </c>
      <c r="CU31" s="503"/>
      <c r="CV31" s="503"/>
      <c r="CW31" s="503"/>
      <c r="CX31" s="503"/>
      <c r="CY31" s="503"/>
      <c r="CZ31" s="503"/>
      <c r="DA31" s="77"/>
      <c r="DB31" s="503">
        <f>comparador10</f>
        <v>0</v>
      </c>
      <c r="DC31" s="503"/>
      <c r="DD31" s="503"/>
      <c r="DE31" s="503"/>
      <c r="DF31" s="503"/>
      <c r="DG31" s="503"/>
      <c r="DH31" s="503"/>
      <c r="DI31" s="77"/>
    </row>
    <row r="32" spans="2:113" ht="18">
      <c r="B32" s="504" t="s">
        <v>181</v>
      </c>
      <c r="C32" s="504"/>
      <c r="D32" s="504"/>
      <c r="E32" s="504"/>
      <c r="F32" s="504"/>
      <c r="G32" s="504"/>
      <c r="H32" s="71"/>
      <c r="I32" s="71"/>
      <c r="J32" s="504" t="s">
        <v>181</v>
      </c>
      <c r="K32" s="504"/>
      <c r="L32" s="504"/>
      <c r="M32" s="504"/>
      <c r="N32" s="504"/>
      <c r="O32" s="504"/>
      <c r="P32" s="71"/>
      <c r="Q32" s="71"/>
      <c r="R32" s="504" t="s">
        <v>181</v>
      </c>
      <c r="S32" s="504"/>
      <c r="T32" s="504"/>
      <c r="U32" s="504"/>
      <c r="V32" s="504"/>
      <c r="W32" s="504"/>
      <c r="X32" s="71"/>
      <c r="Y32" s="71"/>
      <c r="Z32" s="504" t="s">
        <v>181</v>
      </c>
      <c r="AA32" s="504"/>
      <c r="AB32" s="504"/>
      <c r="AC32" s="504"/>
      <c r="AD32" s="504"/>
      <c r="AE32" s="504"/>
      <c r="AF32" s="71"/>
      <c r="AG32" s="71"/>
      <c r="AH32" s="504" t="s">
        <v>181</v>
      </c>
      <c r="AI32" s="504"/>
      <c r="AJ32" s="504"/>
      <c r="AK32" s="504"/>
      <c r="AL32" s="504"/>
      <c r="AM32" s="504"/>
      <c r="AN32" s="71"/>
      <c r="AO32" s="71"/>
      <c r="AP32" s="504" t="s">
        <v>181</v>
      </c>
      <c r="AQ32" s="504"/>
      <c r="AR32" s="504"/>
      <c r="AS32" s="504"/>
      <c r="AT32" s="504"/>
      <c r="AU32" s="504"/>
      <c r="AV32" s="71"/>
      <c r="AW32" s="71"/>
      <c r="AX32" s="504" t="s">
        <v>181</v>
      </c>
      <c r="AY32" s="504"/>
      <c r="AZ32" s="504"/>
      <c r="BA32" s="504"/>
      <c r="BB32" s="504"/>
      <c r="BC32" s="504"/>
      <c r="BD32" s="71"/>
      <c r="BE32" s="71"/>
      <c r="BF32" s="504" t="s">
        <v>181</v>
      </c>
      <c r="BG32" s="504"/>
      <c r="BH32" s="504"/>
      <c r="BI32" s="504"/>
      <c r="BJ32" s="504"/>
      <c r="BK32" s="504"/>
      <c r="BL32" s="71"/>
      <c r="BM32" s="71"/>
      <c r="BN32" s="504" t="s">
        <v>181</v>
      </c>
      <c r="BO32" s="504"/>
      <c r="BP32" s="504"/>
      <c r="BQ32" s="504"/>
      <c r="BR32" s="504"/>
      <c r="BS32" s="504"/>
      <c r="BT32" s="71"/>
      <c r="BU32" s="71"/>
      <c r="BV32" s="504" t="s">
        <v>181</v>
      </c>
      <c r="BW32" s="504"/>
      <c r="BX32" s="504"/>
      <c r="BY32" s="504"/>
      <c r="BZ32" s="504"/>
      <c r="CA32" s="504"/>
      <c r="CB32" s="71"/>
      <c r="CC32" s="71"/>
      <c r="CD32" s="504" t="s">
        <v>181</v>
      </c>
      <c r="CE32" s="504"/>
      <c r="CF32" s="504"/>
      <c r="CG32" s="504"/>
      <c r="CH32" s="504"/>
      <c r="CI32" s="504"/>
      <c r="CJ32" s="71"/>
      <c r="CK32" s="71"/>
      <c r="CL32" s="504" t="s">
        <v>181</v>
      </c>
      <c r="CM32" s="504"/>
      <c r="CN32" s="504"/>
      <c r="CO32" s="504"/>
      <c r="CP32" s="504"/>
      <c r="CQ32" s="504"/>
      <c r="CR32" s="71"/>
      <c r="CS32" s="71"/>
      <c r="CT32" s="504" t="s">
        <v>181</v>
      </c>
      <c r="CU32" s="504"/>
      <c r="CV32" s="504"/>
      <c r="CW32" s="504"/>
      <c r="CX32" s="504"/>
      <c r="CY32" s="504"/>
      <c r="CZ32" s="71"/>
      <c r="DA32" s="71"/>
      <c r="DB32" s="504" t="s">
        <v>181</v>
      </c>
      <c r="DC32" s="504"/>
      <c r="DD32" s="504"/>
      <c r="DE32" s="504"/>
      <c r="DF32" s="504"/>
      <c r="DG32" s="504"/>
      <c r="DH32" s="71"/>
      <c r="DI32" s="71"/>
    </row>
    <row r="33" spans="2:113" ht="15" thickBot="1">
      <c r="B33" s="83"/>
      <c r="C33" s="83"/>
      <c r="D33" s="83"/>
      <c r="E33" s="83"/>
      <c r="F33" s="83"/>
      <c r="G33" s="83"/>
      <c r="J33" s="83"/>
      <c r="K33" s="83"/>
      <c r="L33" s="83"/>
      <c r="M33" s="83"/>
      <c r="N33" s="83"/>
      <c r="O33" s="83"/>
      <c r="R33" s="83"/>
      <c r="S33" s="83"/>
      <c r="T33" s="83"/>
      <c r="U33" s="83"/>
      <c r="V33" s="83"/>
      <c r="W33" s="83"/>
      <c r="Z33" s="83"/>
      <c r="AA33" s="83"/>
      <c r="AB33" s="83"/>
      <c r="AC33" s="83"/>
      <c r="AD33" s="83"/>
      <c r="AE33" s="83"/>
      <c r="AH33" s="83"/>
      <c r="AI33" s="83"/>
      <c r="AJ33" s="83"/>
      <c r="AK33" s="83"/>
      <c r="AL33" s="83"/>
      <c r="AM33" s="83"/>
      <c r="AP33" s="83"/>
      <c r="AQ33" s="83"/>
      <c r="AR33" s="83"/>
      <c r="AS33" s="83"/>
      <c r="AT33" s="83"/>
      <c r="AU33" s="83"/>
      <c r="AX33" s="83"/>
      <c r="AY33" s="83"/>
      <c r="AZ33" s="83"/>
      <c r="BA33" s="83"/>
      <c r="BB33" s="83"/>
      <c r="BC33" s="83"/>
      <c r="BF33" s="83"/>
      <c r="BG33" s="83"/>
      <c r="BH33" s="83"/>
      <c r="BI33" s="83"/>
      <c r="BJ33" s="83"/>
      <c r="BK33" s="83"/>
      <c r="BN33" s="83"/>
      <c r="BO33" s="83"/>
      <c r="BP33" s="83"/>
      <c r="BQ33" s="83"/>
      <c r="BR33" s="83"/>
      <c r="BS33" s="83"/>
      <c r="BV33" s="83"/>
      <c r="BW33" s="83"/>
      <c r="BX33" s="83"/>
      <c r="BY33" s="83"/>
      <c r="BZ33" s="83"/>
      <c r="CA33" s="83"/>
      <c r="CD33" s="83"/>
      <c r="CE33" s="83"/>
      <c r="CF33" s="83"/>
      <c r="CG33" s="83"/>
      <c r="CH33" s="83"/>
      <c r="CI33" s="83"/>
      <c r="CL33" s="83"/>
      <c r="CM33" s="83"/>
      <c r="CN33" s="83"/>
      <c r="CO33" s="83"/>
      <c r="CP33" s="83"/>
      <c r="CQ33" s="83"/>
      <c r="CT33" s="83"/>
      <c r="CU33" s="83"/>
      <c r="CV33" s="83"/>
      <c r="CW33" s="83"/>
      <c r="CX33" s="83"/>
      <c r="CY33" s="83"/>
      <c r="DB33" s="83"/>
      <c r="DC33" s="83"/>
      <c r="DD33" s="83"/>
      <c r="DE33" s="83"/>
      <c r="DF33" s="83"/>
      <c r="DG33" s="83"/>
    </row>
    <row r="34" spans="2:113" ht="15" thickBot="1">
      <c r="B34" s="505" t="str">
        <f>B13</f>
        <v>BSC only</v>
      </c>
      <c r="C34" s="506"/>
      <c r="D34" s="506"/>
      <c r="E34" s="506"/>
      <c r="F34" s="506"/>
      <c r="G34" s="507"/>
      <c r="J34" s="505" t="str">
        <f>J13</f>
        <v>BSC only</v>
      </c>
      <c r="K34" s="506"/>
      <c r="L34" s="506"/>
      <c r="M34" s="506"/>
      <c r="N34" s="506"/>
      <c r="O34" s="507"/>
      <c r="R34" s="505" t="str">
        <f>R13</f>
        <v>BSC only</v>
      </c>
      <c r="S34" s="506"/>
      <c r="T34" s="506"/>
      <c r="U34" s="506"/>
      <c r="V34" s="506"/>
      <c r="W34" s="507"/>
      <c r="Z34" s="505" t="str">
        <f>Z13</f>
        <v>BSC only</v>
      </c>
      <c r="AA34" s="506"/>
      <c r="AB34" s="506"/>
      <c r="AC34" s="506"/>
      <c r="AD34" s="506"/>
      <c r="AE34" s="507"/>
      <c r="AH34" s="505" t="str">
        <f>AH13</f>
        <v>BSC only</v>
      </c>
      <c r="AI34" s="506"/>
      <c r="AJ34" s="506"/>
      <c r="AK34" s="506"/>
      <c r="AL34" s="506"/>
      <c r="AM34" s="507"/>
      <c r="AP34" s="505" t="str">
        <f>AP13</f>
        <v>BSC only</v>
      </c>
      <c r="AQ34" s="506"/>
      <c r="AR34" s="506"/>
      <c r="AS34" s="506"/>
      <c r="AT34" s="506"/>
      <c r="AU34" s="507"/>
      <c r="AX34" s="505" t="str">
        <f>AX13</f>
        <v>BSC only</v>
      </c>
      <c r="AY34" s="506"/>
      <c r="AZ34" s="506"/>
      <c r="BA34" s="506"/>
      <c r="BB34" s="506"/>
      <c r="BC34" s="507"/>
      <c r="BF34" s="505" t="str">
        <f>BF13</f>
        <v>BSC only</v>
      </c>
      <c r="BG34" s="506"/>
      <c r="BH34" s="506"/>
      <c r="BI34" s="506"/>
      <c r="BJ34" s="506"/>
      <c r="BK34" s="507"/>
      <c r="BN34" s="505" t="str">
        <f>BN13</f>
        <v>BSC only</v>
      </c>
      <c r="BO34" s="506"/>
      <c r="BP34" s="506"/>
      <c r="BQ34" s="506"/>
      <c r="BR34" s="506"/>
      <c r="BS34" s="507"/>
      <c r="BV34" s="505" t="str">
        <f>BV13</f>
        <v>BSC only</v>
      </c>
      <c r="BW34" s="506"/>
      <c r="BX34" s="506"/>
      <c r="BY34" s="506"/>
      <c r="BZ34" s="506"/>
      <c r="CA34" s="507"/>
      <c r="CD34" s="505" t="str">
        <f>CD13</f>
        <v>BSC only</v>
      </c>
      <c r="CE34" s="506"/>
      <c r="CF34" s="506"/>
      <c r="CG34" s="506"/>
      <c r="CH34" s="506"/>
      <c r="CI34" s="507"/>
      <c r="CL34" s="505" t="str">
        <f>CL13</f>
        <v>BSC only</v>
      </c>
      <c r="CM34" s="506"/>
      <c r="CN34" s="506"/>
      <c r="CO34" s="506"/>
      <c r="CP34" s="506"/>
      <c r="CQ34" s="507"/>
      <c r="CT34" s="505" t="str">
        <f>CT13</f>
        <v>BSC only</v>
      </c>
      <c r="CU34" s="506"/>
      <c r="CV34" s="506"/>
      <c r="CW34" s="506"/>
      <c r="CX34" s="506"/>
      <c r="CY34" s="507"/>
      <c r="DB34" s="505" t="str">
        <f>DB13</f>
        <v>BSC only</v>
      </c>
      <c r="DC34" s="506"/>
      <c r="DD34" s="506"/>
      <c r="DE34" s="506"/>
      <c r="DF34" s="506"/>
      <c r="DG34" s="507"/>
    </row>
    <row r="35" spans="2:113">
      <c r="B35" s="84"/>
      <c r="C35" s="101">
        <f>C14</f>
        <v>2026</v>
      </c>
      <c r="D35" s="101">
        <f>D14</f>
        <v>2027</v>
      </c>
      <c r="E35" s="101">
        <f>E14</f>
        <v>2028</v>
      </c>
      <c r="F35" s="101">
        <f>F14</f>
        <v>2029</v>
      </c>
      <c r="G35" s="102">
        <f>G14</f>
        <v>2030</v>
      </c>
      <c r="J35" s="84"/>
      <c r="K35" s="101">
        <f>K14</f>
        <v>2026</v>
      </c>
      <c r="L35" s="101">
        <f>L14</f>
        <v>2027</v>
      </c>
      <c r="M35" s="101">
        <f>M14</f>
        <v>2028</v>
      </c>
      <c r="N35" s="101">
        <f>N14</f>
        <v>2029</v>
      </c>
      <c r="O35" s="102">
        <f>O14</f>
        <v>2030</v>
      </c>
      <c r="R35" s="84"/>
      <c r="S35" s="101">
        <f>S14</f>
        <v>2026</v>
      </c>
      <c r="T35" s="101">
        <f>T14</f>
        <v>2027</v>
      </c>
      <c r="U35" s="101">
        <f>U14</f>
        <v>2028</v>
      </c>
      <c r="V35" s="101">
        <f>V14</f>
        <v>2029</v>
      </c>
      <c r="W35" s="102">
        <f>W14</f>
        <v>2030</v>
      </c>
      <c r="Z35" s="84"/>
      <c r="AA35" s="101">
        <f>AA14</f>
        <v>2026</v>
      </c>
      <c r="AB35" s="101">
        <f>AB14</f>
        <v>2027</v>
      </c>
      <c r="AC35" s="101">
        <f>AC14</f>
        <v>2028</v>
      </c>
      <c r="AD35" s="101">
        <f>AD14</f>
        <v>2029</v>
      </c>
      <c r="AE35" s="102">
        <f>AE14</f>
        <v>2030</v>
      </c>
      <c r="AH35" s="84"/>
      <c r="AI35" s="101">
        <f>AI14</f>
        <v>2026</v>
      </c>
      <c r="AJ35" s="101">
        <f>AJ14</f>
        <v>2027</v>
      </c>
      <c r="AK35" s="101">
        <f>AK14</f>
        <v>2028</v>
      </c>
      <c r="AL35" s="101">
        <f>AL14</f>
        <v>2029</v>
      </c>
      <c r="AM35" s="102">
        <f>AM14</f>
        <v>2030</v>
      </c>
      <c r="AP35" s="84"/>
      <c r="AQ35" s="101">
        <f>AQ14</f>
        <v>2026</v>
      </c>
      <c r="AR35" s="101">
        <f>AR14</f>
        <v>2027</v>
      </c>
      <c r="AS35" s="101">
        <f>AS14</f>
        <v>2028</v>
      </c>
      <c r="AT35" s="101">
        <f>AT14</f>
        <v>2029</v>
      </c>
      <c r="AU35" s="102">
        <f>AU14</f>
        <v>2030</v>
      </c>
      <c r="AX35" s="84"/>
      <c r="AY35" s="101">
        <f>AY14</f>
        <v>2026</v>
      </c>
      <c r="AZ35" s="101">
        <f>AZ14</f>
        <v>2027</v>
      </c>
      <c r="BA35" s="101">
        <f>BA14</f>
        <v>2028</v>
      </c>
      <c r="BB35" s="101">
        <f>BB14</f>
        <v>2029</v>
      </c>
      <c r="BC35" s="102">
        <f>BC14</f>
        <v>2030</v>
      </c>
      <c r="BF35" s="84"/>
      <c r="BG35" s="101">
        <f>BG14</f>
        <v>2026</v>
      </c>
      <c r="BH35" s="101">
        <f>BH14</f>
        <v>2027</v>
      </c>
      <c r="BI35" s="101">
        <f>BI14</f>
        <v>2028</v>
      </c>
      <c r="BJ35" s="101">
        <f>BJ14</f>
        <v>2029</v>
      </c>
      <c r="BK35" s="102">
        <f>BK14</f>
        <v>2030</v>
      </c>
      <c r="BN35" s="84"/>
      <c r="BO35" s="101">
        <f>BO14</f>
        <v>2026</v>
      </c>
      <c r="BP35" s="101">
        <f>BP14</f>
        <v>2027</v>
      </c>
      <c r="BQ35" s="101">
        <f>BQ14</f>
        <v>2028</v>
      </c>
      <c r="BR35" s="101">
        <f>BR14</f>
        <v>2029</v>
      </c>
      <c r="BS35" s="102">
        <f>BS14</f>
        <v>2030</v>
      </c>
      <c r="BV35" s="84"/>
      <c r="BW35" s="101">
        <f>BW14</f>
        <v>2026</v>
      </c>
      <c r="BX35" s="101">
        <f>BX14</f>
        <v>2027</v>
      </c>
      <c r="BY35" s="101">
        <f>BY14</f>
        <v>2028</v>
      </c>
      <c r="BZ35" s="101">
        <f>BZ14</f>
        <v>2029</v>
      </c>
      <c r="CA35" s="102">
        <f>CA14</f>
        <v>2030</v>
      </c>
      <c r="CD35" s="84"/>
      <c r="CE35" s="101">
        <f>CE14</f>
        <v>2026</v>
      </c>
      <c r="CF35" s="101">
        <f>CF14</f>
        <v>2027</v>
      </c>
      <c r="CG35" s="101">
        <f>CG14</f>
        <v>2028</v>
      </c>
      <c r="CH35" s="101">
        <f>CH14</f>
        <v>2029</v>
      </c>
      <c r="CI35" s="102">
        <f>CI14</f>
        <v>2030</v>
      </c>
      <c r="CL35" s="84"/>
      <c r="CM35" s="101">
        <f>CM14</f>
        <v>2026</v>
      </c>
      <c r="CN35" s="101">
        <f>CN14</f>
        <v>2027</v>
      </c>
      <c r="CO35" s="101">
        <f>CO14</f>
        <v>2028</v>
      </c>
      <c r="CP35" s="101">
        <f>CP14</f>
        <v>2029</v>
      </c>
      <c r="CQ35" s="102">
        <f>CQ14</f>
        <v>2030</v>
      </c>
      <c r="CT35" s="84"/>
      <c r="CU35" s="101">
        <f>CU14</f>
        <v>2026</v>
      </c>
      <c r="CV35" s="101">
        <f>CV14</f>
        <v>2027</v>
      </c>
      <c r="CW35" s="101">
        <f>CW14</f>
        <v>2028</v>
      </c>
      <c r="CX35" s="101">
        <f>CX14</f>
        <v>2029</v>
      </c>
      <c r="CY35" s="102">
        <f>CY14</f>
        <v>2030</v>
      </c>
      <c r="DB35" s="84"/>
      <c r="DC35" s="101">
        <f>DC14</f>
        <v>2026</v>
      </c>
      <c r="DD35" s="101">
        <f>DD14</f>
        <v>2027</v>
      </c>
      <c r="DE35" s="101">
        <f>DE14</f>
        <v>2028</v>
      </c>
      <c r="DF35" s="101">
        <f>DF14</f>
        <v>2029</v>
      </c>
      <c r="DG35" s="102">
        <f>DG14</f>
        <v>2030</v>
      </c>
    </row>
    <row r="36" spans="2:113" s="83" customFormat="1" ht="15" thickBot="1">
      <c r="B36" s="386"/>
      <c r="C36" s="388">
        <f ca="1">(C15*c_inicial)+(C15*c_on*12)+(C15*ci_int1)+(C15*(ct_int1+ca_int1)*'Time on treatment'!$D$12)</f>
        <v>0</v>
      </c>
      <c r="D36" s="388">
        <f ca="1">((D15-C15)*(c_inicial+ci_int1))+(D15*c_on*12)+(D15*(ct_int1+ca_int1)*'Time on treatment'!$D$12)</f>
        <v>0</v>
      </c>
      <c r="E36" s="388">
        <f ca="1">(((E15-(D15-C15))-C15)*(c_inicial+ci_int1))+(E15*c_on*12)+(E15*(ct_int1+ca_int1)*'Time on treatment'!$D$12)</f>
        <v>0</v>
      </c>
      <c r="F36" s="388">
        <f ca="1">((F15-(E15-D15)-(D15-C15)-C15)*(c_inicial+ci_int1))+(F15*c_on*12)+(F15*(ct_int1+ca_int1)*'Time on treatment'!$D$12)</f>
        <v>0</v>
      </c>
      <c r="G36" s="389">
        <f ca="1">((G15-(F15-E15)-(E15-D15)-(D15-C15)-C15)*(c_inicial+ci_int1))+(G15*c_on*12)+(G15*(ct_int1+ca_int1)*'Time on treatment'!$D$12)</f>
        <v>0</v>
      </c>
      <c r="H36" s="77"/>
      <c r="I36" s="77"/>
      <c r="J36" s="386"/>
      <c r="K36" s="388">
        <f ca="1">(K15*c_inicial)+(K15*c_on*12)+(K15*ci_int2)+(K15*(ct_int2+ca_int2)*'Time on treatment'!$D$12)</f>
        <v>0</v>
      </c>
      <c r="L36" s="388">
        <f ca="1">((L15-K15)*(c_inicial+ci_int2))+(L15*c_on*12)+(L15*(ct_int2+ca_int2)*'Time on treatment'!$D$12)</f>
        <v>0</v>
      </c>
      <c r="M36" s="388">
        <f ca="1">(((M15-(L15-K15))-K15)*(c_inicial+ci_int2))+(M15*c_on*12)+(M15*(ct_int2+ca_int2)*'Time on treatment'!$D$12)</f>
        <v>0</v>
      </c>
      <c r="N36" s="388">
        <f ca="1">((N15-(M15-L15)-(L15-K15)-K15)*(c_inicial+ci_int2))+(N15*c_on*12)+(N15*(ct_int2+ca_int2)*'Time on treatment'!$D$12)</f>
        <v>0</v>
      </c>
      <c r="O36" s="389">
        <f ca="1">((O15-(N15-M15)-(M15-L15)-(L15-K15)-K15)*(c_inicial+ci_int2))+(O15*c_on*12)+(O15*(ct_int2+ca_int2)*'Time on treatment'!$D$12)</f>
        <v>0</v>
      </c>
      <c r="P36" s="77"/>
      <c r="Q36" s="77"/>
      <c r="R36" s="386"/>
      <c r="S36" s="388">
        <f ca="1">(S15*c_inicial)+(S15*c_on*12)+(S15*ci_int3)+(S15*(ct_int3+ca_int3)*'Time on treatment'!$D$12)</f>
        <v>0</v>
      </c>
      <c r="T36" s="388">
        <f ca="1">((T15-S15)*(c_inicial+ci_int3))+(T15*c_on*12)+(T15*(ct_int3+ca_int3)*'Time on treatment'!$D$12)</f>
        <v>0</v>
      </c>
      <c r="U36" s="388">
        <f ca="1">(((U15-(T15-S15))-S15)*(c_inicial+ci_int3))+(U15*c_on*12)+(U15*(ct_int3+ca_int3)*'Time on treatment'!$D$12)</f>
        <v>0</v>
      </c>
      <c r="V36" s="388">
        <f ca="1">((V15-(U15-T15)-(T15-S15)-S15)*(c_inicial+ci_int3))+(V15*c_on*12)+(V15*(ct_int3+ca_int3)*'Time on treatment'!$D$12)</f>
        <v>0</v>
      </c>
      <c r="W36" s="389">
        <f ca="1">((W15-(V15-U15)-(U15-T15)-(T15-S15)-S15)*(c_inicial+ci_int3))+(W15*c_on*12)+(W15*(ct_int3+ca_int3)*'Time on treatment'!$D$12)</f>
        <v>0</v>
      </c>
      <c r="X36" s="77"/>
      <c r="Y36" s="77"/>
      <c r="Z36" s="386"/>
      <c r="AA36" s="388">
        <f ca="1">(AA15*c_inicial)+(AA15*c_on*12)+(AA15*ci_int4)+(AA15*(ct_int4+ca_int4)*'Time on treatment'!$D$12)</f>
        <v>0</v>
      </c>
      <c r="AB36" s="388">
        <f ca="1">((AB15-AA15)*(c_inicial+ci_int4))+(AB15*c_on*12)+(AB15*(ct_int4+ca_int4)*'Time on treatment'!$D$12)</f>
        <v>0</v>
      </c>
      <c r="AC36" s="388">
        <f ca="1">(((AC15-(AB15-AA15))-AA15)*(c_inicial+ci_int4))+(AC15*c_on*12)+(AC15*(ct_int4+ca_int4)*'Time on treatment'!$D$12)</f>
        <v>0</v>
      </c>
      <c r="AD36" s="388">
        <f ca="1">((AD15-(AC15-AB15)-(AB15-AA15)-AA15)*(c_inicial+ci_int4))+(AD15*c_on*12)+(AD15*(ct_int4+ca_int4)*'Time on treatment'!$D$12)</f>
        <v>0</v>
      </c>
      <c r="AE36" s="389">
        <f ca="1">((AE15-(AD15-AC15)-(AC15-AB15)-(AB15-AA15)-AA15)*(c_inicial+ci_int4))+(AE15*c_on*12)+(AE15*(ct_int4+ca_int4)*'Time on treatment'!$D$12)</f>
        <v>0</v>
      </c>
      <c r="AF36" s="77"/>
      <c r="AG36" s="77"/>
      <c r="AH36" s="386"/>
      <c r="AI36" s="388">
        <f ca="1">(AI15*c_inicial)+(AI15*c_on*12)+(AI15*ci_comp1)+(AI15*(ct_comp1+ca_comp1)*'Time on treatment'!$D$12)</f>
        <v>8174700.2145509999</v>
      </c>
      <c r="AJ36" s="388">
        <f ca="1">((AJ15-AI15)*(c_inicial+ci_comp1))+(AJ15*c_on*12)+(AJ15*(ct_comp1+ca_comp1)*'Time on treatment'!$D$12)</f>
        <v>7211408.8312687501</v>
      </c>
      <c r="AK36" s="388">
        <f ca="1">(((AK15-(AJ15-AI15))-AI15)*(c_inicial+ci_comp1))+(AK15*c_on*12)+(AK15*(ct_comp1+ca_comp1)*'Time on treatment'!$D$12)</f>
        <v>7265692.2021952504</v>
      </c>
      <c r="AL36" s="388">
        <f ca="1">((AL15-(AK15-AJ15)-(AJ15-AI15)-AI15)*(c_inicial+ci_comp1))+(AL15*c_on*12)+(AL15*(ct_comp1+ca_comp1)*'Time on treatment'!$D$12)</f>
        <v>7320482.7085852502</v>
      </c>
      <c r="AM36" s="389">
        <f ca="1">((AM15-(AL15-AK15)-(AK15-AJ15)-(AJ15-AI15)-AI15)*(c_inicial+ci_comp1))+(AM15*c_on*12)+(AM15*(ct_comp1+ca_comp1)*'Time on treatment'!$D$12)</f>
        <v>7376444.8077480011</v>
      </c>
      <c r="AN36" s="77"/>
      <c r="AO36" s="77"/>
      <c r="AP36" s="386"/>
      <c r="AQ36" s="388">
        <f ca="1">(AQ15*c_inicial)+(AQ15*c_on*12)+(AQ15*ci_comp2)+(AQ15*(ct_comp2+ca_comp2)*'Time on treatment'!$D$12)</f>
        <v>0</v>
      </c>
      <c r="AR36" s="388">
        <f ca="1">((AR15-AQ15)*(c_inicial+ci_comp2))+(AR15*c_on*12)+(AR15*(ct_comp2+ca_comp2)*'Time on treatment'!$D$12)</f>
        <v>0</v>
      </c>
      <c r="AS36" s="388">
        <f ca="1">(((AS15-(AR15-AQ15))-AQ15)*(c_inicial+ci_comp2))+(AS15*c_on*12)+(AS15*(ct_comp2+ca_comp2)*'Time on treatment'!$D$12)</f>
        <v>0</v>
      </c>
      <c r="AT36" s="388">
        <f ca="1">((AT15-(AS15-AR15)-(AR15-AQ15)-AQ15)*(c_inicial+ci_comp2))+(AT15*c_on*12)+(AT15*(ct_comp2+ca_comp2)*'Time on treatment'!$D$12)</f>
        <v>0</v>
      </c>
      <c r="AU36" s="389">
        <f ca="1">((AU15-(AT15-AS15)-(AS15-AR15)-(AR15-AQ15)-AQ15)*(c_inicial+ci_comp2))+(AU15*c_on*12)+(AU15*(ct_comp2+ca_comp2)*'Time on treatment'!$D$12)</f>
        <v>0</v>
      </c>
      <c r="AV36" s="77"/>
      <c r="AW36" s="77"/>
      <c r="AX36" s="386"/>
      <c r="AY36" s="388">
        <f ca="1">(AY15*c_inicial)+(AY15*c_on*12)+(AY15*ci_comp3)+(AY15*(ct_comp3+ca_comp3)*'Time on treatment'!$D$12)</f>
        <v>0</v>
      </c>
      <c r="AZ36" s="388">
        <f ca="1">((AZ15-AY15)*(c_inicial+ci_comp3))+(AZ15*c_on*12)+(AZ15*(ct_comp3+ca_comp3)*'Time on treatment'!$D$12)</f>
        <v>0</v>
      </c>
      <c r="BA36" s="388">
        <f ca="1">(((BA15-(AZ15-AY15))-AY15)*(c_inicial+ci_comp3))+(BA15*c_on*12)+(BA15*(ct_comp3+ca_comp3)*'Time on treatment'!$D$12)</f>
        <v>0</v>
      </c>
      <c r="BB36" s="388">
        <f ca="1">((BB15-(BA15-AZ15)-(AZ15-AY15)-AY15)*(c_inicial+ci_comp3))+(BB15*c_on*12)+(BB15*(ct_comp3+ca_comp3)*'Time on treatment'!$D$12)</f>
        <v>0</v>
      </c>
      <c r="BC36" s="389">
        <f ca="1">((BC15-(BB15-BA15)-(BA15-AZ15)-(AZ15-AY15)-AY15)*(c_inicial+ci_comp3))+(BC15*c_on*12)+(BC15*(ct_comp3+ca_comp3)*'Time on treatment'!$D$12)</f>
        <v>0</v>
      </c>
      <c r="BD36" s="77"/>
      <c r="BE36" s="77"/>
      <c r="BF36" s="386"/>
      <c r="BG36" s="388">
        <f ca="1">(BG15*c_inicial)+(BG15*c_on*12)+(BG15*ci_comp4)+(BG15*(ct_comp4+ca_comp4)*'Time on treatment'!$D$12)</f>
        <v>0</v>
      </c>
      <c r="BH36" s="388">
        <f ca="1">((BH15-BG15)*(c_inicial+ci_comp4))+(BH15*c_on*12)+(BH15*(ct_comp4+ca_comp4)*'Time on treatment'!$D$12)</f>
        <v>0</v>
      </c>
      <c r="BI36" s="388">
        <f ca="1">(((BI15-(BH15-BG15))-BG15)*(c_inicial+ci_comp4))+(BI15*c_on*12)+(BI15*(ct_comp4+ca_comp4)*'Time on treatment'!$D$12)</f>
        <v>0</v>
      </c>
      <c r="BJ36" s="388">
        <f ca="1">((BJ15-(BI15-BH15)-(BH15-BG15)-BG15)*(c_inicial+ci_comp4))+(BJ15*c_on*12)+(BJ15*(ct_comp4+ca_comp4)*'Time on treatment'!$D$12)</f>
        <v>0</v>
      </c>
      <c r="BK36" s="389">
        <f ca="1">((BK15-(BJ15-BI15)-(BI15-BH15)-(BH15-BG15)-BG15)*(c_inicial+ci_comp4))+(BK15*c_on*12)+(BK15*(ct_comp4+ca_comp4)*'Time on treatment'!$D$12)</f>
        <v>0</v>
      </c>
      <c r="BL36" s="77"/>
      <c r="BM36" s="77"/>
      <c r="BN36" s="386"/>
      <c r="BO36" s="388">
        <f ca="1">(BO15*c_inicial)+(BO15*c_on*12)+(BO15*ci_comp5)+(BO15*(ct_comp5+ca_comp5)*'Time on treatment'!$D$12)</f>
        <v>0</v>
      </c>
      <c r="BP36" s="388">
        <f ca="1">((BP15-BO15)*(c_inicial+ci_comp5))+(BP15*c_on*12)+(BP15*(ct_comp5+ca_comp5)*'Time on treatment'!$D$12)</f>
        <v>0</v>
      </c>
      <c r="BQ36" s="388">
        <f ca="1">(((BQ15-(BP15-BO15))-BO15)*(c_inicial+ci_comp5))+(BQ15*c_on*12)+(BQ15*(ct_comp5+ca_comp5)*'Time on treatment'!$D$12)</f>
        <v>0</v>
      </c>
      <c r="BR36" s="388">
        <f ca="1">((BR15-(BQ15-BP15)-(BP15-BO15)-BO15)*(c_inicial+ci_comp5))+(BR15*c_on*12)+(BR15*(ct_comp5+ca_comp5)*'Time on treatment'!$D$12)</f>
        <v>0</v>
      </c>
      <c r="BS36" s="389">
        <f ca="1">((BS15-(BR15-BQ15)-(BQ15-BP15)-(BP15-BO15)-BO15)*(c_inicial+ci_comp5))+(BS15*c_on*12)+(BS15*(ct_comp5+ca_comp5)*'Time on treatment'!$D$12)</f>
        <v>0</v>
      </c>
      <c r="BT36" s="77"/>
      <c r="BU36" s="77"/>
      <c r="BV36" s="386"/>
      <c r="BW36" s="388">
        <f ca="1">(BW15*c_inicial)+(BW15*c_on*12)+(BW15*ci_comp6)+(BW15*(ct_comp6+ca_comp6)*'Time on treatment'!$D$12)</f>
        <v>0</v>
      </c>
      <c r="BX36" s="388">
        <f ca="1">((BX15-BW15)*(c_inicial+ci_comp6))+(BX15*c_on*12)+(BX15*(ct_comp6+ca_comp6)*'Time on treatment'!$D$12)</f>
        <v>0</v>
      </c>
      <c r="BY36" s="388">
        <f ca="1">(((BY15-(BX15-BW15))-BW15)*(c_inicial+ci_comp6))+(BY15*c_on*12)+(BY15*(ct_comp6+ca_comp6)*'Time on treatment'!$D$12)</f>
        <v>0</v>
      </c>
      <c r="BZ36" s="388">
        <f ca="1">((BZ15-(BY15-BX15)-(BX15-BW15)-BW15)*(c_inicial+ci_comp6))+(BZ15*c_on*12)+(BZ15*(ct_comp6+ca_comp6)*'Time on treatment'!$D$12)</f>
        <v>0</v>
      </c>
      <c r="CA36" s="389">
        <f ca="1">((CA15-(BZ15-BY15)-(BY15-BX15)-(BX15-BW15)-BW15)*(c_inicial+ci_comp6))+(CA15*c_on*12)+(CA15*(ct_comp6+ca_comp6)*'Time on treatment'!$D$12)</f>
        <v>0</v>
      </c>
      <c r="CB36" s="77"/>
      <c r="CC36" s="77"/>
      <c r="CD36" s="386"/>
      <c r="CE36" s="388">
        <f ca="1">(CE15*c_inicial)+(CE15*c_on*12)+(CE15*ci_comp7)+(CE15*(ct_comp7+ca_comp7)*'Time on treatment'!$D$12)</f>
        <v>0</v>
      </c>
      <c r="CF36" s="388">
        <f ca="1">((CF15-CE15)*(c_inicial+ci_comp7))+(CF15*c_on*12)+(CF15*(ct_comp7+ca_comp7)*'Time on treatment'!$D$12)</f>
        <v>0</v>
      </c>
      <c r="CG36" s="388">
        <f ca="1">(((CG15-(CF15-CE15))-CE15)*(c_inicial+ci_comp7))+(CG15*c_on*12)+(CG15*(ct_comp7+ca_comp7)*'Time on treatment'!$D$12)</f>
        <v>0</v>
      </c>
      <c r="CH36" s="388">
        <f ca="1">((CH15-(CG15-CF15)-(CF15-CE15)-CE15)*(c_inicial+ci_comp7))+(CH15*c_on*12)+(CH15*(ct_comp7+ca_comp7)*'Time on treatment'!$D$12)</f>
        <v>0</v>
      </c>
      <c r="CI36" s="389">
        <f ca="1">((CI15-(CH15-CG15)-(CG15-CF15)-(CF15-CE15)-CE15)*(c_inicial+ci_comp7))+(CI15*c_on*12)+(CI15*(ct_comp7+ca_comp7)*'Time on treatment'!$D$12)</f>
        <v>0</v>
      </c>
      <c r="CJ36" s="77"/>
      <c r="CK36" s="77"/>
      <c r="CL36" s="386"/>
      <c r="CM36" s="388">
        <f ca="1">(CM15*c_inicial)+(CM15*c_on*12)+(CM15*ci_comp8)+(CM15*(ct_comp8+ca_comp8)*'Time on treatment'!$D$12)</f>
        <v>0</v>
      </c>
      <c r="CN36" s="388">
        <f ca="1">((CN15-CM15)*(c_inicial+ci_comp8))+(CN15*c_on*12)+(CN15*(ct_comp8+ca_comp8)*'Time on treatment'!$D$12)</f>
        <v>0</v>
      </c>
      <c r="CO36" s="388">
        <f ca="1">(((CO15-(CN15-CM15))-CM15)*(c_inicial+ci_comp8))+(CO15*c_on*12)+(CO15*(ct_comp8+ca_comp8)*'Time on treatment'!$D$12)</f>
        <v>0</v>
      </c>
      <c r="CP36" s="388">
        <f ca="1">((CP15-(CO15-CN15)-(CN15-CM15)-CM15)*(c_inicial+ci_comp8))+(CP15*c_on*12)+(CP15*(ct_comp8+ca_comp8)*'Time on treatment'!$D$12)</f>
        <v>0</v>
      </c>
      <c r="CQ36" s="389">
        <f ca="1">((CQ15-(CP15-CO15)-(CO15-CN15)-(CN15-CM15)-CM15)*(c_inicial+ci_comp8))+(CQ15*c_on*12)+(CQ15*(ct_comp8+ca_comp8)*'Time on treatment'!$D$12)</f>
        <v>0</v>
      </c>
      <c r="CR36" s="77"/>
      <c r="CS36" s="77"/>
      <c r="CT36" s="386"/>
      <c r="CU36" s="388">
        <f ca="1">(CU15*c_inicial)+(CU15*c_on*12)+(CU15*ci_comp9)+(CU15*(ct_comp9+ca_comp9)*'Time on treatment'!$D$12)</f>
        <v>0</v>
      </c>
      <c r="CV36" s="388">
        <f ca="1">((CV15-CU15)*(c_inicial+ci_comp9))+(CV15*c_on*12)+(CV15*(ct_comp9+ca_comp9)*'Time on treatment'!$D$12)</f>
        <v>0</v>
      </c>
      <c r="CW36" s="388">
        <f ca="1">(((CW15-(CV15-CU15))-CU15)*(c_inicial+ci_comp9))+(CW15*c_on*12)+(CW15*(ct_comp9+ca_comp9)*'Time on treatment'!$D$12)</f>
        <v>0</v>
      </c>
      <c r="CX36" s="388">
        <f ca="1">((CX15-(CW15-CV15)-(CV15-CU15)-CU15)*(c_inicial+ci_comp9))+(CX15*c_on*12)+(CX15*(ct_comp9+ca_comp9)*'Time on treatment'!$D$12)</f>
        <v>0</v>
      </c>
      <c r="CY36" s="389">
        <f ca="1">((CY15-(CX15-CW15)-(CW15-CV15)-(CV15-CU15)-CU15)*(c_inicial+ci_comp9))+(CY15*c_on*12)+(CY15*(ct_comp9+ca_comp9)*'Time on treatment'!$D$12)</f>
        <v>0</v>
      </c>
      <c r="CZ36" s="77"/>
      <c r="DA36" s="77"/>
      <c r="DB36" s="386"/>
      <c r="DC36" s="388">
        <f ca="1">(DC15*c_inicial)+(DC15*c_on*12)+(DC15*ci_comp10)+(DC15*(ct_comp10+ca_comp10)*'Time on treatment'!$D$12)</f>
        <v>0</v>
      </c>
      <c r="DD36" s="388">
        <f ca="1">((DD15-DC15)*(c_inicial+ci_comp10))+(DD15*c_on*12)+(DD15*(ct_comp10+ca_comp10)*'Time on treatment'!$D$12)</f>
        <v>0</v>
      </c>
      <c r="DE36" s="388">
        <f ca="1">(((DE15-(DD15-DC15))-DC15)*(c_inicial+ci_comp10))+(DE15*c_on*12)+(DE15*(ct_comp10+ca_comp10)*'Time on treatment'!$D$12)</f>
        <v>0</v>
      </c>
      <c r="DF36" s="388">
        <f ca="1">((DF15-(DE15-DD15)-(DD15-DC15)-DC15)*(c_inicial+ci_comp10))+(DF15*c_on*12)+(DF15*(ct_comp10+ca_comp10)*'Time on treatment'!$D$12)</f>
        <v>0</v>
      </c>
      <c r="DG36" s="389">
        <f ca="1">((DG15-(DF15-DE15)-(DE15-DD15)-(DD15-DC15)-DC15)*(c_inicial+ci_comp10))+(DG15*c_on*12)+(DG15*(ct_comp10+ca_comp10)*'Time on treatment'!$D$12)</f>
        <v>0</v>
      </c>
      <c r="DH36" s="77"/>
      <c r="DI36" s="77"/>
    </row>
    <row r="37" spans="2:113" ht="15" thickBot="1">
      <c r="B37" s="83"/>
      <c r="C37" s="86"/>
      <c r="D37" s="86"/>
      <c r="E37" s="86"/>
      <c r="F37" s="86"/>
      <c r="G37" s="86"/>
      <c r="J37" s="83"/>
      <c r="K37" s="86"/>
      <c r="L37" s="86"/>
      <c r="M37" s="86"/>
      <c r="N37" s="86"/>
      <c r="O37" s="86"/>
      <c r="R37" s="83"/>
      <c r="S37" s="86"/>
      <c r="T37" s="86"/>
      <c r="U37" s="86"/>
      <c r="V37" s="86"/>
      <c r="W37" s="86"/>
      <c r="Z37" s="83"/>
      <c r="AA37" s="86"/>
      <c r="AB37" s="86"/>
      <c r="AC37" s="86"/>
      <c r="AD37" s="86"/>
      <c r="AE37" s="86"/>
      <c r="AH37" s="83"/>
      <c r="AI37" s="86"/>
      <c r="AJ37" s="86"/>
      <c r="AK37" s="86"/>
      <c r="AL37" s="86"/>
      <c r="AM37" s="86"/>
      <c r="AP37" s="83"/>
      <c r="AQ37" s="86"/>
      <c r="AR37" s="86"/>
      <c r="AS37" s="86"/>
      <c r="AT37" s="86"/>
      <c r="AU37" s="86"/>
      <c r="AX37" s="83"/>
      <c r="AY37" s="86"/>
      <c r="AZ37" s="86"/>
      <c r="BA37" s="86"/>
      <c r="BB37" s="86"/>
      <c r="BC37" s="86"/>
      <c r="BF37" s="83"/>
      <c r="BG37" s="86"/>
      <c r="BH37" s="86"/>
      <c r="BI37" s="86"/>
      <c r="BJ37" s="86"/>
      <c r="BK37" s="86"/>
      <c r="BN37" s="83"/>
      <c r="BO37" s="86"/>
      <c r="BP37" s="86"/>
      <c r="BQ37" s="86"/>
      <c r="BR37" s="86"/>
      <c r="BS37" s="86"/>
      <c r="BV37" s="83"/>
      <c r="BW37" s="86"/>
      <c r="BX37" s="86"/>
      <c r="BY37" s="86"/>
      <c r="BZ37" s="86"/>
      <c r="CA37" s="86"/>
      <c r="CD37" s="83"/>
      <c r="CE37" s="86"/>
      <c r="CF37" s="86"/>
      <c r="CG37" s="86"/>
      <c r="CH37" s="86"/>
      <c r="CI37" s="86"/>
      <c r="CL37" s="83"/>
      <c r="CM37" s="86"/>
      <c r="CN37" s="86"/>
      <c r="CO37" s="86"/>
      <c r="CP37" s="86"/>
      <c r="CQ37" s="86"/>
      <c r="CT37" s="83"/>
      <c r="CU37" s="86"/>
      <c r="CV37" s="86"/>
      <c r="CW37" s="86"/>
      <c r="CX37" s="86"/>
      <c r="CY37" s="86"/>
      <c r="DB37" s="83"/>
      <c r="DC37" s="86"/>
      <c r="DD37" s="86"/>
      <c r="DE37" s="86"/>
      <c r="DF37" s="86"/>
      <c r="DG37" s="86"/>
    </row>
    <row r="38" spans="2:113" ht="15" thickBot="1">
      <c r="B38" s="508" t="str">
        <f>B17</f>
        <v>Drug 1 only</v>
      </c>
      <c r="C38" s="506"/>
      <c r="D38" s="506"/>
      <c r="E38" s="506"/>
      <c r="F38" s="506"/>
      <c r="G38" s="507"/>
      <c r="J38" s="508" t="str">
        <f>J17</f>
        <v>Drug 1 only</v>
      </c>
      <c r="K38" s="506"/>
      <c r="L38" s="506"/>
      <c r="M38" s="506"/>
      <c r="N38" s="506"/>
      <c r="O38" s="507"/>
      <c r="R38" s="508" t="str">
        <f>R17</f>
        <v>Drug 1 only</v>
      </c>
      <c r="S38" s="506"/>
      <c r="T38" s="506"/>
      <c r="U38" s="506"/>
      <c r="V38" s="506"/>
      <c r="W38" s="507"/>
      <c r="Z38" s="508" t="str">
        <f>Z17</f>
        <v>Drug 1 only</v>
      </c>
      <c r="AA38" s="506"/>
      <c r="AB38" s="506"/>
      <c r="AC38" s="506"/>
      <c r="AD38" s="506"/>
      <c r="AE38" s="507"/>
      <c r="AH38" s="508" t="str">
        <f>AH17</f>
        <v>Drug 1 only</v>
      </c>
      <c r="AI38" s="506"/>
      <c r="AJ38" s="506"/>
      <c r="AK38" s="506"/>
      <c r="AL38" s="506"/>
      <c r="AM38" s="507"/>
      <c r="AP38" s="508" t="str">
        <f>AP17</f>
        <v>Drug 1 only</v>
      </c>
      <c r="AQ38" s="506"/>
      <c r="AR38" s="506"/>
      <c r="AS38" s="506"/>
      <c r="AT38" s="506"/>
      <c r="AU38" s="507"/>
      <c r="AX38" s="508" t="str">
        <f>AX17</f>
        <v>Drug 1 only</v>
      </c>
      <c r="AY38" s="506"/>
      <c r="AZ38" s="506"/>
      <c r="BA38" s="506"/>
      <c r="BB38" s="506"/>
      <c r="BC38" s="507"/>
      <c r="BF38" s="508" t="str">
        <f>BF17</f>
        <v>Drug 1 only</v>
      </c>
      <c r="BG38" s="506"/>
      <c r="BH38" s="506"/>
      <c r="BI38" s="506"/>
      <c r="BJ38" s="506"/>
      <c r="BK38" s="507"/>
      <c r="BN38" s="508" t="str">
        <f>BN17</f>
        <v>Drug 1 only</v>
      </c>
      <c r="BO38" s="506"/>
      <c r="BP38" s="506"/>
      <c r="BQ38" s="506"/>
      <c r="BR38" s="506"/>
      <c r="BS38" s="507"/>
      <c r="BV38" s="508" t="str">
        <f>BV17</f>
        <v>Drug 1 only</v>
      </c>
      <c r="BW38" s="506"/>
      <c r="BX38" s="506"/>
      <c r="BY38" s="506"/>
      <c r="BZ38" s="506"/>
      <c r="CA38" s="507"/>
      <c r="CD38" s="508" t="str">
        <f>CD17</f>
        <v>Drug 1 only</v>
      </c>
      <c r="CE38" s="506"/>
      <c r="CF38" s="506"/>
      <c r="CG38" s="506"/>
      <c r="CH38" s="506"/>
      <c r="CI38" s="507"/>
      <c r="CL38" s="508" t="str">
        <f>CL17</f>
        <v>Drug 1 only</v>
      </c>
      <c r="CM38" s="506"/>
      <c r="CN38" s="506"/>
      <c r="CO38" s="506"/>
      <c r="CP38" s="506"/>
      <c r="CQ38" s="507"/>
      <c r="CT38" s="508" t="str">
        <f>CT17</f>
        <v>Drug 1 only</v>
      </c>
      <c r="CU38" s="506"/>
      <c r="CV38" s="506"/>
      <c r="CW38" s="506"/>
      <c r="CX38" s="506"/>
      <c r="CY38" s="507"/>
      <c r="DB38" s="508" t="str">
        <f>DB17</f>
        <v>Drug 1 only</v>
      </c>
      <c r="DC38" s="506"/>
      <c r="DD38" s="506"/>
      <c r="DE38" s="506"/>
      <c r="DF38" s="506"/>
      <c r="DG38" s="507"/>
    </row>
    <row r="39" spans="2:113">
      <c r="B39" s="84"/>
      <c r="C39" s="101">
        <f>C18</f>
        <v>2026</v>
      </c>
      <c r="D39" s="101">
        <f>D18</f>
        <v>2027</v>
      </c>
      <c r="E39" s="101">
        <f>E18</f>
        <v>2028</v>
      </c>
      <c r="F39" s="101">
        <f>F18</f>
        <v>2029</v>
      </c>
      <c r="G39" s="102">
        <f>G18</f>
        <v>2030</v>
      </c>
      <c r="J39" s="84"/>
      <c r="K39" s="101">
        <f>K18</f>
        <v>2026</v>
      </c>
      <c r="L39" s="101">
        <f>L18</f>
        <v>2027</v>
      </c>
      <c r="M39" s="101">
        <f>M18</f>
        <v>2028</v>
      </c>
      <c r="N39" s="101">
        <f>N18</f>
        <v>2029</v>
      </c>
      <c r="O39" s="102">
        <f>O18</f>
        <v>2030</v>
      </c>
      <c r="R39" s="84"/>
      <c r="S39" s="101">
        <f>S18</f>
        <v>2026</v>
      </c>
      <c r="T39" s="101">
        <f>T18</f>
        <v>2027</v>
      </c>
      <c r="U39" s="101">
        <f>U18</f>
        <v>2028</v>
      </c>
      <c r="V39" s="101">
        <f>V18</f>
        <v>2029</v>
      </c>
      <c r="W39" s="102">
        <f>W18</f>
        <v>2030</v>
      </c>
      <c r="Z39" s="84"/>
      <c r="AA39" s="101">
        <f>AA18</f>
        <v>2026</v>
      </c>
      <c r="AB39" s="101">
        <f>AB18</f>
        <v>2027</v>
      </c>
      <c r="AC39" s="101">
        <f>AC18</f>
        <v>2028</v>
      </c>
      <c r="AD39" s="101">
        <f>AD18</f>
        <v>2029</v>
      </c>
      <c r="AE39" s="102">
        <f>AE18</f>
        <v>2030</v>
      </c>
      <c r="AH39" s="84"/>
      <c r="AI39" s="101">
        <f>AI18</f>
        <v>2026</v>
      </c>
      <c r="AJ39" s="101">
        <f>AJ18</f>
        <v>2027</v>
      </c>
      <c r="AK39" s="101">
        <f>AK18</f>
        <v>2028</v>
      </c>
      <c r="AL39" s="101">
        <f>AL18</f>
        <v>2029</v>
      </c>
      <c r="AM39" s="102">
        <f>AM18</f>
        <v>2030</v>
      </c>
      <c r="AP39" s="84"/>
      <c r="AQ39" s="101">
        <f>AQ18</f>
        <v>2026</v>
      </c>
      <c r="AR39" s="101">
        <f>AR18</f>
        <v>2027</v>
      </c>
      <c r="AS39" s="101">
        <f>AS18</f>
        <v>2028</v>
      </c>
      <c r="AT39" s="101">
        <f>AT18</f>
        <v>2029</v>
      </c>
      <c r="AU39" s="102">
        <f>AU18</f>
        <v>2030</v>
      </c>
      <c r="AX39" s="84"/>
      <c r="AY39" s="101">
        <f>AY18</f>
        <v>2026</v>
      </c>
      <c r="AZ39" s="101">
        <f>AZ18</f>
        <v>2027</v>
      </c>
      <c r="BA39" s="101">
        <f>BA18</f>
        <v>2028</v>
      </c>
      <c r="BB39" s="101">
        <f>BB18</f>
        <v>2029</v>
      </c>
      <c r="BC39" s="102">
        <f>BC18</f>
        <v>2030</v>
      </c>
      <c r="BF39" s="84"/>
      <c r="BG39" s="101">
        <f>BG18</f>
        <v>2026</v>
      </c>
      <c r="BH39" s="101">
        <f>BH18</f>
        <v>2027</v>
      </c>
      <c r="BI39" s="101">
        <f>BI18</f>
        <v>2028</v>
      </c>
      <c r="BJ39" s="101">
        <f>BJ18</f>
        <v>2029</v>
      </c>
      <c r="BK39" s="102">
        <f>BK18</f>
        <v>2030</v>
      </c>
      <c r="BN39" s="84"/>
      <c r="BO39" s="101">
        <f>BO18</f>
        <v>2026</v>
      </c>
      <c r="BP39" s="101">
        <f>BP18</f>
        <v>2027</v>
      </c>
      <c r="BQ39" s="101">
        <f>BQ18</f>
        <v>2028</v>
      </c>
      <c r="BR39" s="101">
        <f>BR18</f>
        <v>2029</v>
      </c>
      <c r="BS39" s="102">
        <f>BS18</f>
        <v>2030</v>
      </c>
      <c r="BV39" s="84"/>
      <c r="BW39" s="101">
        <f>BW18</f>
        <v>2026</v>
      </c>
      <c r="BX39" s="101">
        <f>BX18</f>
        <v>2027</v>
      </c>
      <c r="BY39" s="101">
        <f>BY18</f>
        <v>2028</v>
      </c>
      <c r="BZ39" s="101">
        <f>BZ18</f>
        <v>2029</v>
      </c>
      <c r="CA39" s="102">
        <f>CA18</f>
        <v>2030</v>
      </c>
      <c r="CD39" s="84"/>
      <c r="CE39" s="101">
        <f>CE18</f>
        <v>2026</v>
      </c>
      <c r="CF39" s="101">
        <f>CF18</f>
        <v>2027</v>
      </c>
      <c r="CG39" s="101">
        <f>CG18</f>
        <v>2028</v>
      </c>
      <c r="CH39" s="101">
        <f>CH18</f>
        <v>2029</v>
      </c>
      <c r="CI39" s="102">
        <f>CI18</f>
        <v>2030</v>
      </c>
      <c r="CL39" s="84"/>
      <c r="CM39" s="101">
        <f>CM18</f>
        <v>2026</v>
      </c>
      <c r="CN39" s="101">
        <f>CN18</f>
        <v>2027</v>
      </c>
      <c r="CO39" s="101">
        <f>CO18</f>
        <v>2028</v>
      </c>
      <c r="CP39" s="101">
        <f>CP18</f>
        <v>2029</v>
      </c>
      <c r="CQ39" s="102">
        <f>CQ18</f>
        <v>2030</v>
      </c>
      <c r="CT39" s="84"/>
      <c r="CU39" s="101">
        <f>CU18</f>
        <v>2026</v>
      </c>
      <c r="CV39" s="101">
        <f>CV18</f>
        <v>2027</v>
      </c>
      <c r="CW39" s="101">
        <f>CW18</f>
        <v>2028</v>
      </c>
      <c r="CX39" s="101">
        <f>CX18</f>
        <v>2029</v>
      </c>
      <c r="CY39" s="102">
        <f>CY18</f>
        <v>2030</v>
      </c>
      <c r="DB39" s="84"/>
      <c r="DC39" s="101">
        <f>DC18</f>
        <v>2026</v>
      </c>
      <c r="DD39" s="101">
        <f>DD18</f>
        <v>2027</v>
      </c>
      <c r="DE39" s="101">
        <f>DE18</f>
        <v>2028</v>
      </c>
      <c r="DF39" s="101">
        <f>DF18</f>
        <v>2029</v>
      </c>
      <c r="DG39" s="102">
        <f>DG18</f>
        <v>2030</v>
      </c>
    </row>
    <row r="40" spans="2:113" s="83" customFormat="1" ht="15" thickBot="1">
      <c r="B40" s="386"/>
      <c r="C40" s="388">
        <f ca="1">(C19*c_inicial)+(C19*c_on*12)+(C19*ci_int1)+(C19*(ct_int1+ca_int1)*'Time on treatment'!$D$12)</f>
        <v>1566920.2899937504</v>
      </c>
      <c r="D40" s="388">
        <f ca="1">((D19-C19)*(c_inicial+ci_int1))+(D19*c_on*12)+(D19*(ct_int1+ca_int1)*'Time on treatment'!$D$12)</f>
        <v>3107076.7351218751</v>
      </c>
      <c r="E40" s="388">
        <f ca="1">((E19-D19)*(c_inicial+ci_int1))+(E19*c_on*12)+(E19*(ct_int1+ca_int1)*'Time on treatment'!$D$12)</f>
        <v>4669975.971182812</v>
      </c>
      <c r="F40" s="388">
        <f ca="1">((F19-E19)*(c_inicial+ci_int1))+(F19*c_on*12)+(F19*(ct_int1+ca_int1)*'Time on treatment'!$D$12)</f>
        <v>6256217.4490031246</v>
      </c>
      <c r="G40" s="389">
        <f ca="1">((G19-F19)*(c_inicial+ci_int1))+(G19*c_on*12)+(G19*(ct_int1+ca_int1)*'Time on treatment'!$D$12)</f>
        <v>7866833.1438093754</v>
      </c>
      <c r="H40" s="77"/>
      <c r="I40" s="77"/>
      <c r="J40" s="386"/>
      <c r="K40" s="388">
        <f ca="1">(K19*c_inicial)+(K19*c_on*12)+(K19*ci_int2)+(K19*(ct_int2+ca_int2)*'Time on treatment'!$D$12)</f>
        <v>0</v>
      </c>
      <c r="L40" s="388">
        <f ca="1">((L19-K19)*(c_inicial+ci_int2))+(L19*c_on*12)+(L19*(ct_int2+ca_int2)*'Time on treatment'!$D$12)</f>
        <v>0</v>
      </c>
      <c r="M40" s="388">
        <f ca="1">(((M19-(L19-K19))-K19)*(c_inicial+ci_int2))+(M19*c_on*12)+(M19*(ct_int2+ca_int2)*'Time on treatment'!$D$12)</f>
        <v>0</v>
      </c>
      <c r="N40" s="388">
        <f ca="1">((N19-(M19-L19)-(L19-K19)-K19)*(c_inicial+ci_int2))+(N19*c_on*12)+(N19*(ct_int2+ca_int2)*'Time on treatment'!$D$12)</f>
        <v>0</v>
      </c>
      <c r="O40" s="389">
        <f ca="1">((O19-(N19-M19)-(M19-L19)-(L19-K19)-K19)*(c_inicial+ci_int2))+(O19*c_on*12)+(O19*(ct_int2+ca_int2)*'Time on treatment'!$D$12)</f>
        <v>0</v>
      </c>
      <c r="P40" s="77"/>
      <c r="Q40" s="77"/>
      <c r="R40" s="386"/>
      <c r="S40" s="388">
        <f ca="1">(S19*c_inicial)+(S19*c_on*12)+(S19*ci_int3)+(S19*(ct_int3+ca_int3)*'Time on treatment'!$D$12)</f>
        <v>0</v>
      </c>
      <c r="T40" s="388">
        <f ca="1">((T19-S19)*(c_inicial+ci_int3))+(T19*c_on*12)+(T19*(ct_int3+ca_int3)*'Time on treatment'!$D$12)</f>
        <v>0</v>
      </c>
      <c r="U40" s="388">
        <f ca="1">(((U19-(T19-S19))-S19)*(c_inicial+ci_int3))+(U19*c_on*12)+(U19*(ct_int3+ca_int3)*'Time on treatment'!$D$12)</f>
        <v>0</v>
      </c>
      <c r="V40" s="388">
        <f ca="1">((V19-(U19-T19)-(T19-S19)-S19)*(c_inicial+ci_int3))+(V19*c_on*12)+(V19*(ct_int3+ca_int3)*'Time on treatment'!$D$12)</f>
        <v>0</v>
      </c>
      <c r="W40" s="389">
        <f ca="1">((W19-(V19-U19)-(U19-T19)-(T19-S19)-S19)*(c_inicial+ci_int3))+(W19*c_on*12)+(W19*(ct_int3+ca_int3)*'Time on treatment'!$D$12)</f>
        <v>0</v>
      </c>
      <c r="X40" s="77"/>
      <c r="Y40" s="77"/>
      <c r="Z40" s="386"/>
      <c r="AA40" s="388">
        <f ca="1">(AA19*c_inicial)+(AA19*c_on*12)+(AA19*ci_int4)+(AA19*(ct_int4+ca_int4)*'Time on treatment'!$D$12)</f>
        <v>0</v>
      </c>
      <c r="AB40" s="388">
        <f ca="1">((AB19-AA19)*(c_inicial+ci_int4))+(AB19*c_on*12)+(AB19*(ct_int4+ca_int4)*'Time on treatment'!$D$12)</f>
        <v>0</v>
      </c>
      <c r="AC40" s="388">
        <f ca="1">(((AC19-(AB19-AA19))-AA19)*(c_inicial+ci_int4))+(AC19*c_on*12)+(AC19*(ct_int4+ca_int4)*'Time on treatment'!$D$12)</f>
        <v>0</v>
      </c>
      <c r="AD40" s="388">
        <f ca="1">((AD19-(AC19-AB19)-(AB19-AA19)-AA19)*(c_inicial+ci_int4))+(AD19*c_on*12)+(AD19*(ct_int4+ca_int4)*'Time on treatment'!$D$12)</f>
        <v>0</v>
      </c>
      <c r="AE40" s="389">
        <f ca="1">((AE19-(AD19-AC19)-(AC19-AB19)-(AB19-AA19)-AA19)*(c_inicial+ci_int4))+(AE19*c_on*12)+(AE19*(ct_int4+ca_int4)*'Time on treatment'!$D$12)</f>
        <v>0</v>
      </c>
      <c r="AF40" s="77"/>
      <c r="AG40" s="77"/>
      <c r="AH40" s="386"/>
      <c r="AI40" s="388">
        <f ca="1">(AI19*c_inicial)+(AI19*c_on*12)+(AI19*ci_comp1)+(AI19*(ct_comp1+ca_comp1)*'Time on treatment'!$D$12)</f>
        <v>7765965.20382345</v>
      </c>
      <c r="AJ40" s="388">
        <f ca="1">((AJ19-AI19)*(c_inicial+ci_comp1))+(AJ19*c_on*12)+(AJ19*(ct_comp1+ca_comp1)*'Time on treatment'!$D$12)</f>
        <v>6438893.5124043757</v>
      </c>
      <c r="AK40" s="388">
        <f ca="1">(((AK19-(AJ19-AI19))-AI19)*(c_inicial+ci_comp1))+(AK19*c_on*12)+(AK19*(ct_comp1+ca_comp1)*'Time on treatment'!$D$12)</f>
        <v>6124060.483819088</v>
      </c>
      <c r="AL40" s="388">
        <f ca="1">((AL19-(AK19-AJ19)-(AJ19-AI19)-AI19)*(c_inicial+ci_comp1))+(AL19*c_on*12)+(AL19*(ct_comp1+ca_comp1)*'Time on treatment'!$D$12)</f>
        <v>5804216.4209963251</v>
      </c>
      <c r="AM40" s="389">
        <f ca="1">((AM19-(AL19-AK19)-(AK19-AJ19)-(AJ19-AI19)-AI19)*(c_inicial+ci_comp1))+(AM19*c_on*12)+(AM19*(ct_comp1+ca_comp1)*'Time on treatment'!$D$12)</f>
        <v>5479770.2723141257</v>
      </c>
      <c r="AN40" s="77"/>
      <c r="AO40" s="77"/>
      <c r="AP40" s="386"/>
      <c r="AQ40" s="388">
        <f ca="1">(AQ19*c_inicial)+(AQ19*c_on*12)+(AQ19*ci_comp2)+(AQ19*(ct_comp2+ca_comp2)*'Time on treatment'!$D$12)</f>
        <v>0</v>
      </c>
      <c r="AR40" s="388">
        <f ca="1">((AR19-AQ19)*(c_inicial+ci_comp2))+(AR19*c_on*12)+(AR19*(ct_comp2+ca_comp2)*'Time on treatment'!$D$12)</f>
        <v>0</v>
      </c>
      <c r="AS40" s="388">
        <f ca="1">(((AS19-(AR19-AQ19))-AQ19)*(c_inicial+ci_comp2))+(AS19*c_on*12)+(AS19*(ct_comp2+ca_comp2)*'Time on treatment'!$D$12)</f>
        <v>0</v>
      </c>
      <c r="AT40" s="388">
        <f ca="1">((AT19-(AS19-AR19)-(AR19-AQ19)-AQ19)*(c_inicial+ci_comp2))+(AT19*c_on*12)+(AT19*(ct_comp2+ca_comp2)*'Time on treatment'!$D$12)</f>
        <v>0</v>
      </c>
      <c r="AU40" s="389">
        <f ca="1">((AU19-(AT19-AS19)-(AS19-AR19)-(AR19-AQ19)-AQ19)*(c_inicial+ci_comp2))+(AU19*c_on*12)+(AU19*(ct_comp2+ca_comp2)*'Time on treatment'!$D$12)</f>
        <v>0</v>
      </c>
      <c r="AV40" s="77"/>
      <c r="AW40" s="77"/>
      <c r="AX40" s="386"/>
      <c r="AY40" s="388">
        <f ca="1">(AY19*c_inicial)+(AY19*c_on*12)+(AY19*ci_comp3)+(AY19*(ct_comp3+ca_comp3)*'Time on treatment'!$D$12)</f>
        <v>0</v>
      </c>
      <c r="AZ40" s="388">
        <f ca="1">((AZ19-AY19)*(c_inicial+ci_comp3))+(AZ19*c_on*12)+(AZ19*(ct_comp3+ca_comp3)*'Time on treatment'!$D$12)</f>
        <v>0</v>
      </c>
      <c r="BA40" s="388">
        <f ca="1">(((BA19-(AZ19-AY19))-AY19)*(c_inicial+ci_comp3))+(BA19*c_on*12)+(BA19*(ct_comp3+ca_comp3)*'Time on treatment'!$D$12)</f>
        <v>0</v>
      </c>
      <c r="BB40" s="388">
        <f ca="1">((BB19-(BA19-AZ19)-(AZ19-AY19)-AY19)*(c_inicial+ci_comp3))+(BB19*c_on*12)+(BB19*(ct_comp3+ca_comp3)*'Time on treatment'!$D$12)</f>
        <v>0</v>
      </c>
      <c r="BC40" s="389">
        <f ca="1">((BC19-(BB19-BA19)-(BA19-AZ19)-(AZ19-AY19)-AY19)*(c_inicial+ci_comp3))+(BC19*c_on*12)+(BC19*(ct_comp3+ca_comp3)*'Time on treatment'!$D$12)</f>
        <v>0</v>
      </c>
      <c r="BD40" s="77"/>
      <c r="BE40" s="77"/>
      <c r="BF40" s="386"/>
      <c r="BG40" s="388">
        <f ca="1">(BG19*c_inicial)+(BG19*c_on*12)+(BG19*ci_comp4)+(BG19*(ct_comp4+ca_comp4)*'Time on treatment'!$D$12)</f>
        <v>0</v>
      </c>
      <c r="BH40" s="388">
        <f ca="1">((BH19-BG19)*(c_inicial+ci_comp4))+(BH19*c_on*12)+(BH19*(ct_comp4+ca_comp4)*'Time on treatment'!$D$12)</f>
        <v>0</v>
      </c>
      <c r="BI40" s="388">
        <f ca="1">(((BI19-(BH19-BG19))-BG19)*(c_inicial+ci_comp4))+(BI19*c_on*12)+(BI19*(ct_comp4+ca_comp4)*'Time on treatment'!$D$12)</f>
        <v>0</v>
      </c>
      <c r="BJ40" s="388">
        <f ca="1">((BJ19-(BI19-BH19)-(BH19-BG19)-BG19)*(c_inicial+ci_comp4))+(BJ19*c_on*12)+(BJ19*(ct_comp4+ca_comp4)*'Time on treatment'!$D$12)</f>
        <v>0</v>
      </c>
      <c r="BK40" s="389">
        <f ca="1">((BK19-(BJ19-BI19)-(BI19-BH19)-(BH19-BG19)-BG19)*(c_inicial+ci_comp4))+(BK19*c_on*12)+(BK19*(ct_comp4+ca_comp4)*'Time on treatment'!$D$12)</f>
        <v>0</v>
      </c>
      <c r="BL40" s="77"/>
      <c r="BM40" s="77"/>
      <c r="BN40" s="386"/>
      <c r="BO40" s="388">
        <f ca="1">(BO19*c_inicial)+(BO19*c_on*12)+(BO19*ci_comp5)+(BO19*(ct_comp5+ca_comp5)*'Time on treatment'!$D$12)</f>
        <v>0</v>
      </c>
      <c r="BP40" s="388">
        <f ca="1">((BP19-BO19)*(c_inicial+ci_comp5))+(BP19*c_on*12)+(BP19*(ct_comp5+ca_comp5)*'Time on treatment'!$D$12)</f>
        <v>0</v>
      </c>
      <c r="BQ40" s="388">
        <f ca="1">(((BQ19-(BP19-BO19))-BO19)*(c_inicial+ci_comp5))+(BQ19*c_on*12)+(BQ19*(ct_comp5+ca_comp5)*'Time on treatment'!$D$12)</f>
        <v>0</v>
      </c>
      <c r="BR40" s="388">
        <f ca="1">((BR19-(BQ19-BP19)-(BP19-BO19)-BO19)*(c_inicial+ci_comp5))+(BR19*c_on*12)+(BR19*(ct_comp5+ca_comp5)*'Time on treatment'!$D$12)</f>
        <v>0</v>
      </c>
      <c r="BS40" s="389">
        <f ca="1">((BS19-(BR19-BQ19)-(BQ19-BP19)-(BP19-BO19)-BO19)*(c_inicial+ci_comp5))+(BS19*c_on*12)+(BS19*(ct_comp5+ca_comp5)*'Time on treatment'!$D$12)</f>
        <v>0</v>
      </c>
      <c r="BT40" s="77"/>
      <c r="BU40" s="77"/>
      <c r="BV40" s="386"/>
      <c r="BW40" s="388">
        <f ca="1">(BW19*c_inicial)+(BW19*c_on*12)+(BW19*ci_comp6)+(BW19*(ct_comp6+ca_comp6)*'Time on treatment'!$D$12)</f>
        <v>0</v>
      </c>
      <c r="BX40" s="388">
        <f ca="1">((BX19-BW19)*(c_inicial+ci_comp6))+(BX19*c_on*12)+(BX19*(ct_comp6+ca_comp6)*'Time on treatment'!$D$12)</f>
        <v>0</v>
      </c>
      <c r="BY40" s="388">
        <f ca="1">(((BY19-(BX19-BW19))-BW19)*(c_inicial+ci_comp6))+(BY19*c_on*12)+(BY19*(ct_comp6+ca_comp6)*'Time on treatment'!$D$12)</f>
        <v>0</v>
      </c>
      <c r="BZ40" s="388">
        <f ca="1">((BZ19-(BY19-BX19)-(BX19-BW19)-BW19)*(c_inicial+ci_comp6))+(BZ19*c_on*12)+(BZ19*(ct_comp6+ca_comp6)*'Time on treatment'!$D$12)</f>
        <v>0</v>
      </c>
      <c r="CA40" s="389">
        <f ca="1">((CA19-(BZ19-BY19)-(BY19-BX19)-(BX19-BW19)-BW19)*(c_inicial+ci_comp6))+(CA19*c_on*12)+(CA19*(ct_comp6+ca_comp6)*'Time on treatment'!$D$12)</f>
        <v>0</v>
      </c>
      <c r="CB40" s="77"/>
      <c r="CC40" s="77"/>
      <c r="CD40" s="386"/>
      <c r="CE40" s="388">
        <f ca="1">(CE19*c_inicial)+(CE19*c_on*12)+(CE19*ci_comp7)+(CE19*(ct_comp7+ca_comp7)*'Time on treatment'!$D$12)</f>
        <v>0</v>
      </c>
      <c r="CF40" s="388">
        <f ca="1">((CF19-CE19)*(c_inicial+ci_comp7))+(CF19*c_on*12)+(CF19*(ct_comp7+ca_comp7)*'Time on treatment'!$D$12)</f>
        <v>0</v>
      </c>
      <c r="CG40" s="388">
        <f ca="1">(((CG19-(CF19-CE19))-CE19)*(c_inicial+ci_comp7))+(CG19*c_on*12)+(CG19*(ct_comp7+ca_comp7)*'Time on treatment'!$D$12)</f>
        <v>0</v>
      </c>
      <c r="CH40" s="388">
        <f ca="1">((CH19-(CG19-CF19)-(CF19-CE19)-CE19)*(c_inicial+ci_comp7))+(CH19*c_on*12)+(CH19*(ct_comp7+ca_comp7)*'Time on treatment'!$D$12)</f>
        <v>0</v>
      </c>
      <c r="CI40" s="389">
        <f ca="1">((CI19-(CH19-CG19)-(CG19-CF19)-(CF19-CE19)-CE19)*(c_inicial+ci_comp7))+(CI19*c_on*12)+(CI19*(ct_comp7+ca_comp7)*'Time on treatment'!$D$12)</f>
        <v>0</v>
      </c>
      <c r="CJ40" s="77"/>
      <c r="CK40" s="77"/>
      <c r="CL40" s="386"/>
      <c r="CM40" s="388">
        <f ca="1">(CM19*c_inicial)+(CM19*c_on*12)+(CM19*ci_comp8)+(CM19*(ct_comp8+ca_comp8)*'Time on treatment'!$D$12)</f>
        <v>0</v>
      </c>
      <c r="CN40" s="388">
        <f ca="1">((CN19-CM19)*(c_inicial+ci_comp8))+(CN19*c_on*12)+(CN19*(ct_comp8+ca_comp8)*'Time on treatment'!$D$12)</f>
        <v>0</v>
      </c>
      <c r="CO40" s="388">
        <f ca="1">(((CO19-(CN19-CM19))-CM19)*(c_inicial+ci_comp8))+(CO19*c_on*12)+(CO19*(ct_comp8+ca_comp8)*'Time on treatment'!$D$12)</f>
        <v>0</v>
      </c>
      <c r="CP40" s="388">
        <f ca="1">((CP19-(CO19-CN19)-(CN19-CM19)-CM19)*(c_inicial+ci_comp8))+(CP19*c_on*12)+(CP19*(ct_comp8+ca_comp8)*'Time on treatment'!$D$12)</f>
        <v>0</v>
      </c>
      <c r="CQ40" s="389">
        <f ca="1">((CQ19-(CP19-CO19)-(CO19-CN19)-(CN19-CM19)-CM19)*(c_inicial+ci_comp8))+(CQ19*c_on*12)+(CQ19*(ct_comp8+ca_comp8)*'Time on treatment'!$D$12)</f>
        <v>0</v>
      </c>
      <c r="CR40" s="77"/>
      <c r="CS40" s="77"/>
      <c r="CT40" s="386"/>
      <c r="CU40" s="388">
        <f ca="1">(CU19*c_inicial)+(CU19*c_on*12)+(CU19*ci_comp9)+(CU19*(ct_comp9+ca_comp9)*'Time on treatment'!$D$12)</f>
        <v>0</v>
      </c>
      <c r="CV40" s="388">
        <f ca="1">((CV19-CU19)*(c_inicial+ci_comp9))+(CV19*c_on*12)+(CV19*(ct_comp9+ca_comp9)*'Time on treatment'!$D$12)</f>
        <v>0</v>
      </c>
      <c r="CW40" s="388">
        <f ca="1">(((CW19-(CV19-CU19))-CU19)*(c_inicial+ci_comp9))+(CW19*c_on*12)+(CW19*(ct_comp9+ca_comp9)*'Time on treatment'!$D$12)</f>
        <v>0</v>
      </c>
      <c r="CX40" s="388">
        <f ca="1">((CX19-(CW19-CV19)-(CV19-CU19)-CU19)*(c_inicial+ci_comp9))+(CX19*c_on*12)+(CX19*(ct_comp9+ca_comp9)*'Time on treatment'!$D$12)</f>
        <v>0</v>
      </c>
      <c r="CY40" s="389">
        <f ca="1">((CY19-(CX19-CW19)-(CW19-CV19)-(CV19-CU19)-CU19)*(c_inicial+ci_comp9))+(CY19*c_on*12)+(CY19*(ct_comp9+ca_comp9)*'Time on treatment'!$D$12)</f>
        <v>0</v>
      </c>
      <c r="CZ40" s="77"/>
      <c r="DA40" s="77"/>
      <c r="DB40" s="386"/>
      <c r="DC40" s="388">
        <f ca="1">(DC19*c_inicial)+(DC19*c_on*12)+(DC19*ci_comp10)+(DC19*(ct_comp10+ca_comp10)*'Time on treatment'!$D$12)</f>
        <v>0</v>
      </c>
      <c r="DD40" s="388">
        <f ca="1">((DD19-DC19)*(c_inicial+ci_comp10))+(DD19*c_on*12)+(DD19*(ct_comp10+ca_comp10)*'Time on treatment'!$D$12)</f>
        <v>0</v>
      </c>
      <c r="DE40" s="388">
        <f ca="1">(((DE19-(DD19-DC19))-DC19)*(c_inicial+ci_comp10))+(DE19*c_on*12)+(DE19*(ct_comp10+ca_comp10)*'Time on treatment'!$D$12)</f>
        <v>0</v>
      </c>
      <c r="DF40" s="388">
        <f ca="1">((DF19-(DE19-DD19)-(DD19-DC19)-DC19)*(c_inicial+ci_comp10))+(DF19*c_on*12)+(DF19*(ct_comp10+ca_comp10)*'Time on treatment'!$D$12)</f>
        <v>0</v>
      </c>
      <c r="DG40" s="389">
        <f ca="1">((DG19-(DF19-DE19)-(DE19-DD19)-(DD19-DC19)-DC19)*(c_inicial+ci_comp10))+(DG19*c_on*12)+(DG19*(ct_comp10+ca_comp10)*'Time on treatment'!$D$12)</f>
        <v>0</v>
      </c>
      <c r="DH40" s="77"/>
      <c r="DI40" s="77"/>
    </row>
    <row r="41" spans="2:113" ht="15" thickBot="1">
      <c r="B41" s="83"/>
      <c r="C41" s="86"/>
      <c r="D41" s="86"/>
      <c r="E41" s="86"/>
      <c r="F41" s="86"/>
      <c r="G41" s="86"/>
      <c r="J41" s="83"/>
      <c r="K41" s="86"/>
      <c r="L41" s="86"/>
      <c r="M41" s="86"/>
      <c r="N41" s="86"/>
      <c r="O41" s="86"/>
      <c r="R41" s="83"/>
      <c r="S41" s="86"/>
      <c r="T41" s="86"/>
      <c r="U41" s="86"/>
      <c r="V41" s="86"/>
      <c r="W41" s="86"/>
      <c r="Z41" s="83"/>
      <c r="AA41" s="86"/>
      <c r="AB41" s="86"/>
      <c r="AC41" s="86"/>
      <c r="AD41" s="86"/>
      <c r="AE41" s="86"/>
      <c r="AH41" s="83"/>
      <c r="AI41" s="86"/>
      <c r="AJ41" s="86"/>
      <c r="AK41" s="86"/>
      <c r="AL41" s="86"/>
      <c r="AM41" s="86"/>
      <c r="AP41" s="83"/>
      <c r="AQ41" s="86"/>
      <c r="AR41" s="86"/>
      <c r="AS41" s="86"/>
      <c r="AT41" s="86"/>
      <c r="AU41" s="86"/>
      <c r="AX41" s="83"/>
      <c r="AY41" s="86"/>
      <c r="AZ41" s="86"/>
      <c r="BA41" s="86"/>
      <c r="BB41" s="86"/>
      <c r="BC41" s="86"/>
      <c r="BF41" s="83"/>
      <c r="BG41" s="86"/>
      <c r="BH41" s="86"/>
      <c r="BI41" s="86"/>
      <c r="BJ41" s="86"/>
      <c r="BK41" s="86"/>
      <c r="BN41" s="83"/>
      <c r="BO41" s="86"/>
      <c r="BP41" s="86"/>
      <c r="BQ41" s="86"/>
      <c r="BR41" s="86"/>
      <c r="BS41" s="86"/>
      <c r="BV41" s="83"/>
      <c r="BW41" s="86"/>
      <c r="BX41" s="86"/>
      <c r="BY41" s="86"/>
      <c r="BZ41" s="86"/>
      <c r="CA41" s="86"/>
      <c r="CD41" s="83"/>
      <c r="CE41" s="86"/>
      <c r="CF41" s="86"/>
      <c r="CG41" s="86"/>
      <c r="CH41" s="86"/>
      <c r="CI41" s="86"/>
      <c r="CL41" s="83"/>
      <c r="CM41" s="86"/>
      <c r="CN41" s="86"/>
      <c r="CO41" s="86"/>
      <c r="CP41" s="86"/>
      <c r="CQ41" s="86"/>
      <c r="CT41" s="83"/>
      <c r="CU41" s="86"/>
      <c r="CV41" s="86"/>
      <c r="CW41" s="86"/>
      <c r="CX41" s="86"/>
      <c r="CY41" s="86"/>
      <c r="DB41" s="83"/>
      <c r="DC41" s="86"/>
      <c r="DD41" s="86"/>
      <c r="DE41" s="86"/>
      <c r="DF41" s="86"/>
      <c r="DG41" s="86"/>
    </row>
    <row r="42" spans="2:113" ht="15" thickBot="1">
      <c r="B42" s="508" t="str">
        <f>B21</f>
        <v>Drug 2 only</v>
      </c>
      <c r="C42" s="506"/>
      <c r="D42" s="506"/>
      <c r="E42" s="506"/>
      <c r="F42" s="506"/>
      <c r="G42" s="507"/>
      <c r="J42" s="508" t="str">
        <f>J21</f>
        <v>Drug 2 only</v>
      </c>
      <c r="K42" s="506"/>
      <c r="L42" s="506"/>
      <c r="M42" s="506"/>
      <c r="N42" s="506"/>
      <c r="O42" s="507"/>
      <c r="R42" s="508" t="str">
        <f>R21</f>
        <v>Drug 2 only</v>
      </c>
      <c r="S42" s="506"/>
      <c r="T42" s="506"/>
      <c r="U42" s="506"/>
      <c r="V42" s="506"/>
      <c r="W42" s="507"/>
      <c r="Z42" s="508" t="str">
        <f>Z21</f>
        <v>Drug 2 only</v>
      </c>
      <c r="AA42" s="506"/>
      <c r="AB42" s="506"/>
      <c r="AC42" s="506"/>
      <c r="AD42" s="506"/>
      <c r="AE42" s="507"/>
      <c r="AH42" s="508" t="str">
        <f>AH21</f>
        <v>Drug 2 only</v>
      </c>
      <c r="AI42" s="506"/>
      <c r="AJ42" s="506"/>
      <c r="AK42" s="506"/>
      <c r="AL42" s="506"/>
      <c r="AM42" s="507"/>
      <c r="AP42" s="508" t="str">
        <f>AP21</f>
        <v>Drug 2 only</v>
      </c>
      <c r="AQ42" s="506"/>
      <c r="AR42" s="506"/>
      <c r="AS42" s="506"/>
      <c r="AT42" s="506"/>
      <c r="AU42" s="507"/>
      <c r="AX42" s="508" t="str">
        <f>AX21</f>
        <v>Drug 2 only</v>
      </c>
      <c r="AY42" s="506"/>
      <c r="AZ42" s="506"/>
      <c r="BA42" s="506"/>
      <c r="BB42" s="506"/>
      <c r="BC42" s="507"/>
      <c r="BF42" s="508" t="str">
        <f>BF21</f>
        <v>Drug 2 only</v>
      </c>
      <c r="BG42" s="506"/>
      <c r="BH42" s="506"/>
      <c r="BI42" s="506"/>
      <c r="BJ42" s="506"/>
      <c r="BK42" s="507"/>
      <c r="BN42" s="508" t="str">
        <f>BN21</f>
        <v>Drug 2 only</v>
      </c>
      <c r="BO42" s="506"/>
      <c r="BP42" s="506"/>
      <c r="BQ42" s="506"/>
      <c r="BR42" s="506"/>
      <c r="BS42" s="507"/>
      <c r="BV42" s="508" t="str">
        <f>BV21</f>
        <v>Drug 2 only</v>
      </c>
      <c r="BW42" s="506"/>
      <c r="BX42" s="506"/>
      <c r="BY42" s="506"/>
      <c r="BZ42" s="506"/>
      <c r="CA42" s="507"/>
      <c r="CD42" s="508" t="str">
        <f>CD21</f>
        <v>Drug 2 only</v>
      </c>
      <c r="CE42" s="506"/>
      <c r="CF42" s="506"/>
      <c r="CG42" s="506"/>
      <c r="CH42" s="506"/>
      <c r="CI42" s="507"/>
      <c r="CL42" s="508" t="str">
        <f>CL21</f>
        <v>Drug 2 only</v>
      </c>
      <c r="CM42" s="506"/>
      <c r="CN42" s="506"/>
      <c r="CO42" s="506"/>
      <c r="CP42" s="506"/>
      <c r="CQ42" s="507"/>
      <c r="CT42" s="508" t="str">
        <f>CT21</f>
        <v>Drug 2 only</v>
      </c>
      <c r="CU42" s="506"/>
      <c r="CV42" s="506"/>
      <c r="CW42" s="506"/>
      <c r="CX42" s="506"/>
      <c r="CY42" s="507"/>
      <c r="DB42" s="508" t="str">
        <f>DB21</f>
        <v>Drug 2 only</v>
      </c>
      <c r="DC42" s="506"/>
      <c r="DD42" s="506"/>
      <c r="DE42" s="506"/>
      <c r="DF42" s="506"/>
      <c r="DG42" s="507"/>
    </row>
    <row r="43" spans="2:113">
      <c r="B43" s="84"/>
      <c r="C43" s="101">
        <f>C22</f>
        <v>2026</v>
      </c>
      <c r="D43" s="101">
        <f>D22</f>
        <v>2027</v>
      </c>
      <c r="E43" s="101">
        <f>E22</f>
        <v>2028</v>
      </c>
      <c r="F43" s="101">
        <f>F22</f>
        <v>2029</v>
      </c>
      <c r="G43" s="102">
        <f>G22</f>
        <v>2030</v>
      </c>
      <c r="J43" s="84"/>
      <c r="K43" s="101">
        <f>K22</f>
        <v>2026</v>
      </c>
      <c r="L43" s="101">
        <f>L22</f>
        <v>2027</v>
      </c>
      <c r="M43" s="101">
        <f>M22</f>
        <v>2028</v>
      </c>
      <c r="N43" s="101">
        <f>N22</f>
        <v>2029</v>
      </c>
      <c r="O43" s="102">
        <f>O22</f>
        <v>2030</v>
      </c>
      <c r="R43" s="84"/>
      <c r="S43" s="101">
        <f>S22</f>
        <v>2026</v>
      </c>
      <c r="T43" s="101">
        <f>T22</f>
        <v>2027</v>
      </c>
      <c r="U43" s="101">
        <f>U22</f>
        <v>2028</v>
      </c>
      <c r="V43" s="101">
        <f>V22</f>
        <v>2029</v>
      </c>
      <c r="W43" s="102">
        <f>W22</f>
        <v>2030</v>
      </c>
      <c r="Z43" s="84"/>
      <c r="AA43" s="101">
        <f>AA22</f>
        <v>2026</v>
      </c>
      <c r="AB43" s="101">
        <f>AB22</f>
        <v>2027</v>
      </c>
      <c r="AC43" s="101">
        <f>AC22</f>
        <v>2028</v>
      </c>
      <c r="AD43" s="101">
        <f>AD22</f>
        <v>2029</v>
      </c>
      <c r="AE43" s="102">
        <f>AE22</f>
        <v>2030</v>
      </c>
      <c r="AH43" s="84"/>
      <c r="AI43" s="101">
        <f>AI22</f>
        <v>2026</v>
      </c>
      <c r="AJ43" s="101">
        <f>AJ22</f>
        <v>2027</v>
      </c>
      <c r="AK43" s="101">
        <f>AK22</f>
        <v>2028</v>
      </c>
      <c r="AL43" s="101">
        <f>AL22</f>
        <v>2029</v>
      </c>
      <c r="AM43" s="102">
        <f>AM22</f>
        <v>2030</v>
      </c>
      <c r="AP43" s="84"/>
      <c r="AQ43" s="101">
        <f>AQ22</f>
        <v>2026</v>
      </c>
      <c r="AR43" s="101">
        <f>AR22</f>
        <v>2027</v>
      </c>
      <c r="AS43" s="101">
        <f>AS22</f>
        <v>2028</v>
      </c>
      <c r="AT43" s="101">
        <f>AT22</f>
        <v>2029</v>
      </c>
      <c r="AU43" s="102">
        <f>AU22</f>
        <v>2030</v>
      </c>
      <c r="AX43" s="84"/>
      <c r="AY43" s="101">
        <f>AY22</f>
        <v>2026</v>
      </c>
      <c r="AZ43" s="101">
        <f>AZ22</f>
        <v>2027</v>
      </c>
      <c r="BA43" s="101">
        <f>BA22</f>
        <v>2028</v>
      </c>
      <c r="BB43" s="101">
        <f>BB22</f>
        <v>2029</v>
      </c>
      <c r="BC43" s="102">
        <f>BC22</f>
        <v>2030</v>
      </c>
      <c r="BF43" s="84"/>
      <c r="BG43" s="101">
        <f>BG22</f>
        <v>2026</v>
      </c>
      <c r="BH43" s="101">
        <f>BH22</f>
        <v>2027</v>
      </c>
      <c r="BI43" s="101">
        <f>BI22</f>
        <v>2028</v>
      </c>
      <c r="BJ43" s="101">
        <f>BJ22</f>
        <v>2029</v>
      </c>
      <c r="BK43" s="102">
        <f>BK22</f>
        <v>2030</v>
      </c>
      <c r="BN43" s="84"/>
      <c r="BO43" s="101">
        <f>BO22</f>
        <v>2026</v>
      </c>
      <c r="BP43" s="101">
        <f>BP22</f>
        <v>2027</v>
      </c>
      <c r="BQ43" s="101">
        <f>BQ22</f>
        <v>2028</v>
      </c>
      <c r="BR43" s="101">
        <f>BR22</f>
        <v>2029</v>
      </c>
      <c r="BS43" s="102">
        <f>BS22</f>
        <v>2030</v>
      </c>
      <c r="BV43" s="84"/>
      <c r="BW43" s="101">
        <f>BW22</f>
        <v>2026</v>
      </c>
      <c r="BX43" s="101">
        <f>BX22</f>
        <v>2027</v>
      </c>
      <c r="BY43" s="101">
        <f>BY22</f>
        <v>2028</v>
      </c>
      <c r="BZ43" s="101">
        <f>BZ22</f>
        <v>2029</v>
      </c>
      <c r="CA43" s="102">
        <f>CA22</f>
        <v>2030</v>
      </c>
      <c r="CD43" s="84"/>
      <c r="CE43" s="101">
        <f>CE22</f>
        <v>2026</v>
      </c>
      <c r="CF43" s="101">
        <f>CF22</f>
        <v>2027</v>
      </c>
      <c r="CG43" s="101">
        <f>CG22</f>
        <v>2028</v>
      </c>
      <c r="CH43" s="101">
        <f>CH22</f>
        <v>2029</v>
      </c>
      <c r="CI43" s="102">
        <f>CI22</f>
        <v>2030</v>
      </c>
      <c r="CL43" s="84"/>
      <c r="CM43" s="101">
        <f>CM22</f>
        <v>2026</v>
      </c>
      <c r="CN43" s="101">
        <f>CN22</f>
        <v>2027</v>
      </c>
      <c r="CO43" s="101">
        <f>CO22</f>
        <v>2028</v>
      </c>
      <c r="CP43" s="101">
        <f>CP22</f>
        <v>2029</v>
      </c>
      <c r="CQ43" s="102">
        <f>CQ22</f>
        <v>2030</v>
      </c>
      <c r="CT43" s="84"/>
      <c r="CU43" s="101">
        <f>CU22</f>
        <v>2026</v>
      </c>
      <c r="CV43" s="101">
        <f>CV22</f>
        <v>2027</v>
      </c>
      <c r="CW43" s="101">
        <f>CW22</f>
        <v>2028</v>
      </c>
      <c r="CX43" s="101">
        <f>CX22</f>
        <v>2029</v>
      </c>
      <c r="CY43" s="102">
        <f>CY22</f>
        <v>2030</v>
      </c>
      <c r="DB43" s="84"/>
      <c r="DC43" s="101">
        <f>DC22</f>
        <v>2026</v>
      </c>
      <c r="DD43" s="101">
        <f>DD22</f>
        <v>2027</v>
      </c>
      <c r="DE43" s="101">
        <f>DE22</f>
        <v>2028</v>
      </c>
      <c r="DF43" s="101">
        <f>DF22</f>
        <v>2029</v>
      </c>
      <c r="DG43" s="102">
        <f>DG22</f>
        <v>2030</v>
      </c>
    </row>
    <row r="44" spans="2:113" s="83" customFormat="1" ht="15" thickBot="1">
      <c r="B44" s="386"/>
      <c r="C44" s="388">
        <f ca="1">(C23*c_inicial)+(C23*c_on*12)+(C23*ci_int1)+(C23*(ct_int1+ca_int1)*'Time on treatment'!$D$12)</f>
        <v>0</v>
      </c>
      <c r="D44" s="388">
        <f ca="1">((D23-C23)*(c_inicial+ci_int1))+(D23*c_on*12)+(D23*(ct_int1+ca_int1)*'Time on treatment'!$D$12)</f>
        <v>0</v>
      </c>
      <c r="E44" s="388">
        <f ca="1">(((E23-(D23-C23))-C23)*(c_inicial+ci_int1))+(E23*c_on*12)+(E23*(ct_int1+ca_int1)*'Time on treatment'!$D$12)</f>
        <v>0</v>
      </c>
      <c r="F44" s="388">
        <f ca="1">((F23-(E23-D23)-(D23-C23)-C23)*(c_inicial+ci_int1))+(F23*c_on*12)+(F23*(ct_int1+ca_int1)*'Time on treatment'!$D$12)</f>
        <v>0</v>
      </c>
      <c r="G44" s="389">
        <f ca="1">((G23-(F23-E23)-(E23-D23)-(D23-C23)-C23)*(c_inicial+ci_int1))+(G23*c_on*12)+(G23*(ct_int1+ca_int1)*'Time on treatment'!$D$12)</f>
        <v>0</v>
      </c>
      <c r="H44" s="77"/>
      <c r="I44" s="77"/>
      <c r="J44" s="386"/>
      <c r="K44" s="388">
        <f ca="1">(K23*c_inicial)+(K23*c_on*12)+(K23*ci_int2)+(K23*(ct_int2+ca_int2)*'Time on treatment'!$D$12)</f>
        <v>453684.21703548008</v>
      </c>
      <c r="L44" s="388">
        <f ca="1">((L23-K23)*(c_inicial+ci_int2))+(L23*c_on*12)+(L23*(ct_int2+ca_int2)*'Time on treatment'!$D$12)</f>
        <v>1805698.5657299999</v>
      </c>
      <c r="M44" s="388">
        <f ca="1">(((M23-(L23-K23))-K23)*(c_inicial+ci_int2))+(M23*c_on*12)+(M23*(ct_int2+ca_int2)*'Time on treatment'!$D$12)</f>
        <v>4052477.3599782302</v>
      </c>
      <c r="N44" s="388">
        <f ca="1">((N23-(M23-L23)-(L23-K23)-K23)*(c_inicial+ci_int2))+(N23*c_on*12)+(N23*(ct_int2+ca_int2)*'Time on treatment'!$D$12)</f>
        <v>5125255.3165624561</v>
      </c>
      <c r="O44" s="389">
        <f ca="1">((O23-(N23-M23)-(M23-L23)-(L23-K23)-K23)*(c_inicial+ci_int2))+(O23*c_on*12)+(O23*(ct_int2+ca_int2)*'Time on treatment'!$D$12)</f>
        <v>5572544.5929263765</v>
      </c>
      <c r="P44" s="77"/>
      <c r="Q44" s="77"/>
      <c r="R44" s="386"/>
      <c r="S44" s="388">
        <f ca="1">(S23*c_inicial)+(S23*c_on*12)+(S23*ci_int3)+(S23*(ct_int3+ca_int3)*'Time on treatment'!$D$12)</f>
        <v>0</v>
      </c>
      <c r="T44" s="388">
        <f ca="1">((T23-S23)*(c_inicial+ci_int3))+(T23*c_on*12)+(T23*(ct_int3+ca_int3)*'Time on treatment'!$D$12)</f>
        <v>0</v>
      </c>
      <c r="U44" s="388">
        <f ca="1">(((U23-(T23-S23))-S23)*(c_inicial+ci_int3))+(U23*c_on*12)+(U23*(ct_int3+ca_int3)*'Time on treatment'!$D$12)</f>
        <v>0</v>
      </c>
      <c r="V44" s="388">
        <f ca="1">((V23-(U23-T23)-(T23-S23)-S23)*(c_inicial+ci_int3))+(V23*c_on*12)+(V23*(ct_int3+ca_int3)*'Time on treatment'!$D$12)</f>
        <v>0</v>
      </c>
      <c r="W44" s="389">
        <f ca="1">((W23-(V23-U23)-(U23-T23)-(T23-S23)-S23)*(c_inicial+ci_int3))+(W23*c_on*12)+(W23*(ct_int3+ca_int3)*'Time on treatment'!$D$12)</f>
        <v>0</v>
      </c>
      <c r="X44" s="77"/>
      <c r="Y44" s="77"/>
      <c r="Z44" s="386"/>
      <c r="AA44" s="388">
        <f ca="1">(AA23*c_inicial)+(AA23*c_on*12)+(AA23*ci_int4)+(AA23*(ct_int4+ca_int4)*'Time on treatment'!$D$12)</f>
        <v>0</v>
      </c>
      <c r="AB44" s="388">
        <f ca="1">((AB23-AA23)*(c_inicial+ci_int4))+(AB23*c_on*12)+(AB23*(ct_int4+ca_int4)*'Time on treatment'!$D$12)</f>
        <v>0</v>
      </c>
      <c r="AC44" s="388">
        <f ca="1">(((AC23-(AB23-AA23))-AA23)*(c_inicial+ci_int4))+(AC23*c_on*12)+(AC23*(ct_int4+ca_int4)*'Time on treatment'!$D$12)</f>
        <v>0</v>
      </c>
      <c r="AD44" s="388">
        <f ca="1">((AD23-(AC23-AB23)-(AB23-AA23)-AA23)*(c_inicial+ci_int4))+(AD23*c_on*12)+(AD23*(ct_int4+ca_int4)*'Time on treatment'!$D$12)</f>
        <v>0</v>
      </c>
      <c r="AE44" s="389">
        <f ca="1">((AE23-(AD23-AC23)-(AC23-AB23)-(AB23-AA23)-AA23)*(c_inicial+ci_int4))+(AE23*c_on*12)+(AE23*(ct_int4+ca_int4)*'Time on treatment'!$D$12)</f>
        <v>0</v>
      </c>
      <c r="AF44" s="77"/>
      <c r="AG44" s="77"/>
      <c r="AH44" s="386"/>
      <c r="AI44" s="388">
        <f ca="1">(AI23*c_inicial)+(AI23*c_on*12)+(AI23*ci_comp1)+(AI23*(ct_comp1+ca_comp1)*'Time on treatment'!$D$12)</f>
        <v>8011206.2102599796</v>
      </c>
      <c r="AJ44" s="388">
        <f ca="1">((AJ23-AI23)*(c_inicial+ci_comp1))+(AJ23*c_on*12)+(AJ23*(ct_comp1+ca_comp1)*'Time on treatment'!$D$12)</f>
        <v>6572846.8018822512</v>
      </c>
      <c r="AK44" s="388">
        <f ca="1">(((AK23-(AJ23-AI23))-AI23)*(c_inicial+ci_comp1))+(AK23*c_on*12)+(AK23*(ct_comp1+ca_comp1)*'Time on treatment'!$D$12)</f>
        <v>5854311.829706355</v>
      </c>
      <c r="AL44" s="388">
        <f ca="1">((AL23-(AK23-AJ23)-(AJ23-AI23)-AI23)*(c_inicial+ci_comp1))+(AL23*c_on*12)+(AL23*(ct_comp1+ca_comp1)*'Time on treatment'!$D$12)</f>
        <v>5584601.9397387672</v>
      </c>
      <c r="AM44" s="389">
        <f ca="1">((AM23-(AL23-AK23)-(AK23-AJ23)-(AJ23-AI23)-AI23)*(c_inicial+ci_comp1))+(AM23*c_on*12)+(AM23*(ct_comp1+ca_comp1)*'Time on treatment'!$D$12)</f>
        <v>5511308.2724122498</v>
      </c>
      <c r="AN44" s="77"/>
      <c r="AO44" s="77"/>
      <c r="AP44" s="386"/>
      <c r="AQ44" s="388">
        <f ca="1">(AQ23*c_inicial)+(AQ23*c_on*12)+(AQ23*ci_comp2)+(AQ23*(ct_comp2+ca_comp2)*'Time on treatment'!$D$12)</f>
        <v>0</v>
      </c>
      <c r="AR44" s="388">
        <f ca="1">((AR23-AQ23)*(c_inicial+ci_comp2))+(AR23*c_on*12)+(AR23*(ct_comp2+ca_comp2)*'Time on treatment'!$D$12)</f>
        <v>0</v>
      </c>
      <c r="AS44" s="388">
        <f ca="1">(((AS23-(AR23-AQ23))-AQ23)*(c_inicial+ci_comp2))+(AS23*c_on*12)+(AS23*(ct_comp2+ca_comp2)*'Time on treatment'!$D$12)</f>
        <v>0</v>
      </c>
      <c r="AT44" s="388">
        <f ca="1">((AT23-(AS23-AR23)-(AR23-AQ23)-AQ23)*(c_inicial+ci_comp2))+(AT23*c_on*12)+(AT23*(ct_comp2+ca_comp2)*'Time on treatment'!$D$12)</f>
        <v>0</v>
      </c>
      <c r="AU44" s="389">
        <f ca="1">((AU23-(AT23-AS23)-(AS23-AR23)-(AR23-AQ23)-AQ23)*(c_inicial+ci_comp2))+(AU23*c_on*12)+(AU23*(ct_comp2+ca_comp2)*'Time on treatment'!$D$12)</f>
        <v>0</v>
      </c>
      <c r="AV44" s="77"/>
      <c r="AW44" s="77"/>
      <c r="AX44" s="386"/>
      <c r="AY44" s="388">
        <f ca="1">(AY23*c_inicial)+(AY23*c_on*12)+(AY23*ci_comp3)+(AY23*(ct_comp3+ca_comp3)*'Time on treatment'!$D$12)</f>
        <v>0</v>
      </c>
      <c r="AZ44" s="388">
        <f ca="1">((AZ23-AY23)*(c_inicial+ci_comp3))+(AZ23*c_on*12)+(AZ23*(ct_comp3+ca_comp3)*'Time on treatment'!$D$12)</f>
        <v>0</v>
      </c>
      <c r="BA44" s="388">
        <f ca="1">(((BA23-(AZ23-AY23))-AY23)*(c_inicial+ci_comp3))+(BA23*c_on*12)+(BA23*(ct_comp3+ca_comp3)*'Time on treatment'!$D$12)</f>
        <v>0</v>
      </c>
      <c r="BB44" s="388">
        <f ca="1">((BB23-(BA23-AZ23)-(AZ23-AY23)-AY23)*(c_inicial+ci_comp3))+(BB23*c_on*12)+(BB23*(ct_comp3+ca_comp3)*'Time on treatment'!$D$12)</f>
        <v>0</v>
      </c>
      <c r="BC44" s="389">
        <f ca="1">((BC23-(BB23-BA23)-(BA23-AZ23)-(AZ23-AY23)-AY23)*(c_inicial+ci_comp3))+(BC23*c_on*12)+(BC23*(ct_comp3+ca_comp3)*'Time on treatment'!$D$12)</f>
        <v>0</v>
      </c>
      <c r="BD44" s="77"/>
      <c r="BE44" s="77"/>
      <c r="BF44" s="386"/>
      <c r="BG44" s="388">
        <f ca="1">(BG23*c_inicial)+(BG23*c_on*12)+(BG23*ci_comp4)+(BG23*(ct_comp4+ca_comp4)*'Time on treatment'!$D$12)</f>
        <v>0</v>
      </c>
      <c r="BH44" s="388">
        <f ca="1">((BH23-BG23)*(c_inicial+ci_comp4))+(BH23*c_on*12)+(BH23*(ct_comp4+ca_comp4)*'Time on treatment'!$D$12)</f>
        <v>0</v>
      </c>
      <c r="BI44" s="388">
        <f ca="1">(((BI23-(BH23-BG23))-BG23)*(c_inicial+ci_comp4))+(BI23*c_on*12)+(BI23*(ct_comp4+ca_comp4)*'Time on treatment'!$D$12)</f>
        <v>0</v>
      </c>
      <c r="BJ44" s="388">
        <f ca="1">((BJ23-(BI23-BH23)-(BH23-BG23)-BG23)*(c_inicial+ci_comp4))+(BJ23*c_on*12)+(BJ23*(ct_comp4+ca_comp4)*'Time on treatment'!$D$12)</f>
        <v>0</v>
      </c>
      <c r="BK44" s="389">
        <f ca="1">((BK23-(BJ23-BI23)-(BI23-BH23)-(BH23-BG23)-BG23)*(c_inicial+ci_comp4))+(BK23*c_on*12)+(BK23*(ct_comp4+ca_comp4)*'Time on treatment'!$D$12)</f>
        <v>0</v>
      </c>
      <c r="BL44" s="77"/>
      <c r="BM44" s="77"/>
      <c r="BN44" s="386"/>
      <c r="BO44" s="388">
        <f ca="1">(BO23*c_inicial)+(BO23*c_on*12)+(BO23*ci_comp5)+(BO23*(ct_comp5+ca_comp5)*'Time on treatment'!$D$12)</f>
        <v>0</v>
      </c>
      <c r="BP44" s="388">
        <f ca="1">((BP23-BO23)*(c_inicial+ci_comp5))+(BP23*c_on*12)+(BP23*(ct_comp5+ca_comp5)*'Time on treatment'!$D$12)</f>
        <v>0</v>
      </c>
      <c r="BQ44" s="388">
        <f ca="1">(((BQ23-(BP23-BO23))-BO23)*(c_inicial+ci_comp5))+(BQ23*c_on*12)+(BQ23*(ct_comp5+ca_comp5)*'Time on treatment'!$D$12)</f>
        <v>0</v>
      </c>
      <c r="BR44" s="388">
        <f ca="1">((BR23-(BQ23-BP23)-(BP23-BO23)-BO23)*(c_inicial+ci_comp5))+(BR23*c_on*12)+(BR23*(ct_comp5+ca_comp5)*'Time on treatment'!$D$12)</f>
        <v>0</v>
      </c>
      <c r="BS44" s="389">
        <f ca="1">((BS23-(BR23-BQ23)-(BQ23-BP23)-(BP23-BO23)-BO23)*(c_inicial+ci_comp5))+(BS23*c_on*12)+(BS23*(ct_comp5+ca_comp5)*'Time on treatment'!$D$12)</f>
        <v>0</v>
      </c>
      <c r="BT44" s="77"/>
      <c r="BU44" s="77"/>
      <c r="BV44" s="386"/>
      <c r="BW44" s="388">
        <f ca="1">(BW23*c_inicial)+(BW23*c_on*12)+(BW23*ci_comp6)+(BW23*(ct_comp6+ca_comp6)*'Time on treatment'!$D$12)</f>
        <v>0</v>
      </c>
      <c r="BX44" s="388">
        <f ca="1">((BX23-BW23)*(c_inicial+ci_comp6))+(BX23*c_on*12)+(BX23*(ct_comp6+ca_comp6)*'Time on treatment'!$D$12)</f>
        <v>0</v>
      </c>
      <c r="BY44" s="388">
        <f ca="1">(((BY23-(BX23-BW23))-BW23)*(c_inicial+ci_comp6))+(BY23*c_on*12)+(BY23*(ct_comp6+ca_comp6)*'Time on treatment'!$D$12)</f>
        <v>0</v>
      </c>
      <c r="BZ44" s="388">
        <f ca="1">((BZ23-(BY23-BX23)-(BX23-BW23)-BW23)*(c_inicial+ci_comp6))+(BZ23*c_on*12)+(BZ23*(ct_comp6+ca_comp6)*'Time on treatment'!$D$12)</f>
        <v>0</v>
      </c>
      <c r="CA44" s="389">
        <f ca="1">((CA23-(BZ23-BY23)-(BY23-BX23)-(BX23-BW23)-BW23)*(c_inicial+ci_comp6))+(CA23*c_on*12)+(CA23*(ct_comp6+ca_comp6)*'Time on treatment'!$D$12)</f>
        <v>0</v>
      </c>
      <c r="CB44" s="77"/>
      <c r="CC44" s="77"/>
      <c r="CD44" s="386"/>
      <c r="CE44" s="388">
        <f ca="1">(CE23*c_inicial)+(CE23*c_on*12)+(CE23*ci_comp7)+(CE23*(ct_comp7+ca_comp7)*'Time on treatment'!$D$12)</f>
        <v>0</v>
      </c>
      <c r="CF44" s="388">
        <f ca="1">((CF23-CE23)*(c_inicial+ci_comp7))+(CF23*c_on*12)+(CF23*(ct_comp7+ca_comp7)*'Time on treatment'!$D$12)</f>
        <v>0</v>
      </c>
      <c r="CG44" s="388">
        <f ca="1">(((CG23-(CF23-CE23))-CE23)*(c_inicial+ci_comp7))+(CG23*c_on*12)+(CG23*(ct_comp7+ca_comp7)*'Time on treatment'!$D$12)</f>
        <v>0</v>
      </c>
      <c r="CH44" s="388">
        <f ca="1">((CH23-(CG23-CF23)-(CF23-CE23)-CE23)*(c_inicial+ci_comp7))+(CH23*c_on*12)+(CH23*(ct_comp7+ca_comp7)*'Time on treatment'!$D$12)</f>
        <v>0</v>
      </c>
      <c r="CI44" s="389">
        <f ca="1">((CI23-(CH23-CG23)-(CG23-CF23)-(CF23-CE23)-CE23)*(c_inicial+ci_comp7))+(CI23*c_on*12)+(CI23*(ct_comp7+ca_comp7)*'Time on treatment'!$D$12)</f>
        <v>0</v>
      </c>
      <c r="CJ44" s="77"/>
      <c r="CK44" s="77"/>
      <c r="CL44" s="386"/>
      <c r="CM44" s="388">
        <f ca="1">(CM23*c_inicial)+(CM23*c_on*12)+(CM23*ci_comp8)+(CM23*(ct_comp8+ca_comp8)*'Time on treatment'!$D$12)</f>
        <v>0</v>
      </c>
      <c r="CN44" s="388">
        <f ca="1">((CN23-CM23)*(c_inicial+ci_comp8))+(CN23*c_on*12)+(CN23*(ct_comp8+ca_comp8)*'Time on treatment'!$D$12)</f>
        <v>0</v>
      </c>
      <c r="CO44" s="388">
        <f ca="1">(((CO23-(CN23-CM23))-CM23)*(c_inicial+ci_comp8))+(CO23*c_on*12)+(CO23*(ct_comp8+ca_comp8)*'Time on treatment'!$D$12)</f>
        <v>0</v>
      </c>
      <c r="CP44" s="388">
        <f ca="1">((CP23-(CO23-CN23)-(CN23-CM23)-CM23)*(c_inicial+ci_comp8))+(CP23*c_on*12)+(CP23*(ct_comp8+ca_comp8)*'Time on treatment'!$D$12)</f>
        <v>0</v>
      </c>
      <c r="CQ44" s="389">
        <f ca="1">((CQ23-(CP23-CO23)-(CO23-CN23)-(CN23-CM23)-CM23)*(c_inicial+ci_comp8))+(CQ23*c_on*12)+(CQ23*(ct_comp8+ca_comp8)*'Time on treatment'!$D$12)</f>
        <v>0</v>
      </c>
      <c r="CR44" s="77"/>
      <c r="CS44" s="77"/>
      <c r="CT44" s="386"/>
      <c r="CU44" s="388">
        <f ca="1">(CU23*c_inicial)+(CU23*c_on*12)+(CU23*ci_comp9)+(CU23*(ct_comp9+ca_comp9)*'Time on treatment'!$D$12)</f>
        <v>0</v>
      </c>
      <c r="CV44" s="388">
        <f ca="1">((CV23-CU23)*(c_inicial+ci_comp9))+(CV23*c_on*12)+(CV23*(ct_comp9+ca_comp9)*'Time on treatment'!$D$12)</f>
        <v>0</v>
      </c>
      <c r="CW44" s="388">
        <f ca="1">(((CW23-(CV23-CU23))-CU23)*(c_inicial+ci_comp9))+(CW23*c_on*12)+(CW23*(ct_comp9+ca_comp9)*'Time on treatment'!$D$12)</f>
        <v>0</v>
      </c>
      <c r="CX44" s="388">
        <f ca="1">((CX23-(CW23-CV23)-(CV23-CU23)-CU23)*(c_inicial+ci_comp9))+(CX23*c_on*12)+(CX23*(ct_comp9+ca_comp9)*'Time on treatment'!$D$12)</f>
        <v>0</v>
      </c>
      <c r="CY44" s="389">
        <f ca="1">((CY23-(CX23-CW23)-(CW23-CV23)-(CV23-CU23)-CU23)*(c_inicial+ci_comp9))+(CY23*c_on*12)+(CY23*(ct_comp9+ca_comp9)*'Time on treatment'!$D$12)</f>
        <v>0</v>
      </c>
      <c r="CZ44" s="77"/>
      <c r="DA44" s="77"/>
      <c r="DB44" s="386"/>
      <c r="DC44" s="388">
        <f ca="1">(DC23*c_inicial)+(DC23*c_on*12)+(DC23*ci_comp10)+(DC23*(ct_comp10+ca_comp10)*'Time on treatment'!$D$12)</f>
        <v>0</v>
      </c>
      <c r="DD44" s="388">
        <f ca="1">((DD23-DC23)*(c_inicial+ci_comp10))+(DD23*c_on*12)+(DD23*(ct_comp10+ca_comp10)*'Time on treatment'!$D$12)</f>
        <v>0</v>
      </c>
      <c r="DE44" s="388">
        <f ca="1">(((DE23-(DD23-DC23))-DC23)*(c_inicial+ci_comp10))+(DE23*c_on*12)+(DE23*(ct_comp10+ca_comp10)*'Time on treatment'!$D$12)</f>
        <v>0</v>
      </c>
      <c r="DF44" s="388">
        <f ca="1">((DF23-(DE23-DD23)-(DD23-DC23)-DC23)*(c_inicial+ci_comp10))+(DF23*c_on*12)+(DF23*(ct_comp10+ca_comp10)*'Time on treatment'!$D$12)</f>
        <v>0</v>
      </c>
      <c r="DG44" s="389">
        <f ca="1">((DG23-(DF23-DE23)-(DE23-DD23)-(DD23-DC23)-DC23)*(c_inicial+ci_comp10))+(DG23*c_on*12)+(DG23*(ct_comp10+ca_comp10)*'Time on treatment'!$D$12)</f>
        <v>0</v>
      </c>
      <c r="DH44" s="77"/>
      <c r="DI44" s="77"/>
    </row>
    <row r="45" spans="2:113" ht="15" thickBot="1">
      <c r="B45" s="83"/>
      <c r="C45" s="83"/>
      <c r="D45" s="83"/>
      <c r="E45" s="83"/>
      <c r="F45" s="83"/>
      <c r="G45" s="83"/>
      <c r="J45" s="83"/>
      <c r="K45" s="83"/>
      <c r="L45" s="83"/>
      <c r="M45" s="83"/>
      <c r="N45" s="83"/>
      <c r="O45" s="83"/>
      <c r="R45" s="83"/>
      <c r="S45" s="83"/>
      <c r="T45" s="83"/>
      <c r="U45" s="83"/>
      <c r="V45" s="83"/>
      <c r="W45" s="83"/>
      <c r="Z45" s="83"/>
      <c r="AA45" s="83"/>
      <c r="AB45" s="83"/>
      <c r="AC45" s="83"/>
      <c r="AD45" s="83"/>
      <c r="AE45" s="83"/>
      <c r="AH45" s="83"/>
      <c r="AI45" s="83"/>
      <c r="AJ45" s="83"/>
      <c r="AK45" s="83"/>
      <c r="AL45" s="83"/>
      <c r="AM45" s="83"/>
      <c r="AP45" s="83"/>
      <c r="AQ45" s="83"/>
      <c r="AR45" s="83"/>
      <c r="AS45" s="83"/>
      <c r="AT45" s="83"/>
      <c r="AU45" s="83"/>
      <c r="AX45" s="83"/>
      <c r="AY45" s="83"/>
      <c r="AZ45" s="83"/>
      <c r="BA45" s="83"/>
      <c r="BB45" s="83"/>
      <c r="BC45" s="83"/>
      <c r="BF45" s="83"/>
      <c r="BG45" s="83"/>
      <c r="BH45" s="83"/>
      <c r="BI45" s="83"/>
      <c r="BJ45" s="83"/>
      <c r="BK45" s="83"/>
      <c r="BN45" s="83"/>
      <c r="BO45" s="83"/>
      <c r="BP45" s="83"/>
      <c r="BQ45" s="83"/>
      <c r="BR45" s="83"/>
      <c r="BS45" s="83"/>
      <c r="BV45" s="83"/>
      <c r="BW45" s="83"/>
      <c r="BX45" s="83"/>
      <c r="BY45" s="83"/>
      <c r="BZ45" s="83"/>
      <c r="CA45" s="83"/>
      <c r="CD45" s="83"/>
      <c r="CE45" s="83"/>
      <c r="CF45" s="83"/>
      <c r="CG45" s="83"/>
      <c r="CH45" s="83"/>
      <c r="CI45" s="83"/>
      <c r="CL45" s="83"/>
      <c r="CM45" s="83"/>
      <c r="CN45" s="83"/>
      <c r="CO45" s="83"/>
      <c r="CP45" s="83"/>
      <c r="CQ45" s="83"/>
      <c r="CT45" s="83"/>
      <c r="CU45" s="83"/>
      <c r="CV45" s="83"/>
      <c r="CW45" s="83"/>
      <c r="CX45" s="83"/>
      <c r="CY45" s="83"/>
      <c r="DB45" s="83"/>
      <c r="DC45" s="83"/>
      <c r="DD45" s="83"/>
      <c r="DE45" s="83"/>
      <c r="DF45" s="83"/>
      <c r="DG45" s="83"/>
    </row>
    <row r="46" spans="2:113" ht="15" thickBot="1">
      <c r="B46" s="508" t="str">
        <f>B25</f>
        <v>Both drugs</v>
      </c>
      <c r="C46" s="506"/>
      <c r="D46" s="506"/>
      <c r="E46" s="506"/>
      <c r="F46" s="506"/>
      <c r="G46" s="507"/>
      <c r="J46" s="508" t="str">
        <f>J25</f>
        <v>Both drugs</v>
      </c>
      <c r="K46" s="506"/>
      <c r="L46" s="506"/>
      <c r="M46" s="506"/>
      <c r="N46" s="506"/>
      <c r="O46" s="507"/>
      <c r="R46" s="508" t="str">
        <f>R25</f>
        <v>Both drugs</v>
      </c>
      <c r="S46" s="506"/>
      <c r="T46" s="506"/>
      <c r="U46" s="506"/>
      <c r="V46" s="506"/>
      <c r="W46" s="507"/>
      <c r="Z46" s="508" t="str">
        <f>Z25</f>
        <v>Both drugs</v>
      </c>
      <c r="AA46" s="506"/>
      <c r="AB46" s="506"/>
      <c r="AC46" s="506"/>
      <c r="AD46" s="506"/>
      <c r="AE46" s="507"/>
      <c r="AH46" s="508" t="str">
        <f>AH25</f>
        <v>Both drugs</v>
      </c>
      <c r="AI46" s="506"/>
      <c r="AJ46" s="506"/>
      <c r="AK46" s="506"/>
      <c r="AL46" s="506"/>
      <c r="AM46" s="507"/>
      <c r="AP46" s="508" t="str">
        <f>AP25</f>
        <v>Both drugs</v>
      </c>
      <c r="AQ46" s="506"/>
      <c r="AR46" s="506"/>
      <c r="AS46" s="506"/>
      <c r="AT46" s="506"/>
      <c r="AU46" s="507"/>
      <c r="AX46" s="508" t="str">
        <f>AX25</f>
        <v>Both drugs</v>
      </c>
      <c r="AY46" s="506"/>
      <c r="AZ46" s="506"/>
      <c r="BA46" s="506"/>
      <c r="BB46" s="506"/>
      <c r="BC46" s="507"/>
      <c r="BF46" s="508" t="str">
        <f>BF25</f>
        <v>Both drugs</v>
      </c>
      <c r="BG46" s="506"/>
      <c r="BH46" s="506"/>
      <c r="BI46" s="506"/>
      <c r="BJ46" s="506"/>
      <c r="BK46" s="507"/>
      <c r="BN46" s="508" t="str">
        <f>BN25</f>
        <v>Both drugs</v>
      </c>
      <c r="BO46" s="506"/>
      <c r="BP46" s="506"/>
      <c r="BQ46" s="506"/>
      <c r="BR46" s="506"/>
      <c r="BS46" s="507"/>
      <c r="BV46" s="508" t="str">
        <f>BV25</f>
        <v>Both drugs</v>
      </c>
      <c r="BW46" s="506"/>
      <c r="BX46" s="506"/>
      <c r="BY46" s="506"/>
      <c r="BZ46" s="506"/>
      <c r="CA46" s="507"/>
      <c r="CD46" s="508" t="str">
        <f>CD25</f>
        <v>Both drugs</v>
      </c>
      <c r="CE46" s="506"/>
      <c r="CF46" s="506"/>
      <c r="CG46" s="506"/>
      <c r="CH46" s="506"/>
      <c r="CI46" s="507"/>
      <c r="CL46" s="508" t="str">
        <f>CL25</f>
        <v>Both drugs</v>
      </c>
      <c r="CM46" s="506"/>
      <c r="CN46" s="506"/>
      <c r="CO46" s="506"/>
      <c r="CP46" s="506"/>
      <c r="CQ46" s="507"/>
      <c r="CT46" s="508" t="str">
        <f>CT25</f>
        <v>Both drugs</v>
      </c>
      <c r="CU46" s="506"/>
      <c r="CV46" s="506"/>
      <c r="CW46" s="506"/>
      <c r="CX46" s="506"/>
      <c r="CY46" s="507"/>
      <c r="DB46" s="508" t="str">
        <f>DB25</f>
        <v>Both drugs</v>
      </c>
      <c r="DC46" s="506"/>
      <c r="DD46" s="506"/>
      <c r="DE46" s="506"/>
      <c r="DF46" s="506"/>
      <c r="DG46" s="507"/>
    </row>
    <row r="47" spans="2:113">
      <c r="B47" s="84"/>
      <c r="C47" s="101">
        <f>C26</f>
        <v>2026</v>
      </c>
      <c r="D47" s="101">
        <f>D26</f>
        <v>2027</v>
      </c>
      <c r="E47" s="101">
        <f>E26</f>
        <v>2028</v>
      </c>
      <c r="F47" s="101">
        <f>F26</f>
        <v>2029</v>
      </c>
      <c r="G47" s="102">
        <f>G26</f>
        <v>2030</v>
      </c>
      <c r="J47" s="84"/>
      <c r="K47" s="101">
        <f>K26</f>
        <v>2026</v>
      </c>
      <c r="L47" s="101">
        <f>L26</f>
        <v>2027</v>
      </c>
      <c r="M47" s="101">
        <f>M26</f>
        <v>2028</v>
      </c>
      <c r="N47" s="101">
        <f>N26</f>
        <v>2029</v>
      </c>
      <c r="O47" s="102">
        <f>O26</f>
        <v>2030</v>
      </c>
      <c r="R47" s="84"/>
      <c r="S47" s="101">
        <f>S26</f>
        <v>2026</v>
      </c>
      <c r="T47" s="101">
        <f>T26</f>
        <v>2027</v>
      </c>
      <c r="U47" s="101">
        <f>U26</f>
        <v>2028</v>
      </c>
      <c r="V47" s="101">
        <f>V26</f>
        <v>2029</v>
      </c>
      <c r="W47" s="102">
        <f>W26</f>
        <v>2030</v>
      </c>
      <c r="Z47" s="84"/>
      <c r="AA47" s="101">
        <f>AA26</f>
        <v>2026</v>
      </c>
      <c r="AB47" s="101">
        <f>AB26</f>
        <v>2027</v>
      </c>
      <c r="AC47" s="101">
        <f>AC26</f>
        <v>2028</v>
      </c>
      <c r="AD47" s="101">
        <f>AD26</f>
        <v>2029</v>
      </c>
      <c r="AE47" s="102">
        <f>AE26</f>
        <v>2030</v>
      </c>
      <c r="AH47" s="84"/>
      <c r="AI47" s="101">
        <f>AI26</f>
        <v>2026</v>
      </c>
      <c r="AJ47" s="101">
        <f>AJ26</f>
        <v>2027</v>
      </c>
      <c r="AK47" s="101">
        <f>AK26</f>
        <v>2028</v>
      </c>
      <c r="AL47" s="101">
        <f>AL26</f>
        <v>2029</v>
      </c>
      <c r="AM47" s="102">
        <f>AM26</f>
        <v>2030</v>
      </c>
      <c r="AP47" s="84"/>
      <c r="AQ47" s="101">
        <f>AQ26</f>
        <v>2026</v>
      </c>
      <c r="AR47" s="101">
        <f>AR26</f>
        <v>2027</v>
      </c>
      <c r="AS47" s="101">
        <f>AS26</f>
        <v>2028</v>
      </c>
      <c r="AT47" s="101">
        <f>AT26</f>
        <v>2029</v>
      </c>
      <c r="AU47" s="102">
        <f>AU26</f>
        <v>2030</v>
      </c>
      <c r="AX47" s="84"/>
      <c r="AY47" s="101">
        <f>AY26</f>
        <v>2026</v>
      </c>
      <c r="AZ47" s="101">
        <f>AZ26</f>
        <v>2027</v>
      </c>
      <c r="BA47" s="101">
        <f>BA26</f>
        <v>2028</v>
      </c>
      <c r="BB47" s="101">
        <f>BB26</f>
        <v>2029</v>
      </c>
      <c r="BC47" s="102">
        <f>BC26</f>
        <v>2030</v>
      </c>
      <c r="BF47" s="84"/>
      <c r="BG47" s="101">
        <f>BG26</f>
        <v>2026</v>
      </c>
      <c r="BH47" s="101">
        <f>BH26</f>
        <v>2027</v>
      </c>
      <c r="BI47" s="101">
        <f>BI26</f>
        <v>2028</v>
      </c>
      <c r="BJ47" s="101">
        <f>BJ26</f>
        <v>2029</v>
      </c>
      <c r="BK47" s="102">
        <f>BK26</f>
        <v>2030</v>
      </c>
      <c r="BN47" s="84"/>
      <c r="BO47" s="101">
        <f>BO26</f>
        <v>2026</v>
      </c>
      <c r="BP47" s="101">
        <f>BP26</f>
        <v>2027</v>
      </c>
      <c r="BQ47" s="101">
        <f>BQ26</f>
        <v>2028</v>
      </c>
      <c r="BR47" s="101">
        <f>BR26</f>
        <v>2029</v>
      </c>
      <c r="BS47" s="102">
        <f>BS26</f>
        <v>2030</v>
      </c>
      <c r="BV47" s="84"/>
      <c r="BW47" s="101">
        <f>BW26</f>
        <v>2026</v>
      </c>
      <c r="BX47" s="101">
        <f>BX26</f>
        <v>2027</v>
      </c>
      <c r="BY47" s="101">
        <f>BY26</f>
        <v>2028</v>
      </c>
      <c r="BZ47" s="101">
        <f>BZ26</f>
        <v>2029</v>
      </c>
      <c r="CA47" s="102">
        <f>CA26</f>
        <v>2030</v>
      </c>
      <c r="CD47" s="84"/>
      <c r="CE47" s="101">
        <f>CE26</f>
        <v>2026</v>
      </c>
      <c r="CF47" s="101">
        <f>CF26</f>
        <v>2027</v>
      </c>
      <c r="CG47" s="101">
        <f>CG26</f>
        <v>2028</v>
      </c>
      <c r="CH47" s="101">
        <f>CH26</f>
        <v>2029</v>
      </c>
      <c r="CI47" s="102">
        <f>CI26</f>
        <v>2030</v>
      </c>
      <c r="CL47" s="84"/>
      <c r="CM47" s="101">
        <f>CM26</f>
        <v>2026</v>
      </c>
      <c r="CN47" s="101">
        <f>CN26</f>
        <v>2027</v>
      </c>
      <c r="CO47" s="101">
        <f>CO26</f>
        <v>2028</v>
      </c>
      <c r="CP47" s="101">
        <f>CP26</f>
        <v>2029</v>
      </c>
      <c r="CQ47" s="102">
        <f>CQ26</f>
        <v>2030</v>
      </c>
      <c r="CT47" s="84"/>
      <c r="CU47" s="101">
        <f>CU26</f>
        <v>2026</v>
      </c>
      <c r="CV47" s="101">
        <f>CV26</f>
        <v>2027</v>
      </c>
      <c r="CW47" s="101">
        <f>CW26</f>
        <v>2028</v>
      </c>
      <c r="CX47" s="101">
        <f>CX26</f>
        <v>2029</v>
      </c>
      <c r="CY47" s="102">
        <f>CY26</f>
        <v>2030</v>
      </c>
      <c r="DB47" s="84"/>
      <c r="DC47" s="101">
        <f>DC26</f>
        <v>2026</v>
      </c>
      <c r="DD47" s="101">
        <f>DD26</f>
        <v>2027</v>
      </c>
      <c r="DE47" s="101">
        <f>DE26</f>
        <v>2028</v>
      </c>
      <c r="DF47" s="101">
        <f>DF26</f>
        <v>2029</v>
      </c>
      <c r="DG47" s="102">
        <f>DG26</f>
        <v>2030</v>
      </c>
    </row>
    <row r="48" spans="2:113" s="83" customFormat="1" ht="15" thickBot="1">
      <c r="B48" s="386"/>
      <c r="C48" s="388">
        <f ca="1">(C27*c_inicial)+(C27*c_on*12)+(C27*ci_int1)+(C27*(ct_int1+ca_int1)*'Time on treatment'!$D$12)</f>
        <v>940152.17399625003</v>
      </c>
      <c r="D48" s="388">
        <f ca="1">((D27-C27)*(c_inicial+ci_int1))+(D27*c_on*12)+(D27*(ct_int1+ca_int1)*'Time on treatment'!$D$12)</f>
        <v>3127626.509416875</v>
      </c>
      <c r="E48" s="388">
        <f ca="1">(((E27-(D27-C27))-C27)*(c_inicial+ci_int1))+(E27*c_on*12)+(E27*(ct_int1+ca_int1)*'Time on treatment'!$D$12)</f>
        <v>6261153.2202749997</v>
      </c>
      <c r="F48" s="388">
        <f ca="1">((F27-(E27-D27)-(D27-C27)-C27)*(c_inicial+ci_int1))+(F27*c_on*12)+(F27*(ct_int1+ca_int1)*'Time on treatment'!$D$12)</f>
        <v>9410411.0464406256</v>
      </c>
      <c r="G48" s="389">
        <f ca="1">((G27-(F27-E27)-(E27-D27)-(D27-C27)-C27)*(c_inicial+ci_int1))+(G27*c_on*12)+(G27*(ct_int1+ca_int1)*'Time on treatment'!$D$12)</f>
        <v>9377123.7723750006</v>
      </c>
      <c r="H48" s="77"/>
      <c r="I48" s="77"/>
      <c r="J48" s="386"/>
      <c r="K48" s="388">
        <f ca="1">(K27*c_inicial)+(K27*c_on*12)+(K27*ci_int2)+(K27*(ct_int2+ca_int2)*'Time on treatment'!$D$12)</f>
        <v>453684.21703548008</v>
      </c>
      <c r="L48" s="388">
        <f ca="1">((L27-K27)*(c_inicial+ci_int2))+(L27*c_on*12)+(L27*(ct_int2+ca_int2)*'Time on treatment'!$D$12)</f>
        <v>1805698.5657299999</v>
      </c>
      <c r="M48" s="388">
        <f ca="1">(((M27-(L27-K27))-K27)*(c_inicial+ci_int2))+(M27*c_on*12)+(M27*(ct_int2+ca_int2)*'Time on treatment'!$D$12)</f>
        <v>4052477.3599782302</v>
      </c>
      <c r="N48" s="388">
        <f ca="1">((N27-(M27-L27)-(L27-K27)-K27)*(c_inicial+ci_int2))+(N27*c_on*12)+(N27*(ct_int2+ca_int2)*'Time on treatment'!$D$12)</f>
        <v>5125255.3165624561</v>
      </c>
      <c r="O48" s="389">
        <f ca="1">((O27-(N27-M27)-(M27-L27)-(L27-K27)-K27)*(c_inicial+ci_int2))+(O27*c_on*12)+(O27*(ct_int2+ca_int2)*'Time on treatment'!$D$12)</f>
        <v>5572544.5929263765</v>
      </c>
      <c r="P48" s="77"/>
      <c r="Q48" s="77"/>
      <c r="R48" s="386"/>
      <c r="S48" s="388">
        <f ca="1">(S27*c_inicial)+(S27*c_on*12)+(S27*ci_int3)+(S27*(ct_int3+ca_int3)*'Time on treatment'!$D$12)</f>
        <v>0</v>
      </c>
      <c r="T48" s="388">
        <f ca="1">((T27-S27)*(c_inicial+ci_int3))+(T27*c_on*12)+(T27*(ct_int3+ca_int3)*'Time on treatment'!$D$12)</f>
        <v>0</v>
      </c>
      <c r="U48" s="388">
        <f ca="1">(((U27-(T27-S27))-S27)*(c_inicial+ci_int3))+(U27*c_on*12)+(U27*(ct_int3+ca_int3)*'Time on treatment'!$D$12)</f>
        <v>0</v>
      </c>
      <c r="V48" s="388">
        <f ca="1">((V27-(U27-T27)-(T27-S27)-S27)*(c_inicial+ci_int3))+(V27*c_on*12)+(V27*(ct_int3+ca_int3)*'Time on treatment'!$D$12)</f>
        <v>0</v>
      </c>
      <c r="W48" s="389">
        <f ca="1">((W27-(V27-U27)-(U27-T27)-(T27-S27)-S27)*(c_inicial+ci_int3))+(W27*c_on*12)+(W27*(ct_int3+ca_int3)*'Time on treatment'!$D$12)</f>
        <v>0</v>
      </c>
      <c r="X48" s="77"/>
      <c r="Y48" s="77"/>
      <c r="Z48" s="386"/>
      <c r="AA48" s="388">
        <f ca="1">(AA27*c_inicial)+(AA27*c_on*12)+(AA27*ci_int4)+(AA27*(ct_int4+ca_int4)*'Time on treatment'!$D$12)</f>
        <v>0</v>
      </c>
      <c r="AB48" s="388">
        <f ca="1">((AB27-AA27)*(c_inicial+ci_int4))+(AB27*c_on*12)+(AB27*(ct_int4+ca_int4)*'Time on treatment'!$D$12)</f>
        <v>0</v>
      </c>
      <c r="AC48" s="388">
        <f ca="1">(((AC27-(AB27-AA27))-AA27)*(c_inicial+ci_int4))+(AC27*c_on*12)+(AC27*(ct_int4+ca_int4)*'Time on treatment'!$D$12)</f>
        <v>0</v>
      </c>
      <c r="AD48" s="388">
        <f ca="1">((AD27-(AC27-AB27)-(AB27-AA27)-AA27)*(c_inicial+ci_int4))+(AD27*c_on*12)+(AD27*(ct_int4+ca_int4)*'Time on treatment'!$D$12)</f>
        <v>0</v>
      </c>
      <c r="AE48" s="389">
        <f ca="1">((AE27-(AD27-AC27)-(AC27-AB27)-(AB27-AA27)-AA27)*(c_inicial+ci_int4))+(AE27*c_on*12)+(AE27*(ct_int4+ca_int4)*'Time on treatment'!$D$12)</f>
        <v>0</v>
      </c>
      <c r="AF48" s="77"/>
      <c r="AG48" s="77"/>
      <c r="AH48" s="386"/>
      <c r="AI48" s="388">
        <f ca="1">(AI27*c_inicial)+(AI27*c_on*12)+(AI27*ci_comp1)+(AI27*(ct_comp1+ca_comp1)*'Time on treatment'!$D$12)</f>
        <v>7765965.20382345</v>
      </c>
      <c r="AJ48" s="388">
        <f ca="1">((AJ27-AI27)*(c_inicial+ci_comp1))+(AJ27*c_on*12)+(AJ27*(ct_comp1+ca_comp1)*'Time on treatment'!$D$12)</f>
        <v>5779781.7087228755</v>
      </c>
      <c r="AK48" s="388">
        <f ca="1">(((AK27-(AJ27-AI27))-AI27)*(c_inicial+ci_comp1))+(AK27*c_on*12)+(AK27*(ct_comp1+ca_comp1)*'Time on treatment'!$D$12)</f>
        <v>4297617.6131735556</v>
      </c>
      <c r="AL48" s="388">
        <f ca="1">((AL27-(AK27-AJ27)-(AJ27-AI27)-AI27)*(c_inicial+ci_comp1))+(AL27*c_on*12)+(AL27*(ct_comp1+ca_comp1)*'Time on treatment'!$D$12)</f>
        <v>3284117.6354194419</v>
      </c>
      <c r="AM48" s="389">
        <f ca="1">((AM27-(AL27-AK27)-(AK27-AJ27)-(AJ27-AI27)-AI27)*(c_inicial+ci_comp1))+(AM27*c_on*12)+(AM27*(ct_comp1+ca_comp1)*'Time on treatment'!$D$12)</f>
        <v>3298374.8300878508</v>
      </c>
      <c r="AN48" s="77"/>
      <c r="AO48" s="77"/>
      <c r="AP48" s="386"/>
      <c r="AQ48" s="388">
        <f ca="1">(AQ27*c_inicial)+(AQ27*c_on*12)+(AQ27*ci_comp2)+(AQ27*(ct_comp2+ca_comp2)*'Time on treatment'!$D$12)</f>
        <v>0</v>
      </c>
      <c r="AR48" s="388">
        <f ca="1">((AR27-AQ27)*(c_inicial+ci_comp2))+(AR27*c_on*12)+(AR27*(ct_comp2+ca_comp2)*'Time on treatment'!$D$12)</f>
        <v>0</v>
      </c>
      <c r="AS48" s="388">
        <f ca="1">(((AS27-(AR27-AQ27))-AQ27)*(c_inicial+ci_comp2))+(AS27*c_on*12)+(AS27*(ct_comp2+ca_comp2)*'Time on treatment'!$D$12)</f>
        <v>0</v>
      </c>
      <c r="AT48" s="388">
        <f ca="1">((AT27-(AS27-AR27)-(AR27-AQ27)-AQ27)*(c_inicial+ci_comp2))+(AT27*c_on*12)+(AT27*(ct_comp2+ca_comp2)*'Time on treatment'!$D$12)</f>
        <v>0</v>
      </c>
      <c r="AU48" s="389">
        <f ca="1">((AU27-(AT27-AS27)-(AS27-AR27)-(AR27-AQ27)-AQ27)*(c_inicial+ci_comp2))+(AU27*c_on*12)+(AU27*(ct_comp2+ca_comp2)*'Time on treatment'!$D$12)</f>
        <v>0</v>
      </c>
      <c r="AV48" s="77"/>
      <c r="AW48" s="77"/>
      <c r="AX48" s="386"/>
      <c r="AY48" s="388">
        <f ca="1">(AY27*c_inicial)+(AY27*c_on*12)+(AY27*ci_comp3)+(AY27*(ct_comp3+ca_comp3)*'Time on treatment'!$D$12)</f>
        <v>0</v>
      </c>
      <c r="AZ48" s="388">
        <f ca="1">((AZ27-AY27)*(c_inicial+ci_comp3))+(AZ27*c_on*12)+(AZ27*(ct_comp3+ca_comp3)*'Time on treatment'!$D$12)</f>
        <v>0</v>
      </c>
      <c r="BA48" s="388">
        <f ca="1">(((BA27-(AZ27-AY27))-AY27)*(c_inicial+ci_comp3))+(BA27*c_on*12)+(BA27*(ct_comp3+ca_comp3)*'Time on treatment'!$D$12)</f>
        <v>0</v>
      </c>
      <c r="BB48" s="388">
        <f ca="1">((BB27-(BA27-AZ27)-(AZ27-AY27)-AY27)*(c_inicial+ci_comp3))+(BB27*c_on*12)+(BB27*(ct_comp3+ca_comp3)*'Time on treatment'!$D$12)</f>
        <v>0</v>
      </c>
      <c r="BC48" s="389">
        <f ca="1">((BC27-(BB27-BA27)-(BA27-AZ27)-(AZ27-AY27)-AY27)*(c_inicial+ci_comp3))+(BC27*c_on*12)+(BC27*(ct_comp3+ca_comp3)*'Time on treatment'!$D$12)</f>
        <v>0</v>
      </c>
      <c r="BD48" s="77"/>
      <c r="BE48" s="77"/>
      <c r="BF48" s="386"/>
      <c r="BG48" s="388">
        <f ca="1">(BG27*c_inicial)+(BG27*c_on*12)+(BG27*ci_comp4)+(BG27*(ct_comp4+ca_comp4)*'Time on treatment'!$D$12)</f>
        <v>0</v>
      </c>
      <c r="BH48" s="388">
        <f ca="1">((BH27-BG27)*(c_inicial+ci_comp4))+(BH27*c_on*12)+(BH27*(ct_comp4+ca_comp4)*'Time on treatment'!$D$12)</f>
        <v>0</v>
      </c>
      <c r="BI48" s="388">
        <f ca="1">(((BI27-(BH27-BG27))-BG27)*(c_inicial+ci_comp4))+(BI27*c_on*12)+(BI27*(ct_comp4+ca_comp4)*'Time on treatment'!$D$12)</f>
        <v>0</v>
      </c>
      <c r="BJ48" s="388">
        <f ca="1">((BJ27-(BI27-BH27)-(BH27-BG27)-BG27)*(c_inicial+ci_comp4))+(BJ27*c_on*12)+(BJ27*(ct_comp4+ca_comp4)*'Time on treatment'!$D$12)</f>
        <v>0</v>
      </c>
      <c r="BK48" s="389">
        <f ca="1">((BK27-(BJ27-BI27)-(BI27-BH27)-(BH27-BG27)-BG27)*(c_inicial+ci_comp4))+(BK27*c_on*12)+(BK27*(ct_comp4+ca_comp4)*'Time on treatment'!$D$12)</f>
        <v>0</v>
      </c>
      <c r="BL48" s="77"/>
      <c r="BM48" s="77"/>
      <c r="BN48" s="386"/>
      <c r="BO48" s="388">
        <f ca="1">(BO27*c_inicial)+(BO27*c_on*12)+(BO27*ci_comp5)+(BO27*(ct_comp5+ca_comp5)*'Time on treatment'!$D$12)</f>
        <v>0</v>
      </c>
      <c r="BP48" s="388">
        <f ca="1">((BP27-BO27)*(c_inicial+ci_comp5))+(BP27*c_on*12)+(BP27*(ct_comp5+ca_comp5)*'Time on treatment'!$D$12)</f>
        <v>0</v>
      </c>
      <c r="BQ48" s="388">
        <f ca="1">(((BQ27-(BP27-BO27))-BO27)*(c_inicial+ci_comp5))+(BQ27*c_on*12)+(BQ27*(ct_comp5+ca_comp5)*'Time on treatment'!$D$12)</f>
        <v>0</v>
      </c>
      <c r="BR48" s="388">
        <f ca="1">((BR27-(BQ27-BP27)-(BP27-BO27)-BO27)*(c_inicial+ci_comp5))+(BR27*c_on*12)+(BR27*(ct_comp5+ca_comp5)*'Time on treatment'!$D$12)</f>
        <v>0</v>
      </c>
      <c r="BS48" s="389">
        <f ca="1">((BS27-(BR27-BQ27)-(BQ27-BP27)-(BP27-BO27)-BO27)*(c_inicial+ci_comp5))+(BS27*c_on*12)+(BS27*(ct_comp5+ca_comp5)*'Time on treatment'!$D$12)</f>
        <v>0</v>
      </c>
      <c r="BT48" s="77"/>
      <c r="BU48" s="77"/>
      <c r="BV48" s="386"/>
      <c r="BW48" s="388">
        <f ca="1">(BW27*c_inicial)+(BW27*c_on*12)+(BW27*ci_comp6)+(BW27*(ct_comp6+ca_comp6)*'Time on treatment'!$D$12)</f>
        <v>0</v>
      </c>
      <c r="BX48" s="388">
        <f ca="1">((BX27-BW27)*(c_inicial+ci_comp6))+(BX27*c_on*12)+(BX27*(ct_comp6+ca_comp6)*'Time on treatment'!$D$12)</f>
        <v>0</v>
      </c>
      <c r="BY48" s="388">
        <f ca="1">(((BY27-(BX27-BW27))-BW27)*(c_inicial+ci_comp6))+(BY27*c_on*12)+(BY27*(ct_comp6+ca_comp6)*'Time on treatment'!$D$12)</f>
        <v>0</v>
      </c>
      <c r="BZ48" s="388">
        <f ca="1">((BZ27-(BY27-BX27)-(BX27-BW27)-BW27)*(c_inicial+ci_comp6))+(BZ27*c_on*12)+(BZ27*(ct_comp6+ca_comp6)*'Time on treatment'!$D$12)</f>
        <v>0</v>
      </c>
      <c r="CA48" s="389">
        <f ca="1">((CA27-(BZ27-BY27)-(BY27-BX27)-(BX27-BW27)-BW27)*(c_inicial+ci_comp6))+(CA27*c_on*12)+(CA27*(ct_comp6+ca_comp6)*'Time on treatment'!$D$12)</f>
        <v>0</v>
      </c>
      <c r="CB48" s="77"/>
      <c r="CC48" s="77"/>
      <c r="CD48" s="386"/>
      <c r="CE48" s="388">
        <f ca="1">(CE27*c_inicial)+(CE27*c_on*12)+(CE27*ci_comp7)+(CE27*(ct_comp7+ca_comp7)*'Time on treatment'!$D$12)</f>
        <v>0</v>
      </c>
      <c r="CF48" s="388">
        <f ca="1">((CF27-CE27)*(c_inicial+ci_comp7))+(CF27*c_on*12)+(CF27*(ct_comp7+ca_comp7)*'Time on treatment'!$D$12)</f>
        <v>0</v>
      </c>
      <c r="CG48" s="388">
        <f ca="1">(((CG27-(CF27-CE27))-CE27)*(c_inicial+ci_comp7))+(CG27*c_on*12)+(CG27*(ct_comp7+ca_comp7)*'Time on treatment'!$D$12)</f>
        <v>0</v>
      </c>
      <c r="CH48" s="388">
        <f ca="1">((CH27-(CG27-CF27)-(CF27-CE27)-CE27)*(c_inicial+ci_comp7))+(CH27*c_on*12)+(CH27*(ct_comp7+ca_comp7)*'Time on treatment'!$D$12)</f>
        <v>0</v>
      </c>
      <c r="CI48" s="389">
        <f ca="1">((CI27-(CH27-CG27)-(CG27-CF27)-(CF27-CE27)-CE27)*(c_inicial+ci_comp7))+(CI27*c_on*12)+(CI27*(ct_comp7+ca_comp7)*'Time on treatment'!$D$12)</f>
        <v>0</v>
      </c>
      <c r="CJ48" s="77"/>
      <c r="CK48" s="77"/>
      <c r="CL48" s="386"/>
      <c r="CM48" s="388">
        <f ca="1">(CM27*c_inicial)+(CM27*c_on*12)+(CM27*ci_comp8)+(CM27*(ct_comp8+ca_comp8)*'Time on treatment'!$D$12)</f>
        <v>0</v>
      </c>
      <c r="CN48" s="388">
        <f ca="1">((CN27-CM27)*(c_inicial+ci_comp8))+(CN27*c_on*12)+(CN27*(ct_comp8+ca_comp8)*'Time on treatment'!$D$12)</f>
        <v>0</v>
      </c>
      <c r="CO48" s="388">
        <f ca="1">(((CO27-(CN27-CM27))-CM27)*(c_inicial+ci_comp8))+(CO27*c_on*12)+(CO27*(ct_comp8+ca_comp8)*'Time on treatment'!$D$12)</f>
        <v>0</v>
      </c>
      <c r="CP48" s="388">
        <f ca="1">((CP27-(CO27-CN27)-(CN27-CM27)-CM27)*(c_inicial+ci_comp8))+(CP27*c_on*12)+(CP27*(ct_comp8+ca_comp8)*'Time on treatment'!$D$12)</f>
        <v>0</v>
      </c>
      <c r="CQ48" s="389">
        <f ca="1">((CQ27-(CP27-CO27)-(CO27-CN27)-(CN27-CM27)-CM27)*(c_inicial+ci_comp8))+(CQ27*c_on*12)+(CQ27*(ct_comp8+ca_comp8)*'Time on treatment'!$D$12)</f>
        <v>0</v>
      </c>
      <c r="CR48" s="77"/>
      <c r="CS48" s="77"/>
      <c r="CT48" s="386"/>
      <c r="CU48" s="388">
        <f ca="1">(CU27*c_inicial)+(CU27*c_on*12)+(CU27*ci_comp9)+(CU27*(ct_comp9+ca_comp9)*'Time on treatment'!$D$12)</f>
        <v>0</v>
      </c>
      <c r="CV48" s="388">
        <f ca="1">((CV27-CU27)*(c_inicial+ci_comp9))+(CV27*c_on*12)+(CV27*(ct_comp9+ca_comp9)*'Time on treatment'!$D$12)</f>
        <v>0</v>
      </c>
      <c r="CW48" s="388">
        <f ca="1">(((CW27-(CV27-CU27))-CU27)*(c_inicial+ci_comp9))+(CW27*c_on*12)+(CW27*(ct_comp9+ca_comp9)*'Time on treatment'!$D$12)</f>
        <v>0</v>
      </c>
      <c r="CX48" s="388">
        <f ca="1">((CX27-(CW27-CV27)-(CV27-CU27)-CU27)*(c_inicial+ci_comp9))+(CX27*c_on*12)+(CX27*(ct_comp9+ca_comp9)*'Time on treatment'!$D$12)</f>
        <v>0</v>
      </c>
      <c r="CY48" s="389">
        <f ca="1">((CY27-(CX27-CW27)-(CW27-CV27)-(CV27-CU27)-CU27)*(c_inicial+ci_comp9))+(CY27*c_on*12)+(CY27*(ct_comp9+ca_comp9)*'Time on treatment'!$D$12)</f>
        <v>0</v>
      </c>
      <c r="CZ48" s="77"/>
      <c r="DA48" s="77"/>
      <c r="DB48" s="386"/>
      <c r="DC48" s="388">
        <f ca="1">(DC27*c_inicial)+(DC27*c_on*12)+(DC27*ci_comp10)+(DC27*(ct_comp10+ca_comp10)*'Time on treatment'!$D$12)</f>
        <v>0</v>
      </c>
      <c r="DD48" s="388">
        <f ca="1">((DD27-DC27)*(c_inicial+ci_comp10))+(DD27*c_on*12)+(DD27*(ct_comp10+ca_comp10)*'Time on treatment'!$D$12)</f>
        <v>0</v>
      </c>
      <c r="DE48" s="388">
        <f ca="1">(((DE27-(DD27-DC27))-DC27)*(c_inicial+ci_comp10))+(DE27*c_on*12)+(DE27*(ct_comp10+ca_comp10)*'Time on treatment'!$D$12)</f>
        <v>0</v>
      </c>
      <c r="DF48" s="388">
        <f ca="1">((DF27-(DE27-DD27)-(DD27-DC27)-DC27)*(c_inicial+ci_comp10))+(DF27*c_on*12)+(DF27*(ct_comp10+ca_comp10)*'Time on treatment'!$D$12)</f>
        <v>0</v>
      </c>
      <c r="DG48" s="389">
        <f ca="1">((DG27-(DF27-DE27)-(DE27-DD27)-(DD27-DC27)-DC27)*(c_inicial+ci_comp10))+(DG27*c_on*12)+(DG27*(ct_comp10+ca_comp10)*'Time on treatment'!$D$12)</f>
        <v>0</v>
      </c>
      <c r="DH48" s="77"/>
      <c r="DI48" s="77"/>
    </row>
    <row r="51" spans="2:113" s="81" customFormat="1">
      <c r="B51" s="120"/>
      <c r="C51" s="120"/>
      <c r="D51" s="120"/>
      <c r="E51" s="120"/>
      <c r="F51" s="120"/>
      <c r="G51" s="120"/>
      <c r="H51" s="82"/>
      <c r="I51" s="82"/>
      <c r="J51" s="120"/>
      <c r="K51" s="120"/>
      <c r="L51" s="120"/>
      <c r="M51" s="120"/>
      <c r="N51" s="120"/>
      <c r="O51" s="120"/>
      <c r="P51" s="82"/>
      <c r="Q51" s="82"/>
      <c r="R51" s="120"/>
      <c r="S51" s="120"/>
      <c r="T51" s="120"/>
      <c r="U51" s="120"/>
      <c r="V51" s="120"/>
      <c r="W51" s="120"/>
      <c r="X51" s="82"/>
      <c r="Y51" s="82"/>
      <c r="Z51" s="120"/>
      <c r="AA51" s="120"/>
      <c r="AB51" s="120"/>
      <c r="AC51" s="120"/>
      <c r="AD51" s="120"/>
      <c r="AE51" s="120"/>
      <c r="AF51" s="82"/>
      <c r="AG51" s="82"/>
      <c r="AH51" s="120"/>
      <c r="AI51" s="120"/>
      <c r="AJ51" s="120"/>
      <c r="AK51" s="120"/>
      <c r="AL51" s="120"/>
      <c r="AM51" s="120"/>
      <c r="AN51" s="82"/>
      <c r="AO51" s="82"/>
      <c r="AP51" s="120"/>
      <c r="AQ51" s="120"/>
      <c r="AR51" s="120"/>
      <c r="AS51" s="120"/>
      <c r="AT51" s="120"/>
      <c r="AU51" s="120"/>
      <c r="AV51" s="82"/>
      <c r="AW51" s="82"/>
      <c r="AX51" s="120"/>
      <c r="AY51" s="120"/>
      <c r="AZ51" s="120"/>
      <c r="BA51" s="120"/>
      <c r="BB51" s="120"/>
      <c r="BC51" s="120"/>
      <c r="BD51" s="82"/>
      <c r="BE51" s="82"/>
      <c r="BF51" s="120"/>
      <c r="BG51" s="120"/>
      <c r="BH51" s="120"/>
      <c r="BI51" s="120"/>
      <c r="BJ51" s="120"/>
      <c r="BK51" s="120"/>
      <c r="BL51" s="82"/>
      <c r="BM51" s="82"/>
      <c r="BN51" s="120"/>
      <c r="BO51" s="120"/>
      <c r="BP51" s="120"/>
      <c r="BQ51" s="120"/>
      <c r="BR51" s="120"/>
      <c r="BS51" s="120"/>
      <c r="BT51" s="82"/>
      <c r="BU51" s="82"/>
      <c r="BV51" s="120"/>
      <c r="BW51" s="120"/>
      <c r="BX51" s="120"/>
      <c r="BY51" s="120"/>
      <c r="BZ51" s="120"/>
      <c r="CA51" s="120"/>
      <c r="CB51" s="82"/>
      <c r="CC51" s="82"/>
      <c r="CD51" s="120"/>
      <c r="CE51" s="120"/>
      <c r="CF51" s="120"/>
      <c r="CG51" s="120"/>
      <c r="CH51" s="120"/>
      <c r="CI51" s="120"/>
      <c r="CJ51" s="82"/>
      <c r="CK51" s="82"/>
      <c r="CL51" s="120"/>
      <c r="CM51" s="120"/>
      <c r="CN51" s="120"/>
      <c r="CO51" s="120"/>
      <c r="CP51" s="120"/>
      <c r="CQ51" s="120"/>
      <c r="CR51" s="82"/>
      <c r="CS51" s="82"/>
      <c r="CT51" s="120"/>
      <c r="CU51" s="120"/>
      <c r="CV51" s="120"/>
      <c r="CW51" s="120"/>
      <c r="CX51" s="120"/>
      <c r="CY51" s="120"/>
      <c r="CZ51" s="82"/>
      <c r="DA51" s="82"/>
      <c r="DB51" s="120"/>
      <c r="DC51" s="120"/>
      <c r="DD51" s="120"/>
      <c r="DE51" s="120"/>
      <c r="DF51" s="120"/>
      <c r="DG51" s="120"/>
      <c r="DH51" s="82"/>
      <c r="DI51" s="82"/>
    </row>
    <row r="52" spans="2:113" s="76" customFormat="1" ht="21">
      <c r="B52" s="503" t="str">
        <f>intervencao1</f>
        <v>Drug 1</v>
      </c>
      <c r="C52" s="503"/>
      <c r="D52" s="503"/>
      <c r="E52" s="503"/>
      <c r="F52" s="503"/>
      <c r="G52" s="503"/>
      <c r="H52" s="503"/>
      <c r="I52" s="77"/>
      <c r="J52" s="503" t="str">
        <f>intervencao2</f>
        <v>Drug 2</v>
      </c>
      <c r="K52" s="503"/>
      <c r="L52" s="503"/>
      <c r="M52" s="503"/>
      <c r="N52" s="503"/>
      <c r="O52" s="503"/>
      <c r="P52" s="503"/>
      <c r="Q52" s="77"/>
      <c r="R52" s="503">
        <f>intervencao3</f>
        <v>0</v>
      </c>
      <c r="S52" s="503"/>
      <c r="T52" s="503"/>
      <c r="U52" s="503"/>
      <c r="V52" s="503"/>
      <c r="W52" s="503"/>
      <c r="X52" s="503"/>
      <c r="Y52" s="77"/>
      <c r="Z52" s="503">
        <f>intervencao4</f>
        <v>0</v>
      </c>
      <c r="AA52" s="503"/>
      <c r="AB52" s="503"/>
      <c r="AC52" s="503"/>
      <c r="AD52" s="503"/>
      <c r="AE52" s="503"/>
      <c r="AF52" s="503"/>
      <c r="AG52" s="77"/>
      <c r="AH52" s="503" t="str">
        <f>comparador1</f>
        <v>BSC</v>
      </c>
      <c r="AI52" s="503"/>
      <c r="AJ52" s="503"/>
      <c r="AK52" s="503"/>
      <c r="AL52" s="503"/>
      <c r="AM52" s="503"/>
      <c r="AN52" s="503"/>
      <c r="AO52" s="77"/>
      <c r="AP52" s="503">
        <f>comparador2</f>
        <v>0</v>
      </c>
      <c r="AQ52" s="503"/>
      <c r="AR52" s="503"/>
      <c r="AS52" s="503"/>
      <c r="AT52" s="503"/>
      <c r="AU52" s="503"/>
      <c r="AV52" s="503"/>
      <c r="AW52" s="77"/>
      <c r="AX52" s="503">
        <f>comparador3</f>
        <v>0</v>
      </c>
      <c r="AY52" s="503"/>
      <c r="AZ52" s="503"/>
      <c r="BA52" s="503"/>
      <c r="BB52" s="503"/>
      <c r="BC52" s="503"/>
      <c r="BD52" s="503"/>
      <c r="BE52" s="77"/>
      <c r="BF52" s="503">
        <f>comparador4</f>
        <v>0</v>
      </c>
      <c r="BG52" s="503"/>
      <c r="BH52" s="503"/>
      <c r="BI52" s="503"/>
      <c r="BJ52" s="503"/>
      <c r="BK52" s="503"/>
      <c r="BL52" s="503"/>
      <c r="BM52" s="77"/>
      <c r="BN52" s="503">
        <f>comparador5</f>
        <v>0</v>
      </c>
      <c r="BO52" s="503"/>
      <c r="BP52" s="503"/>
      <c r="BQ52" s="503"/>
      <c r="BR52" s="503"/>
      <c r="BS52" s="503"/>
      <c r="BT52" s="503"/>
      <c r="BU52" s="77"/>
      <c r="BV52" s="503">
        <f>comparador6</f>
        <v>0</v>
      </c>
      <c r="BW52" s="503"/>
      <c r="BX52" s="503"/>
      <c r="BY52" s="503"/>
      <c r="BZ52" s="503"/>
      <c r="CA52" s="503"/>
      <c r="CB52" s="503"/>
      <c r="CC52" s="77"/>
      <c r="CD52" s="503">
        <f>comparador7</f>
        <v>0</v>
      </c>
      <c r="CE52" s="503"/>
      <c r="CF52" s="503"/>
      <c r="CG52" s="503"/>
      <c r="CH52" s="503"/>
      <c r="CI52" s="503"/>
      <c r="CJ52" s="503"/>
      <c r="CK52" s="77"/>
      <c r="CL52" s="503">
        <f>comparador8</f>
        <v>0</v>
      </c>
      <c r="CM52" s="503"/>
      <c r="CN52" s="503"/>
      <c r="CO52" s="503"/>
      <c r="CP52" s="503"/>
      <c r="CQ52" s="503"/>
      <c r="CR52" s="503"/>
      <c r="CS52" s="77"/>
      <c r="CT52" s="503">
        <f>comparador9</f>
        <v>0</v>
      </c>
      <c r="CU52" s="503"/>
      <c r="CV52" s="503"/>
      <c r="CW52" s="503"/>
      <c r="CX52" s="503"/>
      <c r="CY52" s="503"/>
      <c r="CZ52" s="503"/>
      <c r="DA52" s="77"/>
      <c r="DB52" s="503">
        <f>comparador10</f>
        <v>0</v>
      </c>
      <c r="DC52" s="503"/>
      <c r="DD52" s="503"/>
      <c r="DE52" s="503"/>
      <c r="DF52" s="503"/>
      <c r="DG52" s="503"/>
      <c r="DH52" s="503"/>
      <c r="DI52" s="77"/>
    </row>
    <row r="53" spans="2:113" ht="18">
      <c r="B53" s="504" t="s">
        <v>182</v>
      </c>
      <c r="C53" s="504"/>
      <c r="D53" s="504"/>
      <c r="E53" s="504"/>
      <c r="F53" s="504"/>
      <c r="G53" s="504"/>
      <c r="H53" s="71"/>
      <c r="I53" s="71"/>
      <c r="J53" s="504" t="s">
        <v>182</v>
      </c>
      <c r="K53" s="504"/>
      <c r="L53" s="504"/>
      <c r="M53" s="504"/>
      <c r="N53" s="504"/>
      <c r="O53" s="504"/>
      <c r="P53" s="71"/>
      <c r="Q53" s="71"/>
      <c r="R53" s="504" t="s">
        <v>182</v>
      </c>
      <c r="S53" s="504"/>
      <c r="T53" s="504"/>
      <c r="U53" s="504"/>
      <c r="V53" s="504"/>
      <c r="W53" s="504"/>
      <c r="X53" s="71"/>
      <c r="Y53" s="71"/>
      <c r="Z53" s="504" t="s">
        <v>182</v>
      </c>
      <c r="AA53" s="504"/>
      <c r="AB53" s="504"/>
      <c r="AC53" s="504"/>
      <c r="AD53" s="504"/>
      <c r="AE53" s="504"/>
      <c r="AF53" s="71"/>
      <c r="AG53" s="71"/>
      <c r="AH53" s="504" t="s">
        <v>182</v>
      </c>
      <c r="AI53" s="504"/>
      <c r="AJ53" s="504"/>
      <c r="AK53" s="504"/>
      <c r="AL53" s="504"/>
      <c r="AM53" s="504"/>
      <c r="AN53" s="71"/>
      <c r="AO53" s="71"/>
      <c r="AP53" s="504" t="s">
        <v>182</v>
      </c>
      <c r="AQ53" s="504"/>
      <c r="AR53" s="504"/>
      <c r="AS53" s="504"/>
      <c r="AT53" s="504"/>
      <c r="AU53" s="504"/>
      <c r="AV53" s="71"/>
      <c r="AW53" s="71"/>
      <c r="AX53" s="504" t="s">
        <v>182</v>
      </c>
      <c r="AY53" s="504"/>
      <c r="AZ53" s="504"/>
      <c r="BA53" s="504"/>
      <c r="BB53" s="504"/>
      <c r="BC53" s="504"/>
      <c r="BD53" s="71"/>
      <c r="BE53" s="71"/>
      <c r="BF53" s="504" t="s">
        <v>182</v>
      </c>
      <c r="BG53" s="504"/>
      <c r="BH53" s="504"/>
      <c r="BI53" s="504"/>
      <c r="BJ53" s="504"/>
      <c r="BK53" s="504"/>
      <c r="BL53" s="71"/>
      <c r="BM53" s="71"/>
      <c r="BN53" s="504" t="s">
        <v>182</v>
      </c>
      <c r="BO53" s="504"/>
      <c r="BP53" s="504"/>
      <c r="BQ53" s="504"/>
      <c r="BR53" s="504"/>
      <c r="BS53" s="504"/>
      <c r="BT53" s="71"/>
      <c r="BU53" s="71"/>
      <c r="BV53" s="504" t="s">
        <v>182</v>
      </c>
      <c r="BW53" s="504"/>
      <c r="BX53" s="504"/>
      <c r="BY53" s="504"/>
      <c r="BZ53" s="504"/>
      <c r="CA53" s="504"/>
      <c r="CB53" s="71"/>
      <c r="CC53" s="71"/>
      <c r="CD53" s="504" t="s">
        <v>182</v>
      </c>
      <c r="CE53" s="504"/>
      <c r="CF53" s="504"/>
      <c r="CG53" s="504"/>
      <c r="CH53" s="504"/>
      <c r="CI53" s="504"/>
      <c r="CJ53" s="71"/>
      <c r="CK53" s="71"/>
      <c r="CL53" s="504" t="s">
        <v>182</v>
      </c>
      <c r="CM53" s="504"/>
      <c r="CN53" s="504"/>
      <c r="CO53" s="504"/>
      <c r="CP53" s="504"/>
      <c r="CQ53" s="504"/>
      <c r="CR53" s="71"/>
      <c r="CS53" s="71"/>
      <c r="CT53" s="504" t="s">
        <v>182</v>
      </c>
      <c r="CU53" s="504"/>
      <c r="CV53" s="504"/>
      <c r="CW53" s="504"/>
      <c r="CX53" s="504"/>
      <c r="CY53" s="504"/>
      <c r="CZ53" s="71"/>
      <c r="DA53" s="71"/>
      <c r="DB53" s="504" t="s">
        <v>182</v>
      </c>
      <c r="DC53" s="504"/>
      <c r="DD53" s="504"/>
      <c r="DE53" s="504"/>
      <c r="DF53" s="504"/>
      <c r="DG53" s="504"/>
      <c r="DH53" s="71"/>
    </row>
    <row r="54" spans="2:113" ht="15" thickBot="1">
      <c r="B54" s="83"/>
      <c r="C54" s="83"/>
      <c r="D54" s="83"/>
      <c r="E54" s="83"/>
      <c r="F54" s="83"/>
      <c r="G54" s="83"/>
      <c r="J54" s="83"/>
      <c r="K54" s="83"/>
      <c r="L54" s="83"/>
      <c r="M54" s="83"/>
      <c r="N54" s="83"/>
      <c r="O54" s="83"/>
      <c r="R54" s="83"/>
      <c r="S54" s="83"/>
      <c r="T54" s="83"/>
      <c r="U54" s="83"/>
      <c r="V54" s="83"/>
      <c r="W54" s="83"/>
      <c r="Z54" s="83"/>
      <c r="AA54" s="83"/>
      <c r="AB54" s="83"/>
      <c r="AC54" s="83"/>
      <c r="AD54" s="83"/>
      <c r="AE54" s="83"/>
      <c r="AH54" s="83"/>
      <c r="AI54" s="83"/>
      <c r="AJ54" s="83"/>
      <c r="AK54" s="83"/>
      <c r="AL54" s="83"/>
      <c r="AM54" s="83"/>
      <c r="AP54" s="83"/>
      <c r="AQ54" s="83"/>
      <c r="AR54" s="83"/>
      <c r="AS54" s="83"/>
      <c r="AT54" s="83"/>
      <c r="AU54" s="83"/>
      <c r="AX54" s="83"/>
      <c r="AY54" s="83"/>
      <c r="AZ54" s="83"/>
      <c r="BA54" s="83"/>
      <c r="BB54" s="83"/>
      <c r="BC54" s="83"/>
      <c r="BF54" s="83"/>
      <c r="BG54" s="83"/>
      <c r="BH54" s="83"/>
      <c r="BI54" s="83"/>
      <c r="BJ54" s="83"/>
      <c r="BK54" s="83"/>
      <c r="BN54" s="83"/>
      <c r="BO54" s="83"/>
      <c r="BP54" s="83"/>
      <c r="BQ54" s="83"/>
      <c r="BR54" s="83"/>
      <c r="BS54" s="83"/>
      <c r="BV54" s="83"/>
      <c r="BW54" s="83"/>
      <c r="BX54" s="83"/>
      <c r="BY54" s="83"/>
      <c r="BZ54" s="83"/>
      <c r="CA54" s="83"/>
      <c r="CD54" s="83"/>
      <c r="CE54" s="83"/>
      <c r="CF54" s="83"/>
      <c r="CG54" s="83"/>
      <c r="CH54" s="83"/>
      <c r="CI54" s="83"/>
      <c r="CL54" s="83"/>
      <c r="CM54" s="83"/>
      <c r="CN54" s="83"/>
      <c r="CO54" s="83"/>
      <c r="CP54" s="83"/>
      <c r="CQ54" s="83"/>
      <c r="CT54" s="83"/>
      <c r="CU54" s="83"/>
      <c r="CV54" s="83"/>
      <c r="CW54" s="83"/>
      <c r="CX54" s="83"/>
      <c r="CY54" s="83"/>
      <c r="DB54" s="83"/>
      <c r="DC54" s="83"/>
      <c r="DD54" s="83"/>
      <c r="DE54" s="83"/>
      <c r="DF54" s="83"/>
      <c r="DG54" s="83"/>
    </row>
    <row r="55" spans="2:113" ht="15" thickBot="1">
      <c r="B55" s="505" t="str">
        <f>B34</f>
        <v>BSC only</v>
      </c>
      <c r="C55" s="506"/>
      <c r="D55" s="506"/>
      <c r="E55" s="506"/>
      <c r="F55" s="506"/>
      <c r="G55" s="507"/>
      <c r="J55" s="505" t="str">
        <f>J34</f>
        <v>BSC only</v>
      </c>
      <c r="K55" s="506"/>
      <c r="L55" s="506"/>
      <c r="M55" s="506"/>
      <c r="N55" s="506"/>
      <c r="O55" s="507"/>
      <c r="R55" s="505" t="str">
        <f>R34</f>
        <v>BSC only</v>
      </c>
      <c r="S55" s="506"/>
      <c r="T55" s="506"/>
      <c r="U55" s="506"/>
      <c r="V55" s="506"/>
      <c r="W55" s="507"/>
      <c r="Z55" s="505" t="str">
        <f>Z34</f>
        <v>BSC only</v>
      </c>
      <c r="AA55" s="506"/>
      <c r="AB55" s="506"/>
      <c r="AC55" s="506"/>
      <c r="AD55" s="506"/>
      <c r="AE55" s="507"/>
      <c r="AH55" s="505" t="str">
        <f>AH34</f>
        <v>BSC only</v>
      </c>
      <c r="AI55" s="506"/>
      <c r="AJ55" s="506"/>
      <c r="AK55" s="506"/>
      <c r="AL55" s="506"/>
      <c r="AM55" s="507"/>
      <c r="AP55" s="505" t="str">
        <f>AP34</f>
        <v>BSC only</v>
      </c>
      <c r="AQ55" s="506"/>
      <c r="AR55" s="506"/>
      <c r="AS55" s="506"/>
      <c r="AT55" s="506"/>
      <c r="AU55" s="507"/>
      <c r="AX55" s="505" t="str">
        <f>AX34</f>
        <v>BSC only</v>
      </c>
      <c r="AY55" s="506"/>
      <c r="AZ55" s="506"/>
      <c r="BA55" s="506"/>
      <c r="BB55" s="506"/>
      <c r="BC55" s="507"/>
      <c r="BF55" s="505" t="str">
        <f>BF34</f>
        <v>BSC only</v>
      </c>
      <c r="BG55" s="506"/>
      <c r="BH55" s="506"/>
      <c r="BI55" s="506"/>
      <c r="BJ55" s="506"/>
      <c r="BK55" s="507"/>
      <c r="BN55" s="505" t="str">
        <f>BN34</f>
        <v>BSC only</v>
      </c>
      <c r="BO55" s="506"/>
      <c r="BP55" s="506"/>
      <c r="BQ55" s="506"/>
      <c r="BR55" s="506"/>
      <c r="BS55" s="507"/>
      <c r="BV55" s="505" t="str">
        <f>BV34</f>
        <v>BSC only</v>
      </c>
      <c r="BW55" s="506"/>
      <c r="BX55" s="506"/>
      <c r="BY55" s="506"/>
      <c r="BZ55" s="506"/>
      <c r="CA55" s="507"/>
      <c r="CD55" s="505" t="str">
        <f>CD34</f>
        <v>BSC only</v>
      </c>
      <c r="CE55" s="506"/>
      <c r="CF55" s="506"/>
      <c r="CG55" s="506"/>
      <c r="CH55" s="506"/>
      <c r="CI55" s="507"/>
      <c r="CL55" s="505" t="str">
        <f>CL34</f>
        <v>BSC only</v>
      </c>
      <c r="CM55" s="506"/>
      <c r="CN55" s="506"/>
      <c r="CO55" s="506"/>
      <c r="CP55" s="506"/>
      <c r="CQ55" s="507"/>
      <c r="CT55" s="505" t="str">
        <f>CT34</f>
        <v>BSC only</v>
      </c>
      <c r="CU55" s="506"/>
      <c r="CV55" s="506"/>
      <c r="CW55" s="506"/>
      <c r="CX55" s="506"/>
      <c r="CY55" s="507"/>
      <c r="DB55" s="505" t="str">
        <f>DB34</f>
        <v>BSC only</v>
      </c>
      <c r="DC55" s="506"/>
      <c r="DD55" s="506"/>
      <c r="DE55" s="506"/>
      <c r="DF55" s="506"/>
      <c r="DG55" s="507"/>
    </row>
    <row r="56" spans="2:113">
      <c r="B56" s="84"/>
      <c r="C56" s="101">
        <f>C35</f>
        <v>2026</v>
      </c>
      <c r="D56" s="101">
        <f>D35</f>
        <v>2027</v>
      </c>
      <c r="E56" s="101">
        <f>E35</f>
        <v>2028</v>
      </c>
      <c r="F56" s="101">
        <f>F35</f>
        <v>2029</v>
      </c>
      <c r="G56" s="102">
        <f>G35</f>
        <v>2030</v>
      </c>
      <c r="J56" s="84"/>
      <c r="K56" s="101">
        <f>K35</f>
        <v>2026</v>
      </c>
      <c r="L56" s="101">
        <f>L35</f>
        <v>2027</v>
      </c>
      <c r="M56" s="101">
        <f>M35</f>
        <v>2028</v>
      </c>
      <c r="N56" s="101">
        <f>N35</f>
        <v>2029</v>
      </c>
      <c r="O56" s="102">
        <f>O35</f>
        <v>2030</v>
      </c>
      <c r="R56" s="84"/>
      <c r="S56" s="101">
        <f>S35</f>
        <v>2026</v>
      </c>
      <c r="T56" s="101">
        <f>T35</f>
        <v>2027</v>
      </c>
      <c r="U56" s="101">
        <f>U35</f>
        <v>2028</v>
      </c>
      <c r="V56" s="101">
        <f>V35</f>
        <v>2029</v>
      </c>
      <c r="W56" s="102">
        <f>W35</f>
        <v>2030</v>
      </c>
      <c r="Z56" s="84"/>
      <c r="AA56" s="101">
        <f>AA35</f>
        <v>2026</v>
      </c>
      <c r="AB56" s="101">
        <f>AB35</f>
        <v>2027</v>
      </c>
      <c r="AC56" s="101">
        <f>AC35</f>
        <v>2028</v>
      </c>
      <c r="AD56" s="101">
        <f>AD35</f>
        <v>2029</v>
      </c>
      <c r="AE56" s="102">
        <f>AE35</f>
        <v>2030</v>
      </c>
      <c r="AH56" s="84"/>
      <c r="AI56" s="101">
        <f>AI35</f>
        <v>2026</v>
      </c>
      <c r="AJ56" s="101">
        <f>AJ35</f>
        <v>2027</v>
      </c>
      <c r="AK56" s="101">
        <f>AK35</f>
        <v>2028</v>
      </c>
      <c r="AL56" s="101">
        <f>AL35</f>
        <v>2029</v>
      </c>
      <c r="AM56" s="102">
        <f>AM35</f>
        <v>2030</v>
      </c>
      <c r="AP56" s="84"/>
      <c r="AQ56" s="101">
        <f>AQ35</f>
        <v>2026</v>
      </c>
      <c r="AR56" s="101">
        <f>AR35</f>
        <v>2027</v>
      </c>
      <c r="AS56" s="101">
        <f>AS35</f>
        <v>2028</v>
      </c>
      <c r="AT56" s="101">
        <f>AT35</f>
        <v>2029</v>
      </c>
      <c r="AU56" s="102">
        <f>AU35</f>
        <v>2030</v>
      </c>
      <c r="AX56" s="84"/>
      <c r="AY56" s="101">
        <f>AY35</f>
        <v>2026</v>
      </c>
      <c r="AZ56" s="101">
        <f>AZ35</f>
        <v>2027</v>
      </c>
      <c r="BA56" s="101">
        <f>BA35</f>
        <v>2028</v>
      </c>
      <c r="BB56" s="101">
        <f>BB35</f>
        <v>2029</v>
      </c>
      <c r="BC56" s="102">
        <f>BC35</f>
        <v>2030</v>
      </c>
      <c r="BF56" s="84"/>
      <c r="BG56" s="101">
        <f>BG35</f>
        <v>2026</v>
      </c>
      <c r="BH56" s="101">
        <f>BH35</f>
        <v>2027</v>
      </c>
      <c r="BI56" s="101">
        <f>BI35</f>
        <v>2028</v>
      </c>
      <c r="BJ56" s="101">
        <f>BJ35</f>
        <v>2029</v>
      </c>
      <c r="BK56" s="102">
        <f>BK35</f>
        <v>2030</v>
      </c>
      <c r="BN56" s="84"/>
      <c r="BO56" s="101">
        <f>BO35</f>
        <v>2026</v>
      </c>
      <c r="BP56" s="101">
        <f>BP35</f>
        <v>2027</v>
      </c>
      <c r="BQ56" s="101">
        <f>BQ35</f>
        <v>2028</v>
      </c>
      <c r="BR56" s="101">
        <f>BR35</f>
        <v>2029</v>
      </c>
      <c r="BS56" s="102">
        <f>BS35</f>
        <v>2030</v>
      </c>
      <c r="BV56" s="84"/>
      <c r="BW56" s="101">
        <f>BW35</f>
        <v>2026</v>
      </c>
      <c r="BX56" s="101">
        <f>BX35</f>
        <v>2027</v>
      </c>
      <c r="BY56" s="101">
        <f>BY35</f>
        <v>2028</v>
      </c>
      <c r="BZ56" s="101">
        <f>BZ35</f>
        <v>2029</v>
      </c>
      <c r="CA56" s="102">
        <f>CA35</f>
        <v>2030</v>
      </c>
      <c r="CD56" s="84"/>
      <c r="CE56" s="101">
        <f>CE35</f>
        <v>2026</v>
      </c>
      <c r="CF56" s="101">
        <f>CF35</f>
        <v>2027</v>
      </c>
      <c r="CG56" s="101">
        <f>CG35</f>
        <v>2028</v>
      </c>
      <c r="CH56" s="101">
        <f>CH35</f>
        <v>2029</v>
      </c>
      <c r="CI56" s="102">
        <f>CI35</f>
        <v>2030</v>
      </c>
      <c r="CL56" s="84"/>
      <c r="CM56" s="101">
        <f>CM35</f>
        <v>2026</v>
      </c>
      <c r="CN56" s="101">
        <f>CN35</f>
        <v>2027</v>
      </c>
      <c r="CO56" s="101">
        <f>CO35</f>
        <v>2028</v>
      </c>
      <c r="CP56" s="101">
        <f>CP35</f>
        <v>2029</v>
      </c>
      <c r="CQ56" s="102">
        <f>CQ35</f>
        <v>2030</v>
      </c>
      <c r="CT56" s="84"/>
      <c r="CU56" s="101">
        <f>CU35</f>
        <v>2026</v>
      </c>
      <c r="CV56" s="101">
        <f>CV35</f>
        <v>2027</v>
      </c>
      <c r="CW56" s="101">
        <f>CW35</f>
        <v>2028</v>
      </c>
      <c r="CX56" s="101">
        <f>CX35</f>
        <v>2029</v>
      </c>
      <c r="CY56" s="102">
        <f>CY35</f>
        <v>2030</v>
      </c>
      <c r="DB56" s="84"/>
      <c r="DC56" s="101">
        <f>DC35</f>
        <v>2026</v>
      </c>
      <c r="DD56" s="101">
        <f>DD35</f>
        <v>2027</v>
      </c>
      <c r="DE56" s="101">
        <f>DE35</f>
        <v>2028</v>
      </c>
      <c r="DF56" s="101">
        <f>DF35</f>
        <v>2029</v>
      </c>
      <c r="DG56" s="102">
        <f>DG35</f>
        <v>2030</v>
      </c>
    </row>
    <row r="57" spans="2:113" s="83" customFormat="1" ht="15" thickBot="1">
      <c r="B57" s="386"/>
      <c r="C57" s="388">
        <f ca="1">(C15*ci_int1)+(C15*ct_int1*'Time on treatment'!$D$12)</f>
        <v>0</v>
      </c>
      <c r="D57" s="388">
        <f ca="1">((D15-C15)*ci_int1)+(D15*ct_int1*'Time on treatment'!$D$12)</f>
        <v>0</v>
      </c>
      <c r="E57" s="388">
        <f ca="1">((E15-(D15-C15)-C15)*ci_int1)+(E15*ct_int1*'Time on treatment'!$D$12)</f>
        <v>0</v>
      </c>
      <c r="F57" s="388">
        <f ca="1">((F15-(E15-D15)-(D15-C15)-C15)*ci_int1)+(F15*ct_int1*'Time on treatment'!$D$12)</f>
        <v>0</v>
      </c>
      <c r="G57" s="389">
        <f ca="1">((G15-(F15-E15)-(E15-D15)-(D15-C15)-C15)*ci_int1)+(G15*ct_int1*'Time on treatment'!$D$12)</f>
        <v>0</v>
      </c>
      <c r="H57" s="77"/>
      <c r="I57" s="77"/>
      <c r="J57" s="386"/>
      <c r="K57" s="388">
        <f ca="1">(K15*ci_int2)+(K15*ct_int2*'Time on treatment'!$D$12)</f>
        <v>0</v>
      </c>
      <c r="L57" s="388">
        <f ca="1">((L15-K15)*ci_int2)+(L15*ct_int2*'Time on treatment'!$D$12)</f>
        <v>0</v>
      </c>
      <c r="M57" s="388">
        <f ca="1">((M15-(L15-K15)-K15)*ci_int2)+(M15*ct_int2*'Time on treatment'!$D$12)</f>
        <v>0</v>
      </c>
      <c r="N57" s="388">
        <f ca="1">((N15-(M15-L15)-(L15-K15)-K15)*ci_int2)+(N15*ct_int2*'Time on treatment'!$D$12)</f>
        <v>0</v>
      </c>
      <c r="O57" s="389">
        <f ca="1">((O15-(N15-M15)-(M15-L15)-(L15-K15)-K15)*ci_int2)+(O15*ct_int2*'Time on treatment'!$D$12)</f>
        <v>0</v>
      </c>
      <c r="P57" s="77"/>
      <c r="Q57" s="77"/>
      <c r="R57" s="386"/>
      <c r="S57" s="388">
        <f ca="1">(S15*ci_int3)+(S15*ct_int3*'Time on treatment'!$D$12)</f>
        <v>0</v>
      </c>
      <c r="T57" s="388">
        <f ca="1">((T15-S15)*ci_int3)+(T15*ct_int3*'Time on treatment'!$D$12)</f>
        <v>0</v>
      </c>
      <c r="U57" s="388">
        <f ca="1">((U15-(T15-S15)-S15)*ci_int3)+(U15*ct_int3*'Time on treatment'!$D$12)</f>
        <v>0</v>
      </c>
      <c r="V57" s="388">
        <f ca="1">((V15-(U15-T15)-(T15-S15)-S15)*ci_int3)+(V15*ct_int3*'Time on treatment'!$D$12)</f>
        <v>0</v>
      </c>
      <c r="W57" s="389">
        <f ca="1">((W15-(V15-U15)-(U15-T15)-(T15-S15)-S15)*ci_int3)+(W15*ct_int3*'Time on treatment'!$D$12)</f>
        <v>0</v>
      </c>
      <c r="X57" s="77"/>
      <c r="Y57" s="77"/>
      <c r="Z57" s="386"/>
      <c r="AA57" s="388">
        <f ca="1">(AA15*ci_int4)+(AA15*ct_int4*'Time on treatment'!$D$12)</f>
        <v>0</v>
      </c>
      <c r="AB57" s="388">
        <f ca="1">((AB15-AA15)*ci_int4)+(AB15*ct_int4*'Time on treatment'!$D$12)</f>
        <v>0</v>
      </c>
      <c r="AC57" s="388">
        <f ca="1">((AC15-(AB15-AA15)-AA15)*ci_int4)+(AC15*ct_int4*'Time on treatment'!$D$12)</f>
        <v>0</v>
      </c>
      <c r="AD57" s="388">
        <f ca="1">((AD15-(AC15-AB15)-(AB15-AA15)-AA15)*ci_int4)+(AD15*ct_int4*'Time on treatment'!$D$12)</f>
        <v>0</v>
      </c>
      <c r="AE57" s="389">
        <f ca="1">((AE15-(AD15-AC15)-(AC15-AB15)-(AB15-AA15)-AA15)*ci_int4)+(AE15*ct_int4*'Time on treatment'!$D$12)</f>
        <v>0</v>
      </c>
      <c r="AF57" s="77"/>
      <c r="AG57" s="77"/>
      <c r="AH57" s="386"/>
      <c r="AI57" s="388">
        <f ca="1">(AI15*ci_comp1)+(AI15*ct_comp1*'Time on treatment'!$D$12)</f>
        <v>6427969.3994760001</v>
      </c>
      <c r="AJ57" s="388">
        <f ca="1">((AJ15-AI15)*ci_comp1)+(AJ15*ct_comp1*'Time on treatment'!$D$12)</f>
        <v>6478449.3524250006</v>
      </c>
      <c r="AK57" s="388">
        <f ca="1">((AK15-(AJ15-AI15)-AI15)*ci_comp1)+(AK15*ct_comp1*'Time on treatment'!$D$12)</f>
        <v>6527478.6034890004</v>
      </c>
      <c r="AL57" s="388">
        <f ca="1">((AL15-(AK15-AJ15)-(AJ15-AI15)-AI15)*ci_comp1)+(AL15*ct_comp1*'Time on treatment'!$D$12)</f>
        <v>6576724.2871289998</v>
      </c>
      <c r="AM57" s="389">
        <f ca="1">((AM15-(AL15-AK15)-(AK15-AJ15)-(AJ15-AI15)-AI15)*ci_comp1)+(AM15*ct_comp1*'Time on treatment'!$D$12)</f>
        <v>6626918.4268980008</v>
      </c>
      <c r="AN57" s="77"/>
      <c r="AO57" s="77"/>
      <c r="AP57" s="386"/>
      <c r="AQ57" s="388">
        <f ca="1">(AQ15*ci_comp2)+(AQ15*ct_comp2*'Time on treatment'!$D$12)</f>
        <v>0</v>
      </c>
      <c r="AR57" s="388">
        <f ca="1">((AR15-AQ15)*ci_comp2)+(AR15*ct_comp2*'Time on treatment'!$D$12)</f>
        <v>0</v>
      </c>
      <c r="AS57" s="388">
        <f ca="1">((AS15-(AR15-AQ15)-AQ15)*ci_comp2)+(AS15*ct_comp2*'Time on treatment'!$D$12)</f>
        <v>0</v>
      </c>
      <c r="AT57" s="388">
        <f ca="1">((AT15-(AS15-AR15)-(AR15-AQ15)-AQ15)*ci_comp2)+(AT15*ct_comp2*'Time on treatment'!$D$12)</f>
        <v>0</v>
      </c>
      <c r="AU57" s="389">
        <f ca="1">((AU15-(AT15-AS15)-(AS15-AR15)-(AR15-AQ15)-AQ15)*ci_comp2)+(AU15*ct_comp2*'Time on treatment'!$D$12)</f>
        <v>0</v>
      </c>
      <c r="AV57" s="77"/>
      <c r="AW57" s="77"/>
      <c r="AX57" s="386"/>
      <c r="AY57" s="388">
        <f ca="1">(AY15*ci_comp3)+(AY15*ct_comp3*'Time on treatment'!$D$12)</f>
        <v>0</v>
      </c>
      <c r="AZ57" s="388">
        <f ca="1">((AZ15-AY15)*ci_comp3)+(AZ15*ct_comp3*'Time on treatment'!$D$12)</f>
        <v>0</v>
      </c>
      <c r="BA57" s="388">
        <f ca="1">((BA15-(AZ15-AY15)-AY15)*ci_comp3)+(BA15*ct_comp3*'Time on treatment'!$D$12)</f>
        <v>0</v>
      </c>
      <c r="BB57" s="388">
        <f ca="1">((BB15-(BA15-AZ15)-(AZ15-AY15)-AY15)*ci_comp3)+(BB15*ct_comp3*'Time on treatment'!$D$12)</f>
        <v>0</v>
      </c>
      <c r="BC57" s="389">
        <f ca="1">((BC15-(BB15-BA15)-(BA15-AZ15)-(AZ15-AY15)-AY15)*ci_comp3)+(BC15*ct_comp3*'Time on treatment'!$D$12)</f>
        <v>0</v>
      </c>
      <c r="BD57" s="77"/>
      <c r="BE57" s="77"/>
      <c r="BF57" s="386"/>
      <c r="BG57" s="388">
        <f ca="1">(BG15*ci_comp4)+(BG15*ct_comp4*'Time on treatment'!$D$12)</f>
        <v>0</v>
      </c>
      <c r="BH57" s="388">
        <f ca="1">((BH15-BG15)*ci_comp4)+(BH15*ct_comp4*'Time on treatment'!$D$12)</f>
        <v>0</v>
      </c>
      <c r="BI57" s="388">
        <f ca="1">((BI15-(BH15-BG15)-BG15)*ci_comp4)+(BI15*ct_comp4*'Time on treatment'!$D$12)</f>
        <v>0</v>
      </c>
      <c r="BJ57" s="388">
        <f ca="1">((BJ15-(BI15-BH15)-(BH15-BG15)-BG15)*ci_comp4)+(BJ15*ct_comp4*'Time on treatment'!$D$12)</f>
        <v>0</v>
      </c>
      <c r="BK57" s="389">
        <f ca="1">((BK15-(BJ15-BI15)-(BI15-BH15)-(BH15-BG15)-BG15)*ci_comp4)+(BK15*ct_comp4*'Time on treatment'!$D$12)</f>
        <v>0</v>
      </c>
      <c r="BL57" s="77"/>
      <c r="BM57" s="77"/>
      <c r="BN57" s="386"/>
      <c r="BO57" s="388">
        <f ca="1">(BO15*ci_comp5)+(BO15*ct_comp5*'Time on treatment'!$D$12)</f>
        <v>0</v>
      </c>
      <c r="BP57" s="388">
        <f ca="1">((BP15-BO15)*ci_comp5)+(BP15*ct_comp5*'Time on treatment'!$D$12)</f>
        <v>0</v>
      </c>
      <c r="BQ57" s="388">
        <f ca="1">((BQ15-(BP15-BO15)-BO15)*ci_comp5)+(BQ15*ct_comp5*'Time on treatment'!$D$12)</f>
        <v>0</v>
      </c>
      <c r="BR57" s="388">
        <f ca="1">((BR15-(BQ15-BP15)-(BP15-BO15)-BO15)*ci_comp5)+(BR15*ct_comp5*'Time on treatment'!$D$12)</f>
        <v>0</v>
      </c>
      <c r="BS57" s="389">
        <f ca="1">((BS15-(BR15-BQ15)-(BQ15-BP15)-(BP15-BO15)-BO15)*ci_comp5)+(BS15*ct_comp5*'Time on treatment'!$D$12)</f>
        <v>0</v>
      </c>
      <c r="BT57" s="77"/>
      <c r="BU57" s="77"/>
      <c r="BV57" s="386"/>
      <c r="BW57" s="388">
        <f ca="1">(BW15*ci_comp6)+(BW15*ct_comp6*'Time on treatment'!$D$12)</f>
        <v>0</v>
      </c>
      <c r="BX57" s="388">
        <f ca="1">((BX15-BW15)*ci_comp6)+(BX15*ct_comp6*'Time on treatment'!$D$12)</f>
        <v>0</v>
      </c>
      <c r="BY57" s="388">
        <f ca="1">((BY15-(BX15-BW15)-BW15)*ci_comp6)+(BY15*ct_comp6*'Time on treatment'!$D$12)</f>
        <v>0</v>
      </c>
      <c r="BZ57" s="388">
        <f ca="1">((BZ15-(BY15-BX15)-(BX15-BW15)-BW15)*ci_comp6)+(BZ15*ct_comp6*'Time on treatment'!$D$12)</f>
        <v>0</v>
      </c>
      <c r="CA57" s="389">
        <f ca="1">((CA15-(BZ15-BY15)-(BY15-BX15)-(BX15-BW15)-BW15)*ci_comp6)+(CA15*ct_comp6*'Time on treatment'!$D$12)</f>
        <v>0</v>
      </c>
      <c r="CB57" s="77"/>
      <c r="CC57" s="77"/>
      <c r="CD57" s="386"/>
      <c r="CE57" s="388">
        <f ca="1">(CE15*ci_comp7)+(CE15*ct_comp7*'Time on treatment'!$D$12)</f>
        <v>0</v>
      </c>
      <c r="CF57" s="388">
        <f ca="1">((CF15-CE15)*ci_comp7)+(CF15*ct_comp7*'Time on treatment'!$D$12)</f>
        <v>0</v>
      </c>
      <c r="CG57" s="388">
        <f ca="1">((CG15-(CF15-CE15)-CE15)*ci_comp7)+(CG15*ct_comp7*'Time on treatment'!$D$12)</f>
        <v>0</v>
      </c>
      <c r="CH57" s="388">
        <f ca="1">((CH15-(CG15-CF15)-(CF15-CE15)-CE15)*ci_comp7)+(CH15*ct_comp7*'Time on treatment'!$D$12)</f>
        <v>0</v>
      </c>
      <c r="CI57" s="389">
        <f ca="1">((CI15-(CH15-CG15)-(CG15-CF15)-(CF15-CE15)-CE15)*ci_comp7)+(CI15*ct_comp7*'Time on treatment'!$D$12)</f>
        <v>0</v>
      </c>
      <c r="CJ57" s="77"/>
      <c r="CK57" s="77"/>
      <c r="CL57" s="386"/>
      <c r="CM57" s="388">
        <f ca="1">(CM15*ci_comp8)+(CM15*ct_comp8*'Time on treatment'!$D$12)</f>
        <v>0</v>
      </c>
      <c r="CN57" s="388">
        <f ca="1">((CN15-CM15)*ci_comp8)+(CN15*ct_comp8*'Time on treatment'!$D$12)</f>
        <v>0</v>
      </c>
      <c r="CO57" s="388">
        <f ca="1">((CO15-(CN15-CM15)-CM15)*ci_comp8)+(CO15*ct_comp8*'Time on treatment'!$D$12)</f>
        <v>0</v>
      </c>
      <c r="CP57" s="388">
        <f ca="1">((CP15-(CO15-CN15)-(CN15-CM15)-CM15)*ci_comp8)+(CP15*ct_comp8*'Time on treatment'!$D$12)</f>
        <v>0</v>
      </c>
      <c r="CQ57" s="389">
        <f ca="1">((CQ15-(CP15-CO15)-(CO15-CN15)-(CN15-CM15)-CM15)*ci_comp8)+(CQ15*ct_comp8*'Time on treatment'!$D$12)</f>
        <v>0</v>
      </c>
      <c r="CR57" s="77"/>
      <c r="CS57" s="77"/>
      <c r="CT57" s="386"/>
      <c r="CU57" s="388">
        <f ca="1">(CU15*ci_comp9)+(CU15*ct_comp9*'Time on treatment'!$D$12)</f>
        <v>0</v>
      </c>
      <c r="CV57" s="388">
        <f ca="1">((CV15-CU15)*ci_comp9)+(CV15*ct_comp9*'Time on treatment'!$D$12)</f>
        <v>0</v>
      </c>
      <c r="CW57" s="388">
        <f ca="1">((CW15-(CV15-CU15)-CU15)*ci_comp9)+(CW15*ct_comp9*'Time on treatment'!$D$12)</f>
        <v>0</v>
      </c>
      <c r="CX57" s="388">
        <f ca="1">((CX15-(CW15-CV15)-(CV15-CU15)-CU15)*ci_comp9)+(CX15*ct_comp9*'Time on treatment'!$D$12)</f>
        <v>0</v>
      </c>
      <c r="CY57" s="389">
        <f ca="1">((CY15-(CX15-CW15)-(CW15-CV15)-(CV15-CU15)-CU15)*ci_comp9)+(CY15*ct_comp9*'Time on treatment'!$D$12)</f>
        <v>0</v>
      </c>
      <c r="CZ57" s="77"/>
      <c r="DA57" s="77"/>
      <c r="DB57" s="386"/>
      <c r="DC57" s="388">
        <f ca="1">(DC15*ci_comp10)+(DC15*ct_comp10*'Time on treatment'!$D$12)</f>
        <v>0</v>
      </c>
      <c r="DD57" s="388">
        <f ca="1">((DD15-DC15)*ci_comp10)+(DD15*ct_comp10*'Time on treatment'!$D$12)</f>
        <v>0</v>
      </c>
      <c r="DE57" s="388">
        <f ca="1">((DE15-(DD15-DC15)-DC15)*ci_comp10)+(DE15*ct_comp10*'Time on treatment'!$D$12)</f>
        <v>0</v>
      </c>
      <c r="DF57" s="388">
        <f ca="1">((DF15-(DE15-DD15)-(DD15-DC15)-DC15)*ci_comp10)+(DF15*ct_comp10*'Time on treatment'!$D$12)</f>
        <v>0</v>
      </c>
      <c r="DG57" s="389">
        <f ca="1">((DG15-(DF15-DE15)-(DE15-DD15)-(DD15-DC15)-DC15)*ci_comp10)+(DG15*ct_comp10*'Time on treatment'!$D$12)</f>
        <v>0</v>
      </c>
      <c r="DH57" s="77"/>
      <c r="DI57" s="77"/>
    </row>
    <row r="58" spans="2:113" ht="15" thickBot="1">
      <c r="B58" s="83"/>
      <c r="C58" s="86"/>
      <c r="D58" s="86"/>
      <c r="E58" s="86"/>
      <c r="F58" s="86"/>
      <c r="G58" s="86"/>
      <c r="J58" s="83"/>
      <c r="K58" s="86"/>
      <c r="L58" s="86"/>
      <c r="M58" s="86"/>
      <c r="N58" s="86"/>
      <c r="O58" s="86"/>
      <c r="R58" s="83"/>
      <c r="S58" s="86"/>
      <c r="T58" s="86"/>
      <c r="U58" s="86"/>
      <c r="V58" s="86"/>
      <c r="W58" s="86"/>
      <c r="Z58" s="83"/>
      <c r="AA58" s="86"/>
      <c r="AB58" s="86"/>
      <c r="AC58" s="86"/>
      <c r="AD58" s="86"/>
      <c r="AE58" s="86"/>
      <c r="AH58" s="83"/>
      <c r="AI58" s="86"/>
      <c r="AJ58" s="86"/>
      <c r="AK58" s="86"/>
      <c r="AL58" s="86"/>
      <c r="AM58" s="86"/>
      <c r="AP58" s="83"/>
      <c r="AQ58" s="86"/>
      <c r="AR58" s="86"/>
      <c r="AS58" s="86"/>
      <c r="AT58" s="86"/>
      <c r="AU58" s="86"/>
      <c r="AX58" s="83"/>
      <c r="AY58" s="86"/>
      <c r="AZ58" s="86"/>
      <c r="BA58" s="86"/>
      <c r="BB58" s="86"/>
      <c r="BC58" s="86"/>
      <c r="BF58" s="83"/>
      <c r="BG58" s="86"/>
      <c r="BH58" s="86"/>
      <c r="BI58" s="86"/>
      <c r="BJ58" s="86"/>
      <c r="BK58" s="86"/>
      <c r="BN58" s="83"/>
      <c r="BO58" s="86"/>
      <c r="BP58" s="86"/>
      <c r="BQ58" s="86"/>
      <c r="BR58" s="86"/>
      <c r="BS58" s="86"/>
      <c r="BV58" s="83"/>
      <c r="BW58" s="86"/>
      <c r="BX58" s="86"/>
      <c r="BY58" s="86"/>
      <c r="BZ58" s="86"/>
      <c r="CA58" s="86"/>
      <c r="CD58" s="83"/>
      <c r="CE58" s="86"/>
      <c r="CF58" s="86"/>
      <c r="CG58" s="86"/>
      <c r="CH58" s="86"/>
      <c r="CI58" s="86"/>
      <c r="CL58" s="83"/>
      <c r="CM58" s="86"/>
      <c r="CN58" s="86"/>
      <c r="CO58" s="86"/>
      <c r="CP58" s="86"/>
      <c r="CQ58" s="86"/>
      <c r="CT58" s="83"/>
      <c r="CU58" s="86"/>
      <c r="CV58" s="86"/>
      <c r="CW58" s="86"/>
      <c r="CX58" s="86"/>
      <c r="CY58" s="86"/>
      <c r="DB58" s="83"/>
      <c r="DC58" s="86"/>
      <c r="DD58" s="86"/>
      <c r="DE58" s="86"/>
      <c r="DF58" s="86"/>
      <c r="DG58" s="86"/>
    </row>
    <row r="59" spans="2:113" ht="15" thickBot="1">
      <c r="B59" s="508" t="str">
        <f>B38</f>
        <v>Drug 1 only</v>
      </c>
      <c r="C59" s="506"/>
      <c r="D59" s="506"/>
      <c r="E59" s="506"/>
      <c r="F59" s="506"/>
      <c r="G59" s="507"/>
      <c r="J59" s="508" t="str">
        <f>J38</f>
        <v>Drug 1 only</v>
      </c>
      <c r="K59" s="506"/>
      <c r="L59" s="506"/>
      <c r="M59" s="506"/>
      <c r="N59" s="506"/>
      <c r="O59" s="507"/>
      <c r="R59" s="508" t="str">
        <f>R38</f>
        <v>Drug 1 only</v>
      </c>
      <c r="S59" s="506"/>
      <c r="T59" s="506"/>
      <c r="U59" s="506"/>
      <c r="V59" s="506"/>
      <c r="W59" s="507"/>
      <c r="Z59" s="508" t="str">
        <f>Z38</f>
        <v>Drug 1 only</v>
      </c>
      <c r="AA59" s="506"/>
      <c r="AB59" s="506"/>
      <c r="AC59" s="506"/>
      <c r="AD59" s="506"/>
      <c r="AE59" s="507"/>
      <c r="AH59" s="508" t="str">
        <f>AH38</f>
        <v>Drug 1 only</v>
      </c>
      <c r="AI59" s="506"/>
      <c r="AJ59" s="506"/>
      <c r="AK59" s="506"/>
      <c r="AL59" s="506"/>
      <c r="AM59" s="507"/>
      <c r="AP59" s="508" t="str">
        <f>AP38</f>
        <v>Drug 1 only</v>
      </c>
      <c r="AQ59" s="506"/>
      <c r="AR59" s="506"/>
      <c r="AS59" s="506"/>
      <c r="AT59" s="506"/>
      <c r="AU59" s="507"/>
      <c r="AX59" s="508" t="str">
        <f>AX38</f>
        <v>Drug 1 only</v>
      </c>
      <c r="AY59" s="506"/>
      <c r="AZ59" s="506"/>
      <c r="BA59" s="506"/>
      <c r="BB59" s="506"/>
      <c r="BC59" s="507"/>
      <c r="BF59" s="508" t="str">
        <f>BF38</f>
        <v>Drug 1 only</v>
      </c>
      <c r="BG59" s="506"/>
      <c r="BH59" s="506"/>
      <c r="BI59" s="506"/>
      <c r="BJ59" s="506"/>
      <c r="BK59" s="507"/>
      <c r="BN59" s="508" t="str">
        <f>BN38</f>
        <v>Drug 1 only</v>
      </c>
      <c r="BO59" s="506"/>
      <c r="BP59" s="506"/>
      <c r="BQ59" s="506"/>
      <c r="BR59" s="506"/>
      <c r="BS59" s="507"/>
      <c r="BV59" s="508" t="str">
        <f>BV38</f>
        <v>Drug 1 only</v>
      </c>
      <c r="BW59" s="506"/>
      <c r="BX59" s="506"/>
      <c r="BY59" s="506"/>
      <c r="BZ59" s="506"/>
      <c r="CA59" s="507"/>
      <c r="CD59" s="508" t="str">
        <f>CD38</f>
        <v>Drug 1 only</v>
      </c>
      <c r="CE59" s="506"/>
      <c r="CF59" s="506"/>
      <c r="CG59" s="506"/>
      <c r="CH59" s="506"/>
      <c r="CI59" s="507"/>
      <c r="CL59" s="508" t="str">
        <f>CL38</f>
        <v>Drug 1 only</v>
      </c>
      <c r="CM59" s="506"/>
      <c r="CN59" s="506"/>
      <c r="CO59" s="506"/>
      <c r="CP59" s="506"/>
      <c r="CQ59" s="507"/>
      <c r="CT59" s="508" t="str">
        <f>CT38</f>
        <v>Drug 1 only</v>
      </c>
      <c r="CU59" s="506"/>
      <c r="CV59" s="506"/>
      <c r="CW59" s="506"/>
      <c r="CX59" s="506"/>
      <c r="CY59" s="507"/>
      <c r="DB59" s="508" t="str">
        <f>DB38</f>
        <v>Drug 1 only</v>
      </c>
      <c r="DC59" s="506"/>
      <c r="DD59" s="506"/>
      <c r="DE59" s="506"/>
      <c r="DF59" s="506"/>
      <c r="DG59" s="507"/>
    </row>
    <row r="60" spans="2:113">
      <c r="B60" s="84"/>
      <c r="C60" s="101">
        <f>C39</f>
        <v>2026</v>
      </c>
      <c r="D60" s="101">
        <f>D39</f>
        <v>2027</v>
      </c>
      <c r="E60" s="101">
        <f>E39</f>
        <v>2028</v>
      </c>
      <c r="F60" s="101">
        <f>F39</f>
        <v>2029</v>
      </c>
      <c r="G60" s="102">
        <f>G39</f>
        <v>2030</v>
      </c>
      <c r="J60" s="84"/>
      <c r="K60" s="101">
        <f>K39</f>
        <v>2026</v>
      </c>
      <c r="L60" s="101">
        <f>L39</f>
        <v>2027</v>
      </c>
      <c r="M60" s="101">
        <f>M39</f>
        <v>2028</v>
      </c>
      <c r="N60" s="101">
        <f>N39</f>
        <v>2029</v>
      </c>
      <c r="O60" s="102">
        <f>O39</f>
        <v>2030</v>
      </c>
      <c r="R60" s="84"/>
      <c r="S60" s="101">
        <f>S39</f>
        <v>2026</v>
      </c>
      <c r="T60" s="101">
        <f>T39</f>
        <v>2027</v>
      </c>
      <c r="U60" s="101">
        <f>U39</f>
        <v>2028</v>
      </c>
      <c r="V60" s="101">
        <f>V39</f>
        <v>2029</v>
      </c>
      <c r="W60" s="102">
        <f>W39</f>
        <v>2030</v>
      </c>
      <c r="Z60" s="84"/>
      <c r="AA60" s="101">
        <f>AA39</f>
        <v>2026</v>
      </c>
      <c r="AB60" s="101">
        <f>AB39</f>
        <v>2027</v>
      </c>
      <c r="AC60" s="101">
        <f>AC39</f>
        <v>2028</v>
      </c>
      <c r="AD60" s="101">
        <f>AD39</f>
        <v>2029</v>
      </c>
      <c r="AE60" s="102">
        <f>AE39</f>
        <v>2030</v>
      </c>
      <c r="AH60" s="84"/>
      <c r="AI60" s="101">
        <f>AI39</f>
        <v>2026</v>
      </c>
      <c r="AJ60" s="101">
        <f>AJ39</f>
        <v>2027</v>
      </c>
      <c r="AK60" s="101">
        <f>AK39</f>
        <v>2028</v>
      </c>
      <c r="AL60" s="101">
        <f>AL39</f>
        <v>2029</v>
      </c>
      <c r="AM60" s="102">
        <f>AM39</f>
        <v>2030</v>
      </c>
      <c r="AP60" s="84"/>
      <c r="AQ60" s="101">
        <f>AQ39</f>
        <v>2026</v>
      </c>
      <c r="AR60" s="101">
        <f>AR39</f>
        <v>2027</v>
      </c>
      <c r="AS60" s="101">
        <f>AS39</f>
        <v>2028</v>
      </c>
      <c r="AT60" s="101">
        <f>AT39</f>
        <v>2029</v>
      </c>
      <c r="AU60" s="102">
        <f>AU39</f>
        <v>2030</v>
      </c>
      <c r="AX60" s="84"/>
      <c r="AY60" s="101">
        <f>AY39</f>
        <v>2026</v>
      </c>
      <c r="AZ60" s="101">
        <f>AZ39</f>
        <v>2027</v>
      </c>
      <c r="BA60" s="101">
        <f>BA39</f>
        <v>2028</v>
      </c>
      <c r="BB60" s="101">
        <f>BB39</f>
        <v>2029</v>
      </c>
      <c r="BC60" s="102">
        <f>BC39</f>
        <v>2030</v>
      </c>
      <c r="BF60" s="84"/>
      <c r="BG60" s="101">
        <f>BG39</f>
        <v>2026</v>
      </c>
      <c r="BH60" s="101">
        <f>BH39</f>
        <v>2027</v>
      </c>
      <c r="BI60" s="101">
        <f>BI39</f>
        <v>2028</v>
      </c>
      <c r="BJ60" s="101">
        <f>BJ39</f>
        <v>2029</v>
      </c>
      <c r="BK60" s="102">
        <f>BK39</f>
        <v>2030</v>
      </c>
      <c r="BN60" s="84"/>
      <c r="BO60" s="101">
        <f>BO39</f>
        <v>2026</v>
      </c>
      <c r="BP60" s="101">
        <f>BP39</f>
        <v>2027</v>
      </c>
      <c r="BQ60" s="101">
        <f>BQ39</f>
        <v>2028</v>
      </c>
      <c r="BR60" s="101">
        <f>BR39</f>
        <v>2029</v>
      </c>
      <c r="BS60" s="102">
        <f>BS39</f>
        <v>2030</v>
      </c>
      <c r="BV60" s="84"/>
      <c r="BW60" s="101">
        <f>BW39</f>
        <v>2026</v>
      </c>
      <c r="BX60" s="101">
        <f>BX39</f>
        <v>2027</v>
      </c>
      <c r="BY60" s="101">
        <f>BY39</f>
        <v>2028</v>
      </c>
      <c r="BZ60" s="101">
        <f>BZ39</f>
        <v>2029</v>
      </c>
      <c r="CA60" s="102">
        <f>CA39</f>
        <v>2030</v>
      </c>
      <c r="CD60" s="84"/>
      <c r="CE60" s="101">
        <f>CE39</f>
        <v>2026</v>
      </c>
      <c r="CF60" s="101">
        <f>CF39</f>
        <v>2027</v>
      </c>
      <c r="CG60" s="101">
        <f>CG39</f>
        <v>2028</v>
      </c>
      <c r="CH60" s="101">
        <f>CH39</f>
        <v>2029</v>
      </c>
      <c r="CI60" s="102">
        <f>CI39</f>
        <v>2030</v>
      </c>
      <c r="CL60" s="84"/>
      <c r="CM60" s="101">
        <f>CM39</f>
        <v>2026</v>
      </c>
      <c r="CN60" s="101">
        <f>CN39</f>
        <v>2027</v>
      </c>
      <c r="CO60" s="101">
        <f>CO39</f>
        <v>2028</v>
      </c>
      <c r="CP60" s="101">
        <f>CP39</f>
        <v>2029</v>
      </c>
      <c r="CQ60" s="102">
        <f>CQ39</f>
        <v>2030</v>
      </c>
      <c r="CT60" s="84"/>
      <c r="CU60" s="101">
        <f>CU39</f>
        <v>2026</v>
      </c>
      <c r="CV60" s="101">
        <f>CV39</f>
        <v>2027</v>
      </c>
      <c r="CW60" s="101">
        <f>CW39</f>
        <v>2028</v>
      </c>
      <c r="CX60" s="101">
        <f>CX39</f>
        <v>2029</v>
      </c>
      <c r="CY60" s="102">
        <f>CY39</f>
        <v>2030</v>
      </c>
      <c r="DB60" s="84"/>
      <c r="DC60" s="101">
        <f>DC39</f>
        <v>2026</v>
      </c>
      <c r="DD60" s="101">
        <f>DD39</f>
        <v>2027</v>
      </c>
      <c r="DE60" s="101">
        <f>DE39</f>
        <v>2028</v>
      </c>
      <c r="DF60" s="101">
        <f>DF39</f>
        <v>2029</v>
      </c>
      <c r="DG60" s="102">
        <f>DG39</f>
        <v>2030</v>
      </c>
    </row>
    <row r="61" spans="2:113" s="83" customFormat="1" ht="15" thickBot="1">
      <c r="B61" s="386"/>
      <c r="C61" s="388">
        <f ca="1">(C19*ci_int1)+(C19*ct_int1*'Time on treatment'!$D$12)</f>
        <v>1479583.7492400003</v>
      </c>
      <c r="D61" s="388">
        <f ca="1">((D19-C19)*ci_int1)+(D19*ct_int1*'Time on treatment'!$D$12)</f>
        <v>2982406.3514999999</v>
      </c>
      <c r="E61" s="388">
        <f ca="1">((E19-(D19-C19)-C19)*ci_int1)+(E19*ct_int1*'Time on treatment'!$D$12)</f>
        <v>4507466.0433299998</v>
      </c>
      <c r="F61" s="388">
        <f ca="1">((F19-(E19-D19)-(D19-C19)-C19)*ci_int1)+(F19*ct_int1*'Time on treatment'!$D$12)</f>
        <v>6055296.01884</v>
      </c>
      <c r="G61" s="389">
        <f ca="1">((G19-(F19-E19)-(E19-D19)-(D19-C19)-C19)*ci_int1)+(G19*ct_int1*'Time on treatment'!$D$12)</f>
        <v>7626888.2151000006</v>
      </c>
      <c r="H61" s="77"/>
      <c r="I61" s="77"/>
      <c r="J61" s="386"/>
      <c r="K61" s="388">
        <f ca="1">(K19*ci_int2)+(K19*ct_int2*'Time on treatment'!$D$12)</f>
        <v>0</v>
      </c>
      <c r="L61" s="388">
        <f ca="1">((L19-K19)*ci_int2)+(L19*ct_int2*'Time on treatment'!$D$12)</f>
        <v>0</v>
      </c>
      <c r="M61" s="388">
        <f ca="1">((M19-(L19-K19)-K19)*ci_int2)+(M19*ct_int2*'Time on treatment'!$D$12)</f>
        <v>0</v>
      </c>
      <c r="N61" s="388">
        <f ca="1">((N19-(M19-L19)-(L19-K19)-K19)*ci_int2)+(N19*ct_int2*'Time on treatment'!$D$12)</f>
        <v>0</v>
      </c>
      <c r="O61" s="389">
        <f ca="1">((O19-(N19-M19)-(M19-L19)-(L19-K19)-K19)*ci_int2)+(O19*ct_int2*'Time on treatment'!$D$12)</f>
        <v>0</v>
      </c>
      <c r="P61" s="77"/>
      <c r="Q61" s="77"/>
      <c r="R61" s="386"/>
      <c r="S61" s="388">
        <f ca="1">(S19*ci_int3)+(S19*ct_int3*'Time on treatment'!$D$12)</f>
        <v>0</v>
      </c>
      <c r="T61" s="388">
        <f ca="1">((T19-S19)*ci_int3)+(T19*ct_int3*'Time on treatment'!$D$12)</f>
        <v>0</v>
      </c>
      <c r="U61" s="388">
        <f ca="1">((U19-(T19-S19)-S19)*ci_int3)+(U19*ct_int3*'Time on treatment'!$D$12)</f>
        <v>0</v>
      </c>
      <c r="V61" s="388">
        <f ca="1">((V19-(U19-T19)-(T19-S19)-S19)*ci_int3)+(V19*ct_int3*'Time on treatment'!$D$12)</f>
        <v>0</v>
      </c>
      <c r="W61" s="389">
        <f ca="1">((W19-(V19-U19)-(U19-T19)-(T19-S19)-S19)*ci_int3)+(W19*ct_int3*'Time on treatment'!$D$12)</f>
        <v>0</v>
      </c>
      <c r="X61" s="77"/>
      <c r="Y61" s="77"/>
      <c r="Z61" s="386"/>
      <c r="AA61" s="388">
        <f ca="1">(AA19*ci_int4)+(AA19*ct_int4*'Time on treatment'!$D$12)</f>
        <v>0</v>
      </c>
      <c r="AB61" s="388">
        <f ca="1">((AB19-AA19)*ci_int4)+(AB19*ct_int4*'Time on treatment'!$D$12)</f>
        <v>0</v>
      </c>
      <c r="AC61" s="388">
        <f ca="1">((AC19-(AB19-AA19)-AA19)*ci_int4)+(AC19*ct_int4*'Time on treatment'!$D$12)</f>
        <v>0</v>
      </c>
      <c r="AD61" s="388">
        <f ca="1">((AD19-(AC19-AB19)-(AB19-AA19)-AA19)*ci_int4)+(AD19*ct_int4*'Time on treatment'!$D$12)</f>
        <v>0</v>
      </c>
      <c r="AE61" s="389">
        <f ca="1">((AE19-(AD19-AC19)-(AC19-AB19)-(AB19-AA19)-AA19)*ci_int4)+(AE19*ct_int4*'Time on treatment'!$D$12)</f>
        <v>0</v>
      </c>
      <c r="AF61" s="77"/>
      <c r="AG61" s="77"/>
      <c r="AH61" s="386"/>
      <c r="AI61" s="388">
        <f ca="1">(AI19*ci_comp1)+(AI19*ct_comp1*'Time on treatment'!$D$12)</f>
        <v>6106570.9295022003</v>
      </c>
      <c r="AJ61" s="388">
        <f ca="1">((AJ19-AI19)*ci_comp1)+(AJ19*ct_comp1*'Time on treatment'!$D$12)</f>
        <v>5830604.4171825005</v>
      </c>
      <c r="AK61" s="388">
        <f ca="1">((AK19-(AJ19-AI19)-AI19)*ci_comp1)+(AK19*ct_comp1*'Time on treatment'!$D$12)</f>
        <v>5548356.8129656501</v>
      </c>
      <c r="AL61" s="388">
        <f ca="1">((AL19-(AK19-AJ19)-(AJ19-AI19)-AI19)*ci_comp1)+(AL19*ct_comp1*'Time on treatment'!$D$12)</f>
        <v>5261379.4297032002</v>
      </c>
      <c r="AM61" s="389">
        <f ca="1">((AM19-(AL19-AK19)-(AK19-AJ19)-(AJ19-AI19)-AI19)*ci_comp1)+(AM19*ct_comp1*'Time on treatment'!$D$12)</f>
        <v>4970188.8201735001</v>
      </c>
      <c r="AN61" s="77"/>
      <c r="AO61" s="77"/>
      <c r="AP61" s="386"/>
      <c r="AQ61" s="388">
        <f ca="1">(AQ19*ci_comp2)+(AQ19*ct_comp2*'Time on treatment'!$D$12)</f>
        <v>0</v>
      </c>
      <c r="AR61" s="388">
        <f ca="1">((AR19-AQ19)*ci_comp2)+(AR19*ct_comp2*'Time on treatment'!$D$12)</f>
        <v>0</v>
      </c>
      <c r="AS61" s="388">
        <f ca="1">((AS19-(AR19-AQ19)-AQ19)*ci_comp2)+(AS19*ct_comp2*'Time on treatment'!$D$12)</f>
        <v>0</v>
      </c>
      <c r="AT61" s="388">
        <f ca="1">((AT19-(AS19-AR19)-(AR19-AQ19)-AQ19)*ci_comp2)+(AT19*ct_comp2*'Time on treatment'!$D$12)</f>
        <v>0</v>
      </c>
      <c r="AU61" s="389">
        <f ca="1">((AU19-(AT19-AS19)-(AS19-AR19)-(AR19-AQ19)-AQ19)*ci_comp2)+(AU19*ct_comp2*'Time on treatment'!$D$12)</f>
        <v>0</v>
      </c>
      <c r="AV61" s="77"/>
      <c r="AW61" s="77"/>
      <c r="AX61" s="386"/>
      <c r="AY61" s="388">
        <f ca="1">(AY19*ci_comp3)+(AY19*ct_comp3*'Time on treatment'!$D$12)</f>
        <v>0</v>
      </c>
      <c r="AZ61" s="388">
        <f ca="1">((AZ19-AY19)*ci_comp3)+(AZ19*ct_comp3*'Time on treatment'!$D$12)</f>
        <v>0</v>
      </c>
      <c r="BA61" s="388">
        <f ca="1">((BA19-(AZ19-AY19)-AY19)*ci_comp3)+(BA19*ct_comp3*'Time on treatment'!$D$12)</f>
        <v>0</v>
      </c>
      <c r="BB61" s="388">
        <f ca="1">((BB19-(BA19-AZ19)-(AZ19-AY19)-AY19)*ci_comp3)+(BB19*ct_comp3*'Time on treatment'!$D$12)</f>
        <v>0</v>
      </c>
      <c r="BC61" s="389">
        <f ca="1">((BC19-(BB19-BA19)-(BA19-AZ19)-(AZ19-AY19)-AY19)*ci_comp3)+(BC19*ct_comp3*'Time on treatment'!$D$12)</f>
        <v>0</v>
      </c>
      <c r="BD61" s="77"/>
      <c r="BE61" s="77"/>
      <c r="BF61" s="386"/>
      <c r="BG61" s="388">
        <f ca="1">(BG19*ci_comp4)+(BG19*ct_comp4*'Time on treatment'!$D$12)</f>
        <v>0</v>
      </c>
      <c r="BH61" s="388">
        <f ca="1">((BH19-BG19)*ci_comp4)+(BH19*ct_comp4*'Time on treatment'!$D$12)</f>
        <v>0</v>
      </c>
      <c r="BI61" s="388">
        <f ca="1">((BI19-(BH19-BG19)-BG19)*ci_comp4)+(BI19*ct_comp4*'Time on treatment'!$D$12)</f>
        <v>0</v>
      </c>
      <c r="BJ61" s="388">
        <f ca="1">((BJ19-(BI19-BH19)-(BH19-BG19)-BG19)*ci_comp4)+(BJ19*ct_comp4*'Time on treatment'!$D$12)</f>
        <v>0</v>
      </c>
      <c r="BK61" s="389">
        <f ca="1">((BK19-(BJ19-BI19)-(BI19-BH19)-(BH19-BG19)-BG19)*ci_comp4)+(BK19*ct_comp4*'Time on treatment'!$D$12)</f>
        <v>0</v>
      </c>
      <c r="BL61" s="77"/>
      <c r="BM61" s="77"/>
      <c r="BN61" s="386"/>
      <c r="BO61" s="388">
        <f ca="1">(BO19*ci_comp5)+(BO19*ct_comp5*'Time on treatment'!$D$12)</f>
        <v>0</v>
      </c>
      <c r="BP61" s="388">
        <f ca="1">((BP19-BO19)*ci_comp5)+(BP19*ct_comp5*'Time on treatment'!$D$12)</f>
        <v>0</v>
      </c>
      <c r="BQ61" s="388">
        <f ca="1">((BQ19-(BP19-BO19)-BO19)*ci_comp5)+(BQ19*ct_comp5*'Time on treatment'!$D$12)</f>
        <v>0</v>
      </c>
      <c r="BR61" s="388">
        <f ca="1">((BR19-(BQ19-BP19)-(BP19-BO19)-BO19)*ci_comp5)+(BR19*ct_comp5*'Time on treatment'!$D$12)</f>
        <v>0</v>
      </c>
      <c r="BS61" s="389">
        <f ca="1">((BS19-(BR19-BQ19)-(BQ19-BP19)-(BP19-BO19)-BO19)*ci_comp5)+(BS19*ct_comp5*'Time on treatment'!$D$12)</f>
        <v>0</v>
      </c>
      <c r="BT61" s="77"/>
      <c r="BU61" s="77"/>
      <c r="BV61" s="386"/>
      <c r="BW61" s="388">
        <f ca="1">(BW19*ci_comp6)+(BW19*ct_comp6*'Time on treatment'!$D$12)</f>
        <v>0</v>
      </c>
      <c r="BX61" s="388">
        <f ca="1">((BX19-BW19)*ci_comp6)+(BX19*ct_comp6*'Time on treatment'!$D$12)</f>
        <v>0</v>
      </c>
      <c r="BY61" s="388">
        <f ca="1">((BY19-(BX19-BW19)-BW19)*ci_comp6)+(BY19*ct_comp6*'Time on treatment'!$D$12)</f>
        <v>0</v>
      </c>
      <c r="BZ61" s="388">
        <f ca="1">((BZ19-(BY19-BX19)-(BX19-BW19)-BW19)*ci_comp6)+(BZ19*ct_comp6*'Time on treatment'!$D$12)</f>
        <v>0</v>
      </c>
      <c r="CA61" s="389">
        <f ca="1">((CA19-(BZ19-BY19)-(BY19-BX19)-(BX19-BW19)-BW19)*ci_comp6)+(CA19*ct_comp6*'Time on treatment'!$D$12)</f>
        <v>0</v>
      </c>
      <c r="CB61" s="77"/>
      <c r="CC61" s="77"/>
      <c r="CD61" s="386"/>
      <c r="CE61" s="388">
        <f ca="1">(CE19*ci_comp7)+(CE19*ct_comp7*'Time on treatment'!$D$12)</f>
        <v>0</v>
      </c>
      <c r="CF61" s="388">
        <f ca="1">((CF19-CE19)*ci_comp7)+(CF19*ct_comp7*'Time on treatment'!$D$12)</f>
        <v>0</v>
      </c>
      <c r="CG61" s="388">
        <f ca="1">((CG19-(CF19-CE19)-CE19)*ci_comp7)+(CG19*ct_comp7*'Time on treatment'!$D$12)</f>
        <v>0</v>
      </c>
      <c r="CH61" s="388">
        <f ca="1">((CH19-(CG19-CF19)-(CF19-CE19)-CE19)*ci_comp7)+(CH19*ct_comp7*'Time on treatment'!$D$12)</f>
        <v>0</v>
      </c>
      <c r="CI61" s="389">
        <f ca="1">((CI19-(CH19-CG19)-(CG19-CF19)-(CF19-CE19)-CE19)*ci_comp7)+(CI19*ct_comp7*'Time on treatment'!$D$12)</f>
        <v>0</v>
      </c>
      <c r="CJ61" s="77"/>
      <c r="CK61" s="77"/>
      <c r="CL61" s="386"/>
      <c r="CM61" s="388">
        <f ca="1">(CM19*ci_comp8)+(CM19*ct_comp8*'Time on treatment'!$D$12)</f>
        <v>0</v>
      </c>
      <c r="CN61" s="388">
        <f ca="1">((CN19-CM19)*ci_comp8)+(CN19*ct_comp8*'Time on treatment'!$D$12)</f>
        <v>0</v>
      </c>
      <c r="CO61" s="388">
        <f ca="1">((CO19-(CN19-CM19)-CM19)*ci_comp8)+(CO19*ct_comp8*'Time on treatment'!$D$12)</f>
        <v>0</v>
      </c>
      <c r="CP61" s="388">
        <f ca="1">((CP19-(CO19-CN19)-(CN19-CM19)-CM19)*ci_comp8)+(CP19*ct_comp8*'Time on treatment'!$D$12)</f>
        <v>0</v>
      </c>
      <c r="CQ61" s="389">
        <f ca="1">((CQ19-(CP19-CO19)-(CO19-CN19)-(CN19-CM19)-CM19)*ci_comp8)+(CQ19*ct_comp8*'Time on treatment'!$D$12)</f>
        <v>0</v>
      </c>
      <c r="CR61" s="77"/>
      <c r="CS61" s="77"/>
      <c r="CT61" s="386"/>
      <c r="CU61" s="388">
        <f ca="1">(CU19*ci_comp9)+(CU19*ct_comp9*'Time on treatment'!$D$12)</f>
        <v>0</v>
      </c>
      <c r="CV61" s="388">
        <f ca="1">((CV19-CU19)*ci_comp9)+(CV19*ct_comp9*'Time on treatment'!$D$12)</f>
        <v>0</v>
      </c>
      <c r="CW61" s="388">
        <f ca="1">((CW19-(CV19-CU19)-CU19)*ci_comp9)+(CW19*ct_comp9*'Time on treatment'!$D$12)</f>
        <v>0</v>
      </c>
      <c r="CX61" s="388">
        <f ca="1">((CX19-(CW19-CV19)-(CV19-CU19)-CU19)*ci_comp9)+(CX19*ct_comp9*'Time on treatment'!$D$12)</f>
        <v>0</v>
      </c>
      <c r="CY61" s="389">
        <f ca="1">((CY19-(CX19-CW19)-(CW19-CV19)-(CV19-CU19)-CU19)*ci_comp9)+(CY19*ct_comp9*'Time on treatment'!$D$12)</f>
        <v>0</v>
      </c>
      <c r="CZ61" s="77"/>
      <c r="DA61" s="77"/>
      <c r="DB61" s="386"/>
      <c r="DC61" s="388">
        <f ca="1">(DC19*ci_comp10)+(DC19*ct_comp10*'Time on treatment'!$D$12)</f>
        <v>0</v>
      </c>
      <c r="DD61" s="388">
        <f ca="1">((DD19-DC19)*ci_comp10)+(DD19*ct_comp10*'Time on treatment'!$D$12)</f>
        <v>0</v>
      </c>
      <c r="DE61" s="388">
        <f ca="1">((DE19-(DD19-DC19)-DC19)*ci_comp10)+(DE19*ct_comp10*'Time on treatment'!$D$12)</f>
        <v>0</v>
      </c>
      <c r="DF61" s="388">
        <f ca="1">((DF19-(DE19-DD19)-(DD19-DC19)-DC19)*ci_comp10)+(DF19*ct_comp10*'Time on treatment'!$D$12)</f>
        <v>0</v>
      </c>
      <c r="DG61" s="389">
        <f ca="1">((DG19-(DF19-DE19)-(DE19-DD19)-(DD19-DC19)-DC19)*ci_comp10)+(DG19*ct_comp10*'Time on treatment'!$D$12)</f>
        <v>0</v>
      </c>
      <c r="DH61" s="77"/>
      <c r="DI61" s="77"/>
    </row>
    <row r="62" spans="2:113" ht="15" thickBot="1">
      <c r="B62" s="83"/>
      <c r="C62" s="86"/>
      <c r="D62" s="86"/>
      <c r="E62" s="86"/>
      <c r="F62" s="86"/>
      <c r="G62" s="86"/>
      <c r="J62" s="83"/>
      <c r="K62" s="86"/>
      <c r="L62" s="86"/>
      <c r="M62" s="86"/>
      <c r="N62" s="86"/>
      <c r="O62" s="86"/>
      <c r="R62" s="83"/>
      <c r="S62" s="86"/>
      <c r="T62" s="86"/>
      <c r="U62" s="86"/>
      <c r="V62" s="86"/>
      <c r="W62" s="86"/>
      <c r="Z62" s="83"/>
      <c r="AA62" s="86"/>
      <c r="AB62" s="86"/>
      <c r="AC62" s="86"/>
      <c r="AD62" s="86"/>
      <c r="AE62" s="86"/>
      <c r="AH62" s="83"/>
      <c r="AI62" s="86"/>
      <c r="AJ62" s="86"/>
      <c r="AK62" s="86"/>
      <c r="AL62" s="86"/>
      <c r="AM62" s="86"/>
      <c r="AP62" s="83"/>
      <c r="AQ62" s="86"/>
      <c r="AR62" s="86"/>
      <c r="AS62" s="86"/>
      <c r="AT62" s="86"/>
      <c r="AU62" s="86"/>
      <c r="AX62" s="83"/>
      <c r="AY62" s="86"/>
      <c r="AZ62" s="86"/>
      <c r="BA62" s="86"/>
      <c r="BB62" s="86"/>
      <c r="BC62" s="86"/>
      <c r="BF62" s="83"/>
      <c r="BG62" s="86"/>
      <c r="BH62" s="86"/>
      <c r="BI62" s="86"/>
      <c r="BJ62" s="86"/>
      <c r="BK62" s="86"/>
      <c r="BN62" s="83"/>
      <c r="BO62" s="86"/>
      <c r="BP62" s="86"/>
      <c r="BQ62" s="86"/>
      <c r="BR62" s="86"/>
      <c r="BS62" s="86"/>
      <c r="BV62" s="83"/>
      <c r="BW62" s="86"/>
      <c r="BX62" s="86"/>
      <c r="BY62" s="86"/>
      <c r="BZ62" s="86"/>
      <c r="CA62" s="86"/>
      <c r="CD62" s="83"/>
      <c r="CE62" s="86"/>
      <c r="CF62" s="86"/>
      <c r="CG62" s="86"/>
      <c r="CH62" s="86"/>
      <c r="CI62" s="86"/>
      <c r="CL62" s="83"/>
      <c r="CM62" s="86"/>
      <c r="CN62" s="86"/>
      <c r="CO62" s="86"/>
      <c r="CP62" s="86"/>
      <c r="CQ62" s="86"/>
      <c r="CT62" s="83"/>
      <c r="CU62" s="86"/>
      <c r="CV62" s="86"/>
      <c r="CW62" s="86"/>
      <c r="CX62" s="86"/>
      <c r="CY62" s="86"/>
      <c r="DB62" s="83"/>
      <c r="DC62" s="86"/>
      <c r="DD62" s="86"/>
      <c r="DE62" s="86"/>
      <c r="DF62" s="86"/>
      <c r="DG62" s="86"/>
    </row>
    <row r="63" spans="2:113" ht="15" thickBot="1">
      <c r="B63" s="508" t="str">
        <f>B42</f>
        <v>Drug 2 only</v>
      </c>
      <c r="C63" s="506"/>
      <c r="D63" s="506"/>
      <c r="E63" s="506"/>
      <c r="F63" s="506"/>
      <c r="G63" s="507"/>
      <c r="J63" s="508" t="str">
        <f>J42</f>
        <v>Drug 2 only</v>
      </c>
      <c r="K63" s="506"/>
      <c r="L63" s="506"/>
      <c r="M63" s="506"/>
      <c r="N63" s="506"/>
      <c r="O63" s="507"/>
      <c r="R63" s="508" t="str">
        <f>R42</f>
        <v>Drug 2 only</v>
      </c>
      <c r="S63" s="506"/>
      <c r="T63" s="506"/>
      <c r="U63" s="506"/>
      <c r="V63" s="506"/>
      <c r="W63" s="507"/>
      <c r="Z63" s="508" t="str">
        <f>Z42</f>
        <v>Drug 2 only</v>
      </c>
      <c r="AA63" s="506"/>
      <c r="AB63" s="506"/>
      <c r="AC63" s="506"/>
      <c r="AD63" s="506"/>
      <c r="AE63" s="507"/>
      <c r="AH63" s="508" t="str">
        <f>AH42</f>
        <v>Drug 2 only</v>
      </c>
      <c r="AI63" s="506"/>
      <c r="AJ63" s="506"/>
      <c r="AK63" s="506"/>
      <c r="AL63" s="506"/>
      <c r="AM63" s="507"/>
      <c r="AP63" s="508" t="str">
        <f>AP42</f>
        <v>Drug 2 only</v>
      </c>
      <c r="AQ63" s="506"/>
      <c r="AR63" s="506"/>
      <c r="AS63" s="506"/>
      <c r="AT63" s="506"/>
      <c r="AU63" s="507"/>
      <c r="AX63" s="508" t="str">
        <f>AX42</f>
        <v>Drug 2 only</v>
      </c>
      <c r="AY63" s="506"/>
      <c r="AZ63" s="506"/>
      <c r="BA63" s="506"/>
      <c r="BB63" s="506"/>
      <c r="BC63" s="507"/>
      <c r="BF63" s="508" t="str">
        <f>BF42</f>
        <v>Drug 2 only</v>
      </c>
      <c r="BG63" s="506"/>
      <c r="BH63" s="506"/>
      <c r="BI63" s="506"/>
      <c r="BJ63" s="506"/>
      <c r="BK63" s="507"/>
      <c r="BN63" s="508" t="str">
        <f>BN42</f>
        <v>Drug 2 only</v>
      </c>
      <c r="BO63" s="506"/>
      <c r="BP63" s="506"/>
      <c r="BQ63" s="506"/>
      <c r="BR63" s="506"/>
      <c r="BS63" s="507"/>
      <c r="BV63" s="508" t="str">
        <f>BV42</f>
        <v>Drug 2 only</v>
      </c>
      <c r="BW63" s="506"/>
      <c r="BX63" s="506"/>
      <c r="BY63" s="506"/>
      <c r="BZ63" s="506"/>
      <c r="CA63" s="507"/>
      <c r="CD63" s="508" t="str">
        <f>CD42</f>
        <v>Drug 2 only</v>
      </c>
      <c r="CE63" s="506"/>
      <c r="CF63" s="506"/>
      <c r="CG63" s="506"/>
      <c r="CH63" s="506"/>
      <c r="CI63" s="507"/>
      <c r="CL63" s="508" t="str">
        <f>CL42</f>
        <v>Drug 2 only</v>
      </c>
      <c r="CM63" s="506"/>
      <c r="CN63" s="506"/>
      <c r="CO63" s="506"/>
      <c r="CP63" s="506"/>
      <c r="CQ63" s="507"/>
      <c r="CT63" s="508" t="str">
        <f>CT42</f>
        <v>Drug 2 only</v>
      </c>
      <c r="CU63" s="506"/>
      <c r="CV63" s="506"/>
      <c r="CW63" s="506"/>
      <c r="CX63" s="506"/>
      <c r="CY63" s="507"/>
      <c r="DB63" s="508" t="str">
        <f>DB42</f>
        <v>Drug 2 only</v>
      </c>
      <c r="DC63" s="506"/>
      <c r="DD63" s="506"/>
      <c r="DE63" s="506"/>
      <c r="DF63" s="506"/>
      <c r="DG63" s="507"/>
    </row>
    <row r="64" spans="2:113">
      <c r="B64" s="84"/>
      <c r="C64" s="101">
        <f>C43</f>
        <v>2026</v>
      </c>
      <c r="D64" s="101">
        <f>D43</f>
        <v>2027</v>
      </c>
      <c r="E64" s="101">
        <f>E43</f>
        <v>2028</v>
      </c>
      <c r="F64" s="101">
        <f>F43</f>
        <v>2029</v>
      </c>
      <c r="G64" s="102">
        <f>G43</f>
        <v>2030</v>
      </c>
      <c r="J64" s="84"/>
      <c r="K64" s="101">
        <f>K43</f>
        <v>2026</v>
      </c>
      <c r="L64" s="101">
        <f>L43</f>
        <v>2027</v>
      </c>
      <c r="M64" s="101">
        <f>M43</f>
        <v>2028</v>
      </c>
      <c r="N64" s="101">
        <f>N43</f>
        <v>2029</v>
      </c>
      <c r="O64" s="102">
        <f>O43</f>
        <v>2030</v>
      </c>
      <c r="R64" s="84"/>
      <c r="S64" s="101">
        <f>S43</f>
        <v>2026</v>
      </c>
      <c r="T64" s="101">
        <f>T43</f>
        <v>2027</v>
      </c>
      <c r="U64" s="101">
        <f>U43</f>
        <v>2028</v>
      </c>
      <c r="V64" s="101">
        <f>V43</f>
        <v>2029</v>
      </c>
      <c r="W64" s="102">
        <f>W43</f>
        <v>2030</v>
      </c>
      <c r="Z64" s="84"/>
      <c r="AA64" s="101">
        <f>AA43</f>
        <v>2026</v>
      </c>
      <c r="AB64" s="101">
        <f>AB43</f>
        <v>2027</v>
      </c>
      <c r="AC64" s="101">
        <f>AC43</f>
        <v>2028</v>
      </c>
      <c r="AD64" s="101">
        <f>AD43</f>
        <v>2029</v>
      </c>
      <c r="AE64" s="102">
        <f>AE43</f>
        <v>2030</v>
      </c>
      <c r="AH64" s="84"/>
      <c r="AI64" s="101">
        <f>AI43</f>
        <v>2026</v>
      </c>
      <c r="AJ64" s="101">
        <f>AJ43</f>
        <v>2027</v>
      </c>
      <c r="AK64" s="101">
        <f>AK43</f>
        <v>2028</v>
      </c>
      <c r="AL64" s="101">
        <f>AL43</f>
        <v>2029</v>
      </c>
      <c r="AM64" s="102">
        <f>AM43</f>
        <v>2030</v>
      </c>
      <c r="AP64" s="84"/>
      <c r="AQ64" s="101">
        <f>AQ43</f>
        <v>2026</v>
      </c>
      <c r="AR64" s="101">
        <f>AR43</f>
        <v>2027</v>
      </c>
      <c r="AS64" s="101">
        <f>AS43</f>
        <v>2028</v>
      </c>
      <c r="AT64" s="101">
        <f>AT43</f>
        <v>2029</v>
      </c>
      <c r="AU64" s="102">
        <f>AU43</f>
        <v>2030</v>
      </c>
      <c r="AX64" s="84"/>
      <c r="AY64" s="101">
        <f>AY43</f>
        <v>2026</v>
      </c>
      <c r="AZ64" s="101">
        <f>AZ43</f>
        <v>2027</v>
      </c>
      <c r="BA64" s="101">
        <f>BA43</f>
        <v>2028</v>
      </c>
      <c r="BB64" s="101">
        <f>BB43</f>
        <v>2029</v>
      </c>
      <c r="BC64" s="102">
        <f>BC43</f>
        <v>2030</v>
      </c>
      <c r="BF64" s="84"/>
      <c r="BG64" s="101">
        <f>BG43</f>
        <v>2026</v>
      </c>
      <c r="BH64" s="101">
        <f>BH43</f>
        <v>2027</v>
      </c>
      <c r="BI64" s="101">
        <f>BI43</f>
        <v>2028</v>
      </c>
      <c r="BJ64" s="101">
        <f>BJ43</f>
        <v>2029</v>
      </c>
      <c r="BK64" s="102">
        <f>BK43</f>
        <v>2030</v>
      </c>
      <c r="BN64" s="84"/>
      <c r="BO64" s="101">
        <f>BO43</f>
        <v>2026</v>
      </c>
      <c r="BP64" s="101">
        <f>BP43</f>
        <v>2027</v>
      </c>
      <c r="BQ64" s="101">
        <f>BQ43</f>
        <v>2028</v>
      </c>
      <c r="BR64" s="101">
        <f>BR43</f>
        <v>2029</v>
      </c>
      <c r="BS64" s="102">
        <f>BS43</f>
        <v>2030</v>
      </c>
      <c r="BV64" s="84"/>
      <c r="BW64" s="101">
        <f>BW43</f>
        <v>2026</v>
      </c>
      <c r="BX64" s="101">
        <f>BX43</f>
        <v>2027</v>
      </c>
      <c r="BY64" s="101">
        <f>BY43</f>
        <v>2028</v>
      </c>
      <c r="BZ64" s="101">
        <f>BZ43</f>
        <v>2029</v>
      </c>
      <c r="CA64" s="102">
        <f>CA43</f>
        <v>2030</v>
      </c>
      <c r="CD64" s="84"/>
      <c r="CE64" s="101">
        <f>CE43</f>
        <v>2026</v>
      </c>
      <c r="CF64" s="101">
        <f>CF43</f>
        <v>2027</v>
      </c>
      <c r="CG64" s="101">
        <f>CG43</f>
        <v>2028</v>
      </c>
      <c r="CH64" s="101">
        <f>CH43</f>
        <v>2029</v>
      </c>
      <c r="CI64" s="102">
        <f>CI43</f>
        <v>2030</v>
      </c>
      <c r="CL64" s="84"/>
      <c r="CM64" s="101">
        <f>CM43</f>
        <v>2026</v>
      </c>
      <c r="CN64" s="101">
        <f>CN43</f>
        <v>2027</v>
      </c>
      <c r="CO64" s="101">
        <f>CO43</f>
        <v>2028</v>
      </c>
      <c r="CP64" s="101">
        <f>CP43</f>
        <v>2029</v>
      </c>
      <c r="CQ64" s="102">
        <f>CQ43</f>
        <v>2030</v>
      </c>
      <c r="CT64" s="84"/>
      <c r="CU64" s="101">
        <f>CU43</f>
        <v>2026</v>
      </c>
      <c r="CV64" s="101">
        <f>CV43</f>
        <v>2027</v>
      </c>
      <c r="CW64" s="101">
        <f>CW43</f>
        <v>2028</v>
      </c>
      <c r="CX64" s="101">
        <f>CX43</f>
        <v>2029</v>
      </c>
      <c r="CY64" s="102">
        <f>CY43</f>
        <v>2030</v>
      </c>
      <c r="DB64" s="84"/>
      <c r="DC64" s="101">
        <f>DC43</f>
        <v>2026</v>
      </c>
      <c r="DD64" s="101">
        <f>DD43</f>
        <v>2027</v>
      </c>
      <c r="DE64" s="101">
        <f>DE43</f>
        <v>2028</v>
      </c>
      <c r="DF64" s="101">
        <f>DF43</f>
        <v>2029</v>
      </c>
      <c r="DG64" s="102">
        <f>DG43</f>
        <v>2030</v>
      </c>
    </row>
    <row r="65" spans="2:113" s="83" customFormat="1" ht="15" thickBot="1">
      <c r="B65" s="386"/>
      <c r="C65" s="388">
        <f ca="1">(C23*ci_int1)+(C23*ct_int1*'Time on treatment'!$D$12)</f>
        <v>0</v>
      </c>
      <c r="D65" s="388">
        <f ca="1">((D23-C23)*ci_int1)+(D23*ct_int1*'Time on treatment'!$D$12)</f>
        <v>0</v>
      </c>
      <c r="E65" s="388">
        <f ca="1">((E23-(D23-C23)-C23)*ci_int1)+(E23*ct_int1*'Time on treatment'!$D$12)</f>
        <v>0</v>
      </c>
      <c r="F65" s="388">
        <f ca="1">((F23-(E23-D23)-(D23-C23)-C23)*ci_int1)+(F23*ct_int1*'Time on treatment'!$D$12)</f>
        <v>0</v>
      </c>
      <c r="G65" s="389">
        <f ca="1">((G23-(F23-E23)-(E23-D23)-(D23-C23)-C23)*ci_int1)+(G23*ct_int1*'Time on treatment'!$D$12)</f>
        <v>0</v>
      </c>
      <c r="H65" s="77"/>
      <c r="I65" s="77"/>
      <c r="J65" s="386"/>
      <c r="K65" s="388">
        <f ca="1">(K23*ci_int2)+(K23*ct_int2*'Time on treatment'!$D$12)</f>
        <v>418749.60073398007</v>
      </c>
      <c r="L65" s="388">
        <f ca="1">((L23-K23)*ci_int2)+(L23*ct_int2*'Time on treatment'!$D$12)</f>
        <v>1685412.4845375</v>
      </c>
      <c r="M65" s="388">
        <f ca="1">((M23-(L23-K23)-K23)*ci_int2)+(M23*ct_int2*'Time on treatment'!$D$12)</f>
        <v>3816043.1361173554</v>
      </c>
      <c r="N65" s="388">
        <f ca="1">((N23-(M23-L23)-(L23-K23)-K23)*ci_int2)+(N23*ct_int2*'Time on treatment'!$D$12)</f>
        <v>4902021.1337556429</v>
      </c>
      <c r="O65" s="389">
        <f ca="1">((O23-(N23-M23)-(M23-L23)-(L23-K23)-K23)*ci_int2)+(O23*ct_int2*'Time on treatment'!$D$12)</f>
        <v>5364137.6643151259</v>
      </c>
      <c r="P65" s="77"/>
      <c r="Q65" s="77"/>
      <c r="R65" s="386"/>
      <c r="S65" s="388">
        <f ca="1">(S23*ci_int3)+(S23*ct_int3*'Time on treatment'!$D$12)</f>
        <v>0</v>
      </c>
      <c r="T65" s="388">
        <f ca="1">((T23-S23)*ci_int3)+(T23*ct_int3*'Time on treatment'!$D$12)</f>
        <v>0</v>
      </c>
      <c r="U65" s="388">
        <f ca="1">((U23-(T23-S23)-S23)*ci_int3)+(U23*ct_int3*'Time on treatment'!$D$12)</f>
        <v>0</v>
      </c>
      <c r="V65" s="388">
        <f ca="1">((V23-(U23-T23)-(T23-S23)-S23)*ci_int3)+(V23*ct_int3*'Time on treatment'!$D$12)</f>
        <v>0</v>
      </c>
      <c r="W65" s="389">
        <f ca="1">((W23-(V23-U23)-(U23-T23)-(T23-S23)-S23)*ci_int3)+(W23*ct_int3*'Time on treatment'!$D$12)</f>
        <v>0</v>
      </c>
      <c r="X65" s="77"/>
      <c r="Y65" s="77"/>
      <c r="Z65" s="386"/>
      <c r="AA65" s="388">
        <f ca="1">(AA23*ci_int4)+(AA23*ct_int4*'Time on treatment'!$D$12)</f>
        <v>0</v>
      </c>
      <c r="AB65" s="388">
        <f ca="1">((AB23-AA23)*ci_int4)+(AB23*ct_int4*'Time on treatment'!$D$12)</f>
        <v>0</v>
      </c>
      <c r="AC65" s="388">
        <f ca="1">((AC23-(AB23-AA23)-AA23)*ci_int4)+(AC23*ct_int4*'Time on treatment'!$D$12)</f>
        <v>0</v>
      </c>
      <c r="AD65" s="388">
        <f ca="1">((AD23-(AC23-AB23)-(AB23-AA23)-AA23)*ci_int4)+(AD23*ct_int4*'Time on treatment'!$D$12)</f>
        <v>0</v>
      </c>
      <c r="AE65" s="389">
        <f ca="1">((AE23-(AD23-AC23)-(AC23-AB23)-(AB23-AA23)-AA23)*ci_int4)+(AE23*ct_int4*'Time on treatment'!$D$12)</f>
        <v>0</v>
      </c>
      <c r="AF65" s="77"/>
      <c r="AG65" s="77"/>
      <c r="AH65" s="386"/>
      <c r="AI65" s="388">
        <f ca="1">(AI23*ci_comp1)+(AI23*ct_comp1*'Time on treatment'!$D$12)</f>
        <v>6299410.01148648</v>
      </c>
      <c r="AJ65" s="388">
        <f ca="1">((AJ23-AI23)*ci_comp1)+(AJ23*ct_comp1*'Time on treatment'!$D$12)</f>
        <v>5960173.4042310007</v>
      </c>
      <c r="AK65" s="388">
        <f ca="1">((AK23-(AJ23-AI23)-AI23)*ci_comp1)+(AK23*ct_comp1*'Time on treatment'!$D$12)</f>
        <v>5352532.4548609797</v>
      </c>
      <c r="AL65" s="388">
        <f ca="1">((AL23-(AK23-AJ23)-(AJ23-AI23)-AI23)*ci_comp1)+(AL23*ct_comp1*'Time on treatment'!$D$12)</f>
        <v>5064077.70108933</v>
      </c>
      <c r="AM65" s="389">
        <f ca="1">((AM23-(AL23-AK23)-(AK23-AJ23)-(AJ23-AI23)-AI23)*ci_comp1)+(AM23*ct_comp1*'Time on treatment'!$D$12)</f>
        <v>4970188.8201735001</v>
      </c>
      <c r="AN65" s="77"/>
      <c r="AO65" s="77"/>
      <c r="AP65" s="386"/>
      <c r="AQ65" s="388">
        <f ca="1">(AQ23*ci_comp2)+(AQ23*ct_comp2*'Time on treatment'!$D$12)</f>
        <v>0</v>
      </c>
      <c r="AR65" s="388">
        <f ca="1">((AR23-AQ23)*ci_comp2)+(AR23*ct_comp2*'Time on treatment'!$D$12)</f>
        <v>0</v>
      </c>
      <c r="AS65" s="388">
        <f ca="1">((AS23-(AR23-AQ23)-AQ23)*ci_comp2)+(AS23*ct_comp2*'Time on treatment'!$D$12)</f>
        <v>0</v>
      </c>
      <c r="AT65" s="388">
        <f ca="1">((AT23-(AS23-AR23)-(AR23-AQ23)-AQ23)*ci_comp2)+(AT23*ct_comp2*'Time on treatment'!$D$12)</f>
        <v>0</v>
      </c>
      <c r="AU65" s="389">
        <f ca="1">((AU23-(AT23-AS23)-(AS23-AR23)-(AR23-AQ23)-AQ23)*ci_comp2)+(AU23*ct_comp2*'Time on treatment'!$D$12)</f>
        <v>0</v>
      </c>
      <c r="AV65" s="77"/>
      <c r="AW65" s="77"/>
      <c r="AX65" s="386"/>
      <c r="AY65" s="388">
        <f ca="1">(AY23*ci_comp3)+(AY23*ct_comp3*'Time on treatment'!$D$12)</f>
        <v>0</v>
      </c>
      <c r="AZ65" s="388">
        <f ca="1">((AZ23-AY23)*ci_comp3)+(AZ23*ct_comp3*'Time on treatment'!$D$12)</f>
        <v>0</v>
      </c>
      <c r="BA65" s="388">
        <f ca="1">((BA23-(AZ23-AY23)-AY23)*ci_comp3)+(BA23*ct_comp3*'Time on treatment'!$D$12)</f>
        <v>0</v>
      </c>
      <c r="BB65" s="388">
        <f ca="1">((BB23-(BA23-AZ23)-(AZ23-AY23)-AY23)*ci_comp3)+(BB23*ct_comp3*'Time on treatment'!$D$12)</f>
        <v>0</v>
      </c>
      <c r="BC65" s="389">
        <f ca="1">((BC23-(BB23-BA23)-(BA23-AZ23)-(AZ23-AY23)-AY23)*ci_comp3)+(BC23*ct_comp3*'Time on treatment'!$D$12)</f>
        <v>0</v>
      </c>
      <c r="BD65" s="77"/>
      <c r="BE65" s="77"/>
      <c r="BF65" s="386"/>
      <c r="BG65" s="388">
        <f ca="1">(BG23*ci_comp4)+(BG23*ct_comp4*'Time on treatment'!$D$12)</f>
        <v>0</v>
      </c>
      <c r="BH65" s="388">
        <f ca="1">((BH23-BG23)*ci_comp4)+(BH23*ct_comp4*'Time on treatment'!$D$12)</f>
        <v>0</v>
      </c>
      <c r="BI65" s="388">
        <f ca="1">((BI23-(BH23-BG23)-BG23)*ci_comp4)+(BI23*ct_comp4*'Time on treatment'!$D$12)</f>
        <v>0</v>
      </c>
      <c r="BJ65" s="388">
        <f ca="1">((BJ23-(BI23-BH23)-(BH23-BG23)-BG23)*ci_comp4)+(BJ23*ct_comp4*'Time on treatment'!$D$12)</f>
        <v>0</v>
      </c>
      <c r="BK65" s="389">
        <f ca="1">((BK23-(BJ23-BI23)-(BI23-BH23)-(BH23-BG23)-BG23)*ci_comp4)+(BK23*ct_comp4*'Time on treatment'!$D$12)</f>
        <v>0</v>
      </c>
      <c r="BL65" s="77"/>
      <c r="BM65" s="77"/>
      <c r="BN65" s="386"/>
      <c r="BO65" s="388">
        <f ca="1">(BO23*ci_comp5)+(BO23*ct_comp5*'Time on treatment'!$D$12)</f>
        <v>0</v>
      </c>
      <c r="BP65" s="388">
        <f ca="1">((BP23-BO23)*ci_comp5)+(BP23*ct_comp5*'Time on treatment'!$D$12)</f>
        <v>0</v>
      </c>
      <c r="BQ65" s="388">
        <f ca="1">((BQ23-(BP23-BO23)-BO23)*ci_comp5)+(BQ23*ct_comp5*'Time on treatment'!$D$12)</f>
        <v>0</v>
      </c>
      <c r="BR65" s="388">
        <f ca="1">((BR23-(BQ23-BP23)-(BP23-BO23)-BO23)*ci_comp5)+(BR23*ct_comp5*'Time on treatment'!$D$12)</f>
        <v>0</v>
      </c>
      <c r="BS65" s="389">
        <f ca="1">((BS23-(BR23-BQ23)-(BQ23-BP23)-(BP23-BO23)-BO23)*ci_comp5)+(BS23*ct_comp5*'Time on treatment'!$D$12)</f>
        <v>0</v>
      </c>
      <c r="BT65" s="77"/>
      <c r="BU65" s="77"/>
      <c r="BV65" s="386"/>
      <c r="BW65" s="388">
        <f ca="1">(BW23*ci_comp6)+(BW23*ct_comp6*'Time on treatment'!$D$12)</f>
        <v>0</v>
      </c>
      <c r="BX65" s="388">
        <f ca="1">((BX23-BW23)*ci_comp6)+(BX23*ct_comp6*'Time on treatment'!$D$12)</f>
        <v>0</v>
      </c>
      <c r="BY65" s="388">
        <f ca="1">((BY23-(BX23-BW23)-BW23)*ci_comp6)+(BY23*ct_comp6*'Time on treatment'!$D$12)</f>
        <v>0</v>
      </c>
      <c r="BZ65" s="388">
        <f ca="1">((BZ23-(BY23-BX23)-(BX23-BW23)-BW23)*ci_comp6)+(BZ23*ct_comp6*'Time on treatment'!$D$12)</f>
        <v>0</v>
      </c>
      <c r="CA65" s="389">
        <f ca="1">((CA23-(BZ23-BY23)-(BY23-BX23)-(BX23-BW23)-BW23)*ci_comp6)+(CA23*ct_comp6*'Time on treatment'!$D$12)</f>
        <v>0</v>
      </c>
      <c r="CB65" s="77"/>
      <c r="CC65" s="77"/>
      <c r="CD65" s="386"/>
      <c r="CE65" s="388">
        <f ca="1">(CE23*ci_comp7)+(CE23*ct_comp7*'Time on treatment'!$D$12)</f>
        <v>0</v>
      </c>
      <c r="CF65" s="388">
        <f ca="1">((CF23-CE23)*ci_comp7)+(CF23*ct_comp7*'Time on treatment'!$D$12)</f>
        <v>0</v>
      </c>
      <c r="CG65" s="388">
        <f ca="1">((CG23-(CF23-CE23)-CE23)*ci_comp7)+(CG23*ct_comp7*'Time on treatment'!$D$12)</f>
        <v>0</v>
      </c>
      <c r="CH65" s="388">
        <f ca="1">((CH23-(CG23-CF23)-(CF23-CE23)-CE23)*ci_comp7)+(CH23*ct_comp7*'Time on treatment'!$D$12)</f>
        <v>0</v>
      </c>
      <c r="CI65" s="389">
        <f ca="1">((CI23-(CH23-CG23)-(CG23-CF23)-(CF23-CE23)-CE23)*ci_comp7)+(CI23*ct_comp7*'Time on treatment'!$D$12)</f>
        <v>0</v>
      </c>
      <c r="CJ65" s="77"/>
      <c r="CK65" s="77"/>
      <c r="CL65" s="386"/>
      <c r="CM65" s="388">
        <f ca="1">(CM23*ci_comp8)+(CM23*ct_comp8*'Time on treatment'!$D$12)</f>
        <v>0</v>
      </c>
      <c r="CN65" s="388">
        <f ca="1">((CN23-CM23)*ci_comp8)+(CN23*ct_comp8*'Time on treatment'!$D$12)</f>
        <v>0</v>
      </c>
      <c r="CO65" s="388">
        <f ca="1">((CO23-(CN23-CM23)-CM23)*ci_comp8)+(CO23*ct_comp8*'Time on treatment'!$D$12)</f>
        <v>0</v>
      </c>
      <c r="CP65" s="388">
        <f ca="1">((CP23-(CO23-CN23)-(CN23-CM23)-CM23)*ci_comp8)+(CP23*ct_comp8*'Time on treatment'!$D$12)</f>
        <v>0</v>
      </c>
      <c r="CQ65" s="389">
        <f ca="1">((CQ23-(CP23-CO23)-(CO23-CN23)-(CN23-CM23)-CM23)*ci_comp8)+(CQ23*ct_comp8*'Time on treatment'!$D$12)</f>
        <v>0</v>
      </c>
      <c r="CR65" s="77"/>
      <c r="CS65" s="77"/>
      <c r="CT65" s="386"/>
      <c r="CU65" s="388">
        <f ca="1">(CU23*ci_comp9)+(CU23*ct_comp9*'Time on treatment'!$D$12)</f>
        <v>0</v>
      </c>
      <c r="CV65" s="388">
        <f ca="1">((CV23-CU23)*ci_comp9)+(CV23*ct_comp9*'Time on treatment'!$D$12)</f>
        <v>0</v>
      </c>
      <c r="CW65" s="388">
        <f ca="1">((CW23-(CV23-CU23)-CU23)*ci_comp9)+(CW23*ct_comp9*'Time on treatment'!$D$12)</f>
        <v>0</v>
      </c>
      <c r="CX65" s="388">
        <f ca="1">((CX23-(CW23-CV23)-(CV23-CU23)-CU23)*ci_comp9)+(CX23*ct_comp9*'Time on treatment'!$D$12)</f>
        <v>0</v>
      </c>
      <c r="CY65" s="389">
        <f ca="1">((CY23-(CX23-CW23)-(CW23-CV23)-(CV23-CU23)-CU23)*ci_comp9)+(CY23*ct_comp9*'Time on treatment'!$D$12)</f>
        <v>0</v>
      </c>
      <c r="CZ65" s="77"/>
      <c r="DA65" s="77"/>
      <c r="DB65" s="386"/>
      <c r="DC65" s="388">
        <f ca="1">(DC23*ci_comp10)+(DC23*ct_comp10*'Time on treatment'!$D$12)</f>
        <v>0</v>
      </c>
      <c r="DD65" s="388">
        <f ca="1">((DD23-DC23)*ci_comp10)+(DD23*ct_comp10*'Time on treatment'!$D$12)</f>
        <v>0</v>
      </c>
      <c r="DE65" s="388">
        <f ca="1">((DE23-(DD23-DC23)-DC23)*ci_comp10)+(DE23*ct_comp10*'Time on treatment'!$D$12)</f>
        <v>0</v>
      </c>
      <c r="DF65" s="388">
        <f ca="1">((DF23-(DE23-DD23)-(DD23-DC23)-DC23)*ci_comp10)+(DF23*ct_comp10*'Time on treatment'!$D$12)</f>
        <v>0</v>
      </c>
      <c r="DG65" s="389">
        <f ca="1">((DG23-(DF23-DE23)-(DE23-DD23)-(DD23-DC23)-DC23)*ci_comp10)+(DG23*ct_comp10*'Time on treatment'!$D$12)</f>
        <v>0</v>
      </c>
      <c r="DH65" s="77"/>
      <c r="DI65" s="77"/>
    </row>
    <row r="66" spans="2:113" ht="15" thickBot="1">
      <c r="B66" s="83"/>
      <c r="C66" s="83"/>
      <c r="D66" s="83"/>
      <c r="E66" s="83"/>
      <c r="F66" s="83"/>
      <c r="G66" s="83"/>
      <c r="J66" s="83"/>
      <c r="K66" s="83"/>
      <c r="L66" s="83"/>
      <c r="M66" s="83"/>
      <c r="N66" s="83"/>
      <c r="O66" s="83"/>
      <c r="R66" s="83"/>
      <c r="S66" s="83"/>
      <c r="T66" s="83"/>
      <c r="U66" s="83"/>
      <c r="V66" s="83"/>
      <c r="W66" s="83"/>
      <c r="Z66" s="83"/>
      <c r="AA66" s="83"/>
      <c r="AB66" s="83"/>
      <c r="AC66" s="83"/>
      <c r="AD66" s="83"/>
      <c r="AE66" s="83"/>
      <c r="AH66" s="83"/>
      <c r="AI66" s="83"/>
      <c r="AJ66" s="83"/>
      <c r="AK66" s="83"/>
      <c r="AL66" s="83"/>
      <c r="AM66" s="83"/>
      <c r="AP66" s="83"/>
      <c r="AQ66" s="83"/>
      <c r="AR66" s="83"/>
      <c r="AS66" s="83"/>
      <c r="AT66" s="83"/>
      <c r="AU66" s="83"/>
      <c r="AX66" s="83"/>
      <c r="AY66" s="83"/>
      <c r="AZ66" s="83"/>
      <c r="BA66" s="83"/>
      <c r="BB66" s="83"/>
      <c r="BC66" s="83"/>
      <c r="BF66" s="83"/>
      <c r="BG66" s="83"/>
      <c r="BH66" s="83"/>
      <c r="BI66" s="83"/>
      <c r="BJ66" s="83"/>
      <c r="BK66" s="83"/>
      <c r="BN66" s="83"/>
      <c r="BO66" s="83"/>
      <c r="BP66" s="83"/>
      <c r="BQ66" s="83"/>
      <c r="BR66" s="83"/>
      <c r="BS66" s="83"/>
      <c r="BV66" s="83"/>
      <c r="BW66" s="83"/>
      <c r="BX66" s="83"/>
      <c r="BY66" s="83"/>
      <c r="BZ66" s="83"/>
      <c r="CA66" s="83"/>
      <c r="CD66" s="83"/>
      <c r="CE66" s="83"/>
      <c r="CF66" s="83"/>
      <c r="CG66" s="83"/>
      <c r="CH66" s="83"/>
      <c r="CI66" s="83"/>
      <c r="CL66" s="83"/>
      <c r="CM66" s="83"/>
      <c r="CN66" s="83"/>
      <c r="CO66" s="83"/>
      <c r="CP66" s="83"/>
      <c r="CQ66" s="83"/>
      <c r="CT66" s="83"/>
      <c r="CU66" s="83"/>
      <c r="CV66" s="83"/>
      <c r="CW66" s="83"/>
      <c r="CX66" s="83"/>
      <c r="CY66" s="83"/>
      <c r="DB66" s="83"/>
      <c r="DC66" s="83"/>
      <c r="DD66" s="83"/>
      <c r="DE66" s="83"/>
      <c r="DF66" s="83"/>
      <c r="DG66" s="83"/>
    </row>
    <row r="67" spans="2:113" ht="15" thickBot="1">
      <c r="B67" s="508" t="str">
        <f>B46</f>
        <v>Both drugs</v>
      </c>
      <c r="C67" s="506"/>
      <c r="D67" s="506"/>
      <c r="E67" s="506"/>
      <c r="F67" s="506"/>
      <c r="G67" s="507"/>
      <c r="J67" s="508" t="str">
        <f>J46</f>
        <v>Both drugs</v>
      </c>
      <c r="K67" s="506"/>
      <c r="L67" s="506"/>
      <c r="M67" s="506"/>
      <c r="N67" s="506"/>
      <c r="O67" s="507"/>
      <c r="R67" s="508" t="str">
        <f>R46</f>
        <v>Both drugs</v>
      </c>
      <c r="S67" s="506"/>
      <c r="T67" s="506"/>
      <c r="U67" s="506"/>
      <c r="V67" s="506"/>
      <c r="W67" s="507"/>
      <c r="Z67" s="508" t="str">
        <f>Z46</f>
        <v>Both drugs</v>
      </c>
      <c r="AA67" s="506"/>
      <c r="AB67" s="506"/>
      <c r="AC67" s="506"/>
      <c r="AD67" s="506"/>
      <c r="AE67" s="507"/>
      <c r="AH67" s="508" t="str">
        <f>AH46</f>
        <v>Both drugs</v>
      </c>
      <c r="AI67" s="506"/>
      <c r="AJ67" s="506"/>
      <c r="AK67" s="506"/>
      <c r="AL67" s="506"/>
      <c r="AM67" s="507"/>
      <c r="AP67" s="508" t="str">
        <f>AP46</f>
        <v>Both drugs</v>
      </c>
      <c r="AQ67" s="506"/>
      <c r="AR67" s="506"/>
      <c r="AS67" s="506"/>
      <c r="AT67" s="506"/>
      <c r="AU67" s="507"/>
      <c r="AX67" s="508" t="str">
        <f>AX46</f>
        <v>Both drugs</v>
      </c>
      <c r="AY67" s="506"/>
      <c r="AZ67" s="506"/>
      <c r="BA67" s="506"/>
      <c r="BB67" s="506"/>
      <c r="BC67" s="507"/>
      <c r="BF67" s="508" t="str">
        <f>BF46</f>
        <v>Both drugs</v>
      </c>
      <c r="BG67" s="506"/>
      <c r="BH67" s="506"/>
      <c r="BI67" s="506"/>
      <c r="BJ67" s="506"/>
      <c r="BK67" s="507"/>
      <c r="BN67" s="508" t="str">
        <f>BN46</f>
        <v>Both drugs</v>
      </c>
      <c r="BO67" s="506"/>
      <c r="BP67" s="506"/>
      <c r="BQ67" s="506"/>
      <c r="BR67" s="506"/>
      <c r="BS67" s="507"/>
      <c r="BV67" s="508" t="str">
        <f>BV46</f>
        <v>Both drugs</v>
      </c>
      <c r="BW67" s="506"/>
      <c r="BX67" s="506"/>
      <c r="BY67" s="506"/>
      <c r="BZ67" s="506"/>
      <c r="CA67" s="507"/>
      <c r="CD67" s="508" t="str">
        <f>CD46</f>
        <v>Both drugs</v>
      </c>
      <c r="CE67" s="506"/>
      <c r="CF67" s="506"/>
      <c r="CG67" s="506"/>
      <c r="CH67" s="506"/>
      <c r="CI67" s="507"/>
      <c r="CL67" s="508" t="str">
        <f>CL46</f>
        <v>Both drugs</v>
      </c>
      <c r="CM67" s="506"/>
      <c r="CN67" s="506"/>
      <c r="CO67" s="506"/>
      <c r="CP67" s="506"/>
      <c r="CQ67" s="507"/>
      <c r="CT67" s="508" t="str">
        <f>CT46</f>
        <v>Both drugs</v>
      </c>
      <c r="CU67" s="506"/>
      <c r="CV67" s="506"/>
      <c r="CW67" s="506"/>
      <c r="CX67" s="506"/>
      <c r="CY67" s="507"/>
      <c r="DB67" s="508" t="str">
        <f>DB46</f>
        <v>Both drugs</v>
      </c>
      <c r="DC67" s="506"/>
      <c r="DD67" s="506"/>
      <c r="DE67" s="506"/>
      <c r="DF67" s="506"/>
      <c r="DG67" s="507"/>
    </row>
    <row r="68" spans="2:113">
      <c r="B68" s="84"/>
      <c r="C68" s="101">
        <f>C47</f>
        <v>2026</v>
      </c>
      <c r="D68" s="101">
        <f t="shared" ref="D68:F68" si="70">D47</f>
        <v>2027</v>
      </c>
      <c r="E68" s="101">
        <f t="shared" si="70"/>
        <v>2028</v>
      </c>
      <c r="F68" s="101">
        <f t="shared" si="70"/>
        <v>2029</v>
      </c>
      <c r="G68" s="102">
        <f>G47</f>
        <v>2030</v>
      </c>
      <c r="J68" s="84"/>
      <c r="K68" s="101">
        <f>K47</f>
        <v>2026</v>
      </c>
      <c r="L68" s="101">
        <f t="shared" ref="L68:N68" si="71">L47</f>
        <v>2027</v>
      </c>
      <c r="M68" s="101">
        <f t="shared" si="71"/>
        <v>2028</v>
      </c>
      <c r="N68" s="101">
        <f t="shared" si="71"/>
        <v>2029</v>
      </c>
      <c r="O68" s="102">
        <f>O47</f>
        <v>2030</v>
      </c>
      <c r="R68" s="84"/>
      <c r="S68" s="101">
        <f>S47</f>
        <v>2026</v>
      </c>
      <c r="T68" s="101">
        <f t="shared" ref="T68:V68" si="72">T47</f>
        <v>2027</v>
      </c>
      <c r="U68" s="101">
        <f t="shared" si="72"/>
        <v>2028</v>
      </c>
      <c r="V68" s="101">
        <f t="shared" si="72"/>
        <v>2029</v>
      </c>
      <c r="W68" s="102">
        <f>W47</f>
        <v>2030</v>
      </c>
      <c r="Z68" s="84"/>
      <c r="AA68" s="101">
        <f>AA47</f>
        <v>2026</v>
      </c>
      <c r="AB68" s="101">
        <f t="shared" ref="AB68:AD68" si="73">AB47</f>
        <v>2027</v>
      </c>
      <c r="AC68" s="101">
        <f t="shared" si="73"/>
        <v>2028</v>
      </c>
      <c r="AD68" s="101">
        <f t="shared" si="73"/>
        <v>2029</v>
      </c>
      <c r="AE68" s="102">
        <f>AE47</f>
        <v>2030</v>
      </c>
      <c r="AH68" s="84"/>
      <c r="AI68" s="101">
        <f>AI47</f>
        <v>2026</v>
      </c>
      <c r="AJ68" s="101">
        <f t="shared" ref="AJ68:AL68" si="74">AJ47</f>
        <v>2027</v>
      </c>
      <c r="AK68" s="101">
        <f t="shared" si="74"/>
        <v>2028</v>
      </c>
      <c r="AL68" s="101">
        <f t="shared" si="74"/>
        <v>2029</v>
      </c>
      <c r="AM68" s="102">
        <f>AM47</f>
        <v>2030</v>
      </c>
      <c r="AP68" s="84"/>
      <c r="AQ68" s="101">
        <f>AQ47</f>
        <v>2026</v>
      </c>
      <c r="AR68" s="101">
        <f t="shared" ref="AR68:AT68" si="75">AR47</f>
        <v>2027</v>
      </c>
      <c r="AS68" s="101">
        <f t="shared" si="75"/>
        <v>2028</v>
      </c>
      <c r="AT68" s="101">
        <f t="shared" si="75"/>
        <v>2029</v>
      </c>
      <c r="AU68" s="102">
        <f>AU47</f>
        <v>2030</v>
      </c>
      <c r="AX68" s="84"/>
      <c r="AY68" s="101">
        <f>AY47</f>
        <v>2026</v>
      </c>
      <c r="AZ68" s="101">
        <f t="shared" ref="AZ68:BB68" si="76">AZ47</f>
        <v>2027</v>
      </c>
      <c r="BA68" s="101">
        <f t="shared" si="76"/>
        <v>2028</v>
      </c>
      <c r="BB68" s="101">
        <f t="shared" si="76"/>
        <v>2029</v>
      </c>
      <c r="BC68" s="102">
        <f>BC47</f>
        <v>2030</v>
      </c>
      <c r="BF68" s="84"/>
      <c r="BG68" s="101">
        <f>BG47</f>
        <v>2026</v>
      </c>
      <c r="BH68" s="101">
        <f t="shared" ref="BH68:BJ68" si="77">BH47</f>
        <v>2027</v>
      </c>
      <c r="BI68" s="101">
        <f t="shared" si="77"/>
        <v>2028</v>
      </c>
      <c r="BJ68" s="101">
        <f t="shared" si="77"/>
        <v>2029</v>
      </c>
      <c r="BK68" s="102">
        <f>BK47</f>
        <v>2030</v>
      </c>
      <c r="BN68" s="84"/>
      <c r="BO68" s="101">
        <f>BO47</f>
        <v>2026</v>
      </c>
      <c r="BP68" s="101">
        <f t="shared" ref="BP68:BR68" si="78">BP47</f>
        <v>2027</v>
      </c>
      <c r="BQ68" s="101">
        <f t="shared" si="78"/>
        <v>2028</v>
      </c>
      <c r="BR68" s="101">
        <f t="shared" si="78"/>
        <v>2029</v>
      </c>
      <c r="BS68" s="102">
        <f>BS47</f>
        <v>2030</v>
      </c>
      <c r="BV68" s="84"/>
      <c r="BW68" s="101">
        <f>BW47</f>
        <v>2026</v>
      </c>
      <c r="BX68" s="101">
        <f t="shared" ref="BX68:BZ68" si="79">BX47</f>
        <v>2027</v>
      </c>
      <c r="BY68" s="101">
        <f t="shared" si="79"/>
        <v>2028</v>
      </c>
      <c r="BZ68" s="101">
        <f t="shared" si="79"/>
        <v>2029</v>
      </c>
      <c r="CA68" s="102">
        <f>CA47</f>
        <v>2030</v>
      </c>
      <c r="CD68" s="84"/>
      <c r="CE68" s="101">
        <f>CE47</f>
        <v>2026</v>
      </c>
      <c r="CF68" s="101">
        <f t="shared" ref="CF68:CH68" si="80">CF47</f>
        <v>2027</v>
      </c>
      <c r="CG68" s="101">
        <f t="shared" si="80"/>
        <v>2028</v>
      </c>
      <c r="CH68" s="101">
        <f t="shared" si="80"/>
        <v>2029</v>
      </c>
      <c r="CI68" s="102">
        <f>CI47</f>
        <v>2030</v>
      </c>
      <c r="CL68" s="84"/>
      <c r="CM68" s="101">
        <f>CM47</f>
        <v>2026</v>
      </c>
      <c r="CN68" s="101">
        <f t="shared" ref="CN68:CP68" si="81">CN47</f>
        <v>2027</v>
      </c>
      <c r="CO68" s="101">
        <f t="shared" si="81"/>
        <v>2028</v>
      </c>
      <c r="CP68" s="101">
        <f t="shared" si="81"/>
        <v>2029</v>
      </c>
      <c r="CQ68" s="102">
        <f>CQ47</f>
        <v>2030</v>
      </c>
      <c r="CT68" s="84"/>
      <c r="CU68" s="101">
        <f>CU47</f>
        <v>2026</v>
      </c>
      <c r="CV68" s="101">
        <f t="shared" ref="CV68:CX68" si="82">CV47</f>
        <v>2027</v>
      </c>
      <c r="CW68" s="101">
        <f t="shared" si="82"/>
        <v>2028</v>
      </c>
      <c r="CX68" s="101">
        <f t="shared" si="82"/>
        <v>2029</v>
      </c>
      <c r="CY68" s="102">
        <f>CY47</f>
        <v>2030</v>
      </c>
      <c r="DB68" s="84"/>
      <c r="DC68" s="101">
        <f>DC47</f>
        <v>2026</v>
      </c>
      <c r="DD68" s="101">
        <f t="shared" ref="DD68:DF68" si="83">DD47</f>
        <v>2027</v>
      </c>
      <c r="DE68" s="101">
        <f t="shared" si="83"/>
        <v>2028</v>
      </c>
      <c r="DF68" s="101">
        <f t="shared" si="83"/>
        <v>2029</v>
      </c>
      <c r="DG68" s="102">
        <f>DG47</f>
        <v>2030</v>
      </c>
    </row>
    <row r="69" spans="2:113" s="83" customFormat="1" ht="15" thickBot="1">
      <c r="B69" s="386"/>
      <c r="C69" s="388">
        <f ca="1">(C27*ci_int1)+(C27*ct_int1*'Time on treatment'!$D$12)</f>
        <v>887750.24954400002</v>
      </c>
      <c r="D69" s="388">
        <f ca="1">((D27-C27)*ci_int1)+(D27*ct_int1*'Time on treatment'!$D$12)</f>
        <v>2982406.3514999999</v>
      </c>
      <c r="E69" s="388">
        <f ca="1">((E27-(D27-C27)-C27)*ci_int1)+(E27*ct_int1*'Time on treatment'!$D$12)</f>
        <v>6009954.72444</v>
      </c>
      <c r="F69" s="388">
        <f ca="1">((F27-(E27-D27)-(D27-C27)-C27)*ci_int1)+(F27*ct_int1*'Time on treatment'!$D$12)</f>
        <v>9082944.0282600001</v>
      </c>
      <c r="G69" s="389">
        <f ca="1">((G27-(F27-E27)-(E27-D27)-(D27-C27)-C27)*ci_int1)+(G27*ct_int1*'Time on treatment'!$D$12)</f>
        <v>9152265.85812</v>
      </c>
      <c r="H69" s="77"/>
      <c r="I69" s="77"/>
      <c r="J69" s="386"/>
      <c r="K69" s="388">
        <f ca="1">(K27*ci_int2)+(K27*ct_int2*'Time on treatment'!$D$12)</f>
        <v>418749.60073398007</v>
      </c>
      <c r="L69" s="388">
        <f ca="1">((L27-K27)*ci_int2)+(L27*ct_int2*'Time on treatment'!$D$12)</f>
        <v>1685412.4845375</v>
      </c>
      <c r="M69" s="388">
        <f ca="1">((M27-(L27-K27)-K27)*ci_int2)+(M27*ct_int2*'Time on treatment'!$D$12)</f>
        <v>3816043.1361173554</v>
      </c>
      <c r="N69" s="388">
        <f ca="1">((N27-(M27-L27)-(L27-K27)-K27)*ci_int2)+(N27*ct_int2*'Time on treatment'!$D$12)</f>
        <v>4902021.1337556429</v>
      </c>
      <c r="O69" s="389">
        <f ca="1">((O27-(N27-M27)-(M27-L27)-(L27-K27)-K27)*ci_int2)+(O27*ct_int2*'Time on treatment'!$D$12)</f>
        <v>5364137.6643151259</v>
      </c>
      <c r="P69" s="77"/>
      <c r="Q69" s="77"/>
      <c r="R69" s="386"/>
      <c r="S69" s="388">
        <f ca="1">(S27*ci_int3)+(S27*ct_int3*'Time on treatment'!$D$12)</f>
        <v>0</v>
      </c>
      <c r="T69" s="388">
        <f ca="1">((T27-S27)*ci_int3)+(T27*ct_int3*'Time on treatment'!$D$12)</f>
        <v>0</v>
      </c>
      <c r="U69" s="388">
        <f ca="1">((U27-(T27-S27)-S27)*ci_int3)+(U27*ct_int3*'Time on treatment'!$D$12)</f>
        <v>0</v>
      </c>
      <c r="V69" s="388">
        <f ca="1">((V27-(U27-T27)-(T27-S27)-S27)*ci_int3)+(V27*ct_int3*'Time on treatment'!$D$12)</f>
        <v>0</v>
      </c>
      <c r="W69" s="389">
        <f ca="1">((W27-(V27-U27)-(U27-T27)-(T27-S27)-S27)*ci_int3)+(W27*ct_int3*'Time on treatment'!$D$12)</f>
        <v>0</v>
      </c>
      <c r="X69" s="77"/>
      <c r="Y69" s="77"/>
      <c r="Z69" s="386"/>
      <c r="AA69" s="388">
        <f ca="1">(AA27*ci_int4)+(AA27*ct_int4*'Time on treatment'!$D$12)</f>
        <v>0</v>
      </c>
      <c r="AB69" s="388">
        <f ca="1">((AB27-AA27)*ci_int4)+(AB27*ct_int4*'Time on treatment'!$D$12)</f>
        <v>0</v>
      </c>
      <c r="AC69" s="388">
        <f ca="1">((AC27-(AB27-AA27)-AA27)*ci_int4)+(AC27*ct_int4*'Time on treatment'!$D$12)</f>
        <v>0</v>
      </c>
      <c r="AD69" s="388">
        <f ca="1">((AD27-(AC27-AB27)-(AB27-AA27)-AA27)*ci_int4)+(AD27*ct_int4*'Time on treatment'!$D$12)</f>
        <v>0</v>
      </c>
      <c r="AE69" s="389">
        <f ca="1">((AE27-(AD27-AC27)-(AC27-AB27)-(AB27-AA27)-AA27)*ci_int4)+(AE27*ct_int4*'Time on treatment'!$D$12)</f>
        <v>0</v>
      </c>
      <c r="AF69" s="77"/>
      <c r="AG69" s="77"/>
      <c r="AH69" s="386"/>
      <c r="AI69" s="388">
        <f ca="1">(AI27*ci_comp1)+(AI27*ct_comp1*'Time on treatment'!$D$12)</f>
        <v>6106570.9295022003</v>
      </c>
      <c r="AJ69" s="388">
        <f ca="1">((AJ27-AI27)*ci_comp1)+(AJ27*ct_comp1*'Time on treatment'!$D$12)</f>
        <v>5312328.4689885005</v>
      </c>
      <c r="AK69" s="388">
        <f ca="1">((AK27-(AJ27-AI27)-AI27)*ci_comp1)+(AK27*ct_comp1*'Time on treatment'!$D$12)</f>
        <v>4047036.7341631805</v>
      </c>
      <c r="AL69" s="388">
        <f ca="1">((AL27-(AK27-AJ27)-(AJ27-AI27)-AI27)*ci_comp1)+(AL27*ct_comp1*'Time on treatment'!$D$12)</f>
        <v>3091060.4149506297</v>
      </c>
      <c r="AM69" s="389">
        <f ca="1">((AM27-(AL27-AK27)-(AK27-AJ27)-(AJ27-AI27)-AI27)*ci_comp1)+(AM27*ct_comp1*'Time on treatment'!$D$12)</f>
        <v>2982113.2921041008</v>
      </c>
      <c r="AN69" s="77"/>
      <c r="AO69" s="77"/>
      <c r="AP69" s="386"/>
      <c r="AQ69" s="388">
        <f ca="1">(AQ27*ci_comp2)+(AQ27*ct_comp2*'Time on treatment'!$D$12)</f>
        <v>0</v>
      </c>
      <c r="AR69" s="388">
        <f ca="1">((AR27-AQ27)*ci_comp2)+(AR27*ct_comp2*'Time on treatment'!$D$12)</f>
        <v>0</v>
      </c>
      <c r="AS69" s="388">
        <f ca="1">((AS27-(AR27-AQ27)-AQ27)*ci_comp2)+(AS27*ct_comp2*'Time on treatment'!$D$12)</f>
        <v>0</v>
      </c>
      <c r="AT69" s="388">
        <f ca="1">((AT27-(AS27-AR27)-(AR27-AQ27)-AQ27)*ci_comp2)+(AT27*ct_comp2*'Time on treatment'!$D$12)</f>
        <v>0</v>
      </c>
      <c r="AU69" s="389">
        <f ca="1">((AU27-(AT27-AS27)-(AS27-AR27)-(AR27-AQ27)-AQ27)*ci_comp2)+(AU27*ct_comp2*'Time on treatment'!$D$12)</f>
        <v>0</v>
      </c>
      <c r="AV69" s="77"/>
      <c r="AW69" s="77"/>
      <c r="AX69" s="386"/>
      <c r="AY69" s="388">
        <f ca="1">(AY27*ci_comp3)+(AY27*ct_comp3*'Time on treatment'!$D$12)</f>
        <v>0</v>
      </c>
      <c r="AZ69" s="388">
        <f ca="1">((AZ27-AY27)*ci_comp3)+(AZ27*ct_comp3*'Time on treatment'!$D$12)</f>
        <v>0</v>
      </c>
      <c r="BA69" s="388">
        <f ca="1">((BA27-(AZ27-AY27)-AY27)*ci_comp3)+(BA27*ct_comp3*'Time on treatment'!$D$12)</f>
        <v>0</v>
      </c>
      <c r="BB69" s="388">
        <f ca="1">((BB27-(BA27-AZ27)-(AZ27-AY27)-AY27)*ci_comp3)+(BB27*ct_comp3*'Time on treatment'!$D$12)</f>
        <v>0</v>
      </c>
      <c r="BC69" s="389">
        <f ca="1">((BC27-(BB27-BA27)-(BA27-AZ27)-(AZ27-AY27)-AY27)*ci_comp3)+(BC27*ct_comp3*'Time on treatment'!$D$12)</f>
        <v>0</v>
      </c>
      <c r="BD69" s="77"/>
      <c r="BE69" s="77"/>
      <c r="BF69" s="386"/>
      <c r="BG69" s="388">
        <f ca="1">(BG27*ci_comp4)+(BG27*ct_comp4*'Time on treatment'!$D$12)</f>
        <v>0</v>
      </c>
      <c r="BH69" s="388">
        <f ca="1">((BH27-BG27)*ci_comp4)+(BH27*ct_comp4*'Time on treatment'!$D$12)</f>
        <v>0</v>
      </c>
      <c r="BI69" s="388">
        <f ca="1">((BI27-(BH27-BG27)-BG27)*ci_comp4)+(BI27*ct_comp4*'Time on treatment'!$D$12)</f>
        <v>0</v>
      </c>
      <c r="BJ69" s="388">
        <f ca="1">((BJ27-(BI27-BH27)-(BH27-BG27)-BG27)*ci_comp4)+(BJ27*ct_comp4*'Time on treatment'!$D$12)</f>
        <v>0</v>
      </c>
      <c r="BK69" s="389">
        <f ca="1">((BK27-(BJ27-BI27)-(BI27-BH27)-(BH27-BG27)-BG27)*ci_comp4)+(BK27*ct_comp4*'Time on treatment'!$D$12)</f>
        <v>0</v>
      </c>
      <c r="BL69" s="77"/>
      <c r="BM69" s="77"/>
      <c r="BN69" s="386"/>
      <c r="BO69" s="388">
        <f ca="1">(BO27*ci_comp5)+(BO27*ct_comp5*'Time on treatment'!$D$12)</f>
        <v>0</v>
      </c>
      <c r="BP69" s="388">
        <f ca="1">((BP27-BO27)*ci_comp5)+(BP27*ct_comp5*'Time on treatment'!$D$12)</f>
        <v>0</v>
      </c>
      <c r="BQ69" s="388">
        <f ca="1">((BQ27-(BP27-BO27)-BO27)*ci_comp5)+(BQ27*ct_comp5*'Time on treatment'!$D$12)</f>
        <v>0</v>
      </c>
      <c r="BR69" s="388">
        <f ca="1">((BR27-(BQ27-BP27)-(BP27-BO27)-BO27)*ci_comp5)+(BR27*ct_comp5*'Time on treatment'!$D$12)</f>
        <v>0</v>
      </c>
      <c r="BS69" s="389">
        <f ca="1">((BS27-(BR27-BQ27)-(BQ27-BP27)-(BP27-BO27)-BO27)*ci_comp5)+(BS27*ct_comp5*'Time on treatment'!$D$12)</f>
        <v>0</v>
      </c>
      <c r="BT69" s="77"/>
      <c r="BU69" s="77"/>
      <c r="BV69" s="386"/>
      <c r="BW69" s="388">
        <f ca="1">(BW27*ci_comp6)+(BW27*ct_comp6*'Time on treatment'!$D$12)</f>
        <v>0</v>
      </c>
      <c r="BX69" s="388">
        <f ca="1">((BX27-BW27)*ci_comp6)+(BX27*ct_comp6*'Time on treatment'!$D$12)</f>
        <v>0</v>
      </c>
      <c r="BY69" s="388">
        <f ca="1">((BY27-(BX27-BW27)-BW27)*ci_comp6)+(BY27*ct_comp6*'Time on treatment'!$D$12)</f>
        <v>0</v>
      </c>
      <c r="BZ69" s="388">
        <f ca="1">((BZ27-(BY27-BX27)-(BX27-BW27)-BW27)*ci_comp6)+(BZ27*ct_comp6*'Time on treatment'!$D$12)</f>
        <v>0</v>
      </c>
      <c r="CA69" s="389">
        <f ca="1">((CA27-(BZ27-BY27)-(BY27-BX27)-(BX27-BW27)-BW27)*ci_comp6)+(CA27*ct_comp6*'Time on treatment'!$D$12)</f>
        <v>0</v>
      </c>
      <c r="CB69" s="77"/>
      <c r="CC69" s="77"/>
      <c r="CD69" s="386"/>
      <c r="CE69" s="388">
        <f ca="1">(CE27*ci_comp7)+(CE27*ct_comp7*'Time on treatment'!$D$12)</f>
        <v>0</v>
      </c>
      <c r="CF69" s="388">
        <f ca="1">((CF27-CE27)*ci_comp7)+(CF27*ct_comp7*'Time on treatment'!$D$12)</f>
        <v>0</v>
      </c>
      <c r="CG69" s="388">
        <f ca="1">((CG27-(CF27-CE27)-CE27)*ci_comp7)+(CG27*ct_comp7*'Time on treatment'!$D$12)</f>
        <v>0</v>
      </c>
      <c r="CH69" s="388">
        <f ca="1">((CH27-(CG27-CF27)-(CF27-CE27)-CE27)*ci_comp7)+(CH27*ct_comp7*'Time on treatment'!$D$12)</f>
        <v>0</v>
      </c>
      <c r="CI69" s="389">
        <f ca="1">((CI27-(CH27-CG27)-(CG27-CF27)-(CF27-CE27)-CE27)*ci_comp7)+(CI27*ct_comp7*'Time on treatment'!$D$12)</f>
        <v>0</v>
      </c>
      <c r="CJ69" s="77"/>
      <c r="CK69" s="77"/>
      <c r="CL69" s="386"/>
      <c r="CM69" s="388">
        <f ca="1">(CM27*ci_comp8)+(CM27*ct_comp8*'Time on treatment'!$D$12)</f>
        <v>0</v>
      </c>
      <c r="CN69" s="388">
        <f ca="1">((CN27-CM27)*ci_comp8)+(CN27*ct_comp8*'Time on treatment'!$D$12)</f>
        <v>0</v>
      </c>
      <c r="CO69" s="388">
        <f ca="1">((CO27-(CN27-CM27)-CM27)*ci_comp8)+(CO27*ct_comp8*'Time on treatment'!$D$12)</f>
        <v>0</v>
      </c>
      <c r="CP69" s="388">
        <f ca="1">((CP27-(CO27-CN27)-(CN27-CM27)-CM27)*ci_comp8)+(CP27*ct_comp8*'Time on treatment'!$D$12)</f>
        <v>0</v>
      </c>
      <c r="CQ69" s="389">
        <f ca="1">((CQ27-(CP27-CO27)-(CO27-CN27)-(CN27-CM27)-CM27)*ci_comp8)+(CQ27*ct_comp8*'Time on treatment'!$D$12)</f>
        <v>0</v>
      </c>
      <c r="CR69" s="77"/>
      <c r="CS69" s="77"/>
      <c r="CT69" s="386"/>
      <c r="CU69" s="388">
        <f ca="1">(CU27*ci_comp9)+(CU27*ct_comp9*'Time on treatment'!$D$12)</f>
        <v>0</v>
      </c>
      <c r="CV69" s="388">
        <f ca="1">((CV27-CU27)*ci_comp9)+(CV27*ct_comp9*'Time on treatment'!$D$12)</f>
        <v>0</v>
      </c>
      <c r="CW69" s="388">
        <f ca="1">((CW27-(CV27-CU27)-CU27)*ci_comp9)+(CW27*ct_comp9*'Time on treatment'!$D$12)</f>
        <v>0</v>
      </c>
      <c r="CX69" s="388">
        <f ca="1">((CX27-(CW27-CV27)-(CV27-CU27)-CU27)*ci_comp9)+(CX27*ct_comp9*'Time on treatment'!$D$12)</f>
        <v>0</v>
      </c>
      <c r="CY69" s="389">
        <f ca="1">((CY27-(CX27-CW27)-(CW27-CV27)-(CV27-CU27)-CU27)*ci_comp9)+(CY27*ct_comp9*'Time on treatment'!$D$12)</f>
        <v>0</v>
      </c>
      <c r="CZ69" s="77"/>
      <c r="DA69" s="77"/>
      <c r="DB69" s="386"/>
      <c r="DC69" s="388">
        <f ca="1">(DC27*ci_comp10)+(DC27*ct_comp10*'Time on treatment'!$D$12)</f>
        <v>0</v>
      </c>
      <c r="DD69" s="388">
        <f ca="1">((DD27-DC27)*ci_comp10)+(DD27*ct_comp10*'Time on treatment'!$D$12)</f>
        <v>0</v>
      </c>
      <c r="DE69" s="388">
        <f ca="1">((DE27-(DD27-DC27)-DC27)*ci_comp10)+(DE27*ct_comp10*'Time on treatment'!$D$12)</f>
        <v>0</v>
      </c>
      <c r="DF69" s="388">
        <f ca="1">((DF27-(DE27-DD27)-(DD27-DC27)-DC27)*ci_comp10)+(DF27*ct_comp10*'Time on treatment'!$D$12)</f>
        <v>0</v>
      </c>
      <c r="DG69" s="389">
        <f ca="1">((DG27-(DF27-DE27)-(DE27-DD27)-(DD27-DC27)-DC27)*ci_comp10)+(DG27*ct_comp10*'Time on treatment'!$D$12)</f>
        <v>0</v>
      </c>
      <c r="DH69" s="77"/>
      <c r="DI69" s="77"/>
    </row>
    <row r="70" spans="2:113">
      <c r="B70" s="80"/>
      <c r="C70" s="109"/>
      <c r="D70" s="109"/>
      <c r="E70" s="109"/>
      <c r="F70" s="109"/>
      <c r="G70" s="109"/>
      <c r="J70" s="80"/>
      <c r="K70" s="109"/>
      <c r="L70" s="109"/>
      <c r="M70" s="109"/>
      <c r="N70" s="109"/>
      <c r="O70" s="109"/>
      <c r="R70" s="80"/>
      <c r="S70" s="109"/>
      <c r="T70" s="109"/>
      <c r="U70" s="109"/>
      <c r="V70" s="109"/>
      <c r="W70" s="109"/>
      <c r="Z70" s="80"/>
      <c r="AA70" s="109"/>
      <c r="AB70" s="109"/>
      <c r="AC70" s="109"/>
      <c r="AD70" s="109"/>
      <c r="AE70" s="109"/>
      <c r="AH70" s="80"/>
      <c r="AI70" s="109"/>
      <c r="AJ70" s="109"/>
      <c r="AK70" s="109"/>
      <c r="AL70" s="109"/>
      <c r="AM70" s="109"/>
      <c r="AP70" s="80"/>
      <c r="AQ70" s="109"/>
      <c r="AR70" s="109"/>
      <c r="AS70" s="109"/>
      <c r="AT70" s="109"/>
      <c r="AU70" s="109"/>
      <c r="AX70" s="80"/>
      <c r="AY70" s="109"/>
      <c r="AZ70" s="109"/>
      <c r="BA70" s="109"/>
      <c r="BB70" s="109"/>
      <c r="BC70" s="109"/>
      <c r="BF70" s="80"/>
      <c r="BG70" s="109"/>
      <c r="BH70" s="109"/>
      <c r="BI70" s="109"/>
      <c r="BJ70" s="109"/>
      <c r="BK70" s="109"/>
      <c r="BN70" s="80"/>
      <c r="BO70" s="109"/>
      <c r="BP70" s="109"/>
      <c r="BQ70" s="109"/>
      <c r="BR70" s="109"/>
      <c r="BS70" s="109"/>
      <c r="BV70" s="80"/>
      <c r="BW70" s="109"/>
      <c r="BX70" s="109"/>
      <c r="BY70" s="109"/>
      <c r="BZ70" s="109"/>
      <c r="CA70" s="109"/>
      <c r="CD70" s="80"/>
      <c r="CE70" s="109"/>
      <c r="CF70" s="109"/>
      <c r="CG70" s="109"/>
      <c r="CH70" s="109"/>
      <c r="CI70" s="109"/>
      <c r="CL70" s="80"/>
      <c r="CM70" s="109"/>
      <c r="CN70" s="109"/>
      <c r="CO70" s="109"/>
      <c r="CP70" s="109"/>
      <c r="CQ70" s="109"/>
      <c r="CT70" s="80"/>
      <c r="CU70" s="109"/>
      <c r="CV70" s="109"/>
      <c r="CW70" s="109"/>
      <c r="CX70" s="109"/>
      <c r="CY70" s="109"/>
      <c r="DB70" s="80"/>
      <c r="DC70" s="109"/>
      <c r="DD70" s="109"/>
      <c r="DE70" s="109"/>
      <c r="DF70" s="109"/>
      <c r="DG70" s="109"/>
    </row>
    <row r="73" spans="2:113" s="3" customFormat="1" ht="13.95" customHeight="1">
      <c r="B73" s="7"/>
      <c r="C73" s="7"/>
      <c r="D73" s="7"/>
      <c r="E73" s="7"/>
      <c r="F73" s="7"/>
      <c r="G73" s="7"/>
      <c r="H73" s="7"/>
      <c r="I73" s="7"/>
      <c r="J73" s="7"/>
      <c r="K73" s="7"/>
      <c r="L73" s="142"/>
      <c r="M73" s="142"/>
      <c r="N73" s="9"/>
      <c r="O73" s="9"/>
      <c r="P73" s="9"/>
      <c r="Q73" s="9"/>
      <c r="R73" s="9"/>
      <c r="S73" s="9"/>
      <c r="T73" s="9"/>
      <c r="U73" s="9"/>
      <c r="V73" s="9"/>
      <c r="W73" s="9"/>
      <c r="X73" s="9"/>
    </row>
    <row r="74" spans="2:113" s="3" customFormat="1">
      <c r="B74" s="65"/>
      <c r="C74" s="65"/>
      <c r="D74" s="65"/>
      <c r="E74" s="65"/>
      <c r="F74" s="65"/>
      <c r="G74" s="65"/>
      <c r="H74" s="65"/>
      <c r="I74" s="65"/>
      <c r="J74" s="65"/>
      <c r="K74" s="65"/>
      <c r="L74" s="65"/>
      <c r="M74" s="65"/>
    </row>
    <row r="75" spans="2:113" s="3" customFormat="1">
      <c r="B75" s="404" t="s">
        <v>77</v>
      </c>
      <c r="C75" s="404"/>
      <c r="D75" s="404"/>
      <c r="E75" s="404"/>
      <c r="F75" s="404"/>
      <c r="G75" s="404"/>
      <c r="H75" s="404"/>
      <c r="I75" s="404"/>
      <c r="J75" s="404"/>
      <c r="K75" s="404"/>
      <c r="L75" s="404"/>
      <c r="M75" s="404"/>
    </row>
    <row r="76" spans="2:113" s="3" customFormat="1">
      <c r="B76" s="404"/>
      <c r="C76" s="404"/>
      <c r="D76" s="404"/>
      <c r="E76" s="404"/>
      <c r="F76" s="404"/>
      <c r="G76" s="404"/>
      <c r="H76" s="404"/>
      <c r="I76" s="404"/>
      <c r="J76" s="404"/>
      <c r="K76" s="404"/>
      <c r="L76" s="404"/>
      <c r="M76" s="404"/>
    </row>
    <row r="77" spans="2:113" s="1" customFormat="1" ht="85.95" customHeight="1">
      <c r="B77" s="403" t="e" vm="1">
        <v>#VALUE!</v>
      </c>
      <c r="C77" s="403"/>
      <c r="D77" s="403"/>
      <c r="E77" s="403"/>
      <c r="F77" s="403"/>
      <c r="G77" s="403"/>
      <c r="H77" s="403"/>
      <c r="I77" s="403"/>
      <c r="J77" s="403"/>
      <c r="K77" s="403"/>
      <c r="L77" s="403"/>
      <c r="M77" s="403"/>
    </row>
  </sheetData>
  <sheetProtection algorithmName="SHA-512" hashValue="FAJ8i+C5mtm/Bg47PxEt5u1ACTy8QSBcSoxenaGMJ7Gq07ieIpa2yH8BXR3XRksh1XW0wSt+HpkvKqcKlmNTAA==" saltValue="WuZu5NL5zWl7e5dCKIpCYA==" spinCount="100000" sheet="1" objects="1" scenarios="1" formatColumns="0"/>
  <mergeCells count="276">
    <mergeCell ref="B75:M76"/>
    <mergeCell ref="B77:M77"/>
    <mergeCell ref="BN67:BS67"/>
    <mergeCell ref="BV67:CA67"/>
    <mergeCell ref="CD67:CI67"/>
    <mergeCell ref="CL67:CQ67"/>
    <mergeCell ref="CT67:CY67"/>
    <mergeCell ref="DB67:DG67"/>
    <mergeCell ref="CT63:CY63"/>
    <mergeCell ref="DB63:DG63"/>
    <mergeCell ref="B67:G67"/>
    <mergeCell ref="J67:O67"/>
    <mergeCell ref="R67:W67"/>
    <mergeCell ref="Z67:AE67"/>
    <mergeCell ref="AH67:AM67"/>
    <mergeCell ref="AP67:AU67"/>
    <mergeCell ref="AX67:BC67"/>
    <mergeCell ref="BF67:BK67"/>
    <mergeCell ref="AX63:BC63"/>
    <mergeCell ref="BF63:BK63"/>
    <mergeCell ref="BN63:BS63"/>
    <mergeCell ref="BV63:CA63"/>
    <mergeCell ref="CD63:CI63"/>
    <mergeCell ref="CL63:CQ63"/>
    <mergeCell ref="B63:G63"/>
    <mergeCell ref="J63:O63"/>
    <mergeCell ref="R63:W63"/>
    <mergeCell ref="Z63:AE63"/>
    <mergeCell ref="AH63:AM63"/>
    <mergeCell ref="AP63:AU63"/>
    <mergeCell ref="BN59:BS59"/>
    <mergeCell ref="BV59:CA59"/>
    <mergeCell ref="CD59:CI59"/>
    <mergeCell ref="CL59:CQ59"/>
    <mergeCell ref="CT59:CY59"/>
    <mergeCell ref="DB59:DG59"/>
    <mergeCell ref="CT55:CY55"/>
    <mergeCell ref="DB55:DG55"/>
    <mergeCell ref="B59:G59"/>
    <mergeCell ref="J59:O59"/>
    <mergeCell ref="R59:W59"/>
    <mergeCell ref="Z59:AE59"/>
    <mergeCell ref="AH59:AM59"/>
    <mergeCell ref="AP59:AU59"/>
    <mergeCell ref="AX59:BC59"/>
    <mergeCell ref="BF59:BK59"/>
    <mergeCell ref="AX55:BC55"/>
    <mergeCell ref="BF55:BK55"/>
    <mergeCell ref="BN55:BS55"/>
    <mergeCell ref="BV55:CA55"/>
    <mergeCell ref="CD55:CI55"/>
    <mergeCell ref="CL55:CQ55"/>
    <mergeCell ref="B55:G55"/>
    <mergeCell ref="J55:O55"/>
    <mergeCell ref="R55:W55"/>
    <mergeCell ref="Z55:AE55"/>
    <mergeCell ref="AH55:AM55"/>
    <mergeCell ref="AP55:AU55"/>
    <mergeCell ref="BN53:BS53"/>
    <mergeCell ref="BV53:CA53"/>
    <mergeCell ref="CD53:CI53"/>
    <mergeCell ref="CL53:CQ53"/>
    <mergeCell ref="CT53:CY53"/>
    <mergeCell ref="DB53:DG53"/>
    <mergeCell ref="CT52:CZ52"/>
    <mergeCell ref="DB52:DH52"/>
    <mergeCell ref="BN52:BT52"/>
    <mergeCell ref="BV52:CB52"/>
    <mergeCell ref="CD52:CJ52"/>
    <mergeCell ref="CL52:CR52"/>
    <mergeCell ref="B53:G53"/>
    <mergeCell ref="J53:O53"/>
    <mergeCell ref="R53:W53"/>
    <mergeCell ref="Z53:AE53"/>
    <mergeCell ref="AH53:AM53"/>
    <mergeCell ref="AP53:AU53"/>
    <mergeCell ref="AX53:BC53"/>
    <mergeCell ref="BF53:BK53"/>
    <mergeCell ref="AX52:BD52"/>
    <mergeCell ref="BF52:BL52"/>
    <mergeCell ref="B52:H52"/>
    <mergeCell ref="J52:P52"/>
    <mergeCell ref="R52:X52"/>
    <mergeCell ref="Z52:AF52"/>
    <mergeCell ref="AH52:AN52"/>
    <mergeCell ref="AP52:AV52"/>
    <mergeCell ref="BN46:BS46"/>
    <mergeCell ref="BV46:CA46"/>
    <mergeCell ref="CD46:CI46"/>
    <mergeCell ref="CL46:CQ46"/>
    <mergeCell ref="CT46:CY46"/>
    <mergeCell ref="DB46:DG46"/>
    <mergeCell ref="CT42:CY42"/>
    <mergeCell ref="DB42:DG42"/>
    <mergeCell ref="B46:G46"/>
    <mergeCell ref="J46:O46"/>
    <mergeCell ref="R46:W46"/>
    <mergeCell ref="Z46:AE46"/>
    <mergeCell ref="AH46:AM46"/>
    <mergeCell ref="AP46:AU46"/>
    <mergeCell ref="AX46:BC46"/>
    <mergeCell ref="BF46:BK46"/>
    <mergeCell ref="AX42:BC42"/>
    <mergeCell ref="BF42:BK42"/>
    <mergeCell ref="BN42:BS42"/>
    <mergeCell ref="BV42:CA42"/>
    <mergeCell ref="CD42:CI42"/>
    <mergeCell ref="CL42:CQ42"/>
    <mergeCell ref="B42:G42"/>
    <mergeCell ref="J42:O42"/>
    <mergeCell ref="R42:W42"/>
    <mergeCell ref="Z42:AE42"/>
    <mergeCell ref="AH42:AM42"/>
    <mergeCell ref="AP42:AU42"/>
    <mergeCell ref="BN38:BS38"/>
    <mergeCell ref="BV38:CA38"/>
    <mergeCell ref="CD38:CI38"/>
    <mergeCell ref="CL38:CQ38"/>
    <mergeCell ref="CT38:CY38"/>
    <mergeCell ref="DB38:DG38"/>
    <mergeCell ref="CT34:CY34"/>
    <mergeCell ref="DB34:DG34"/>
    <mergeCell ref="B38:G38"/>
    <mergeCell ref="J38:O38"/>
    <mergeCell ref="R38:W38"/>
    <mergeCell ref="Z38:AE38"/>
    <mergeCell ref="AH38:AM38"/>
    <mergeCell ref="AP38:AU38"/>
    <mergeCell ref="AX38:BC38"/>
    <mergeCell ref="BF38:BK38"/>
    <mergeCell ref="AX34:BC34"/>
    <mergeCell ref="BF34:BK34"/>
    <mergeCell ref="BN34:BS34"/>
    <mergeCell ref="BV34:CA34"/>
    <mergeCell ref="CD34:CI34"/>
    <mergeCell ref="CL34:CQ34"/>
    <mergeCell ref="B34:G34"/>
    <mergeCell ref="J34:O34"/>
    <mergeCell ref="R34:W34"/>
    <mergeCell ref="Z34:AE34"/>
    <mergeCell ref="AH34:AM34"/>
    <mergeCell ref="AP34:AU34"/>
    <mergeCell ref="BN32:BS32"/>
    <mergeCell ref="BV32:CA32"/>
    <mergeCell ref="CD32:CI32"/>
    <mergeCell ref="CL32:CQ32"/>
    <mergeCell ref="CT32:CY32"/>
    <mergeCell ref="DB32:DG32"/>
    <mergeCell ref="CT31:CZ31"/>
    <mergeCell ref="DB31:DH31"/>
    <mergeCell ref="B32:G32"/>
    <mergeCell ref="J32:O32"/>
    <mergeCell ref="R32:W32"/>
    <mergeCell ref="Z32:AE32"/>
    <mergeCell ref="AH32:AM32"/>
    <mergeCell ref="AP32:AU32"/>
    <mergeCell ref="AX32:BC32"/>
    <mergeCell ref="BF32:BK32"/>
    <mergeCell ref="AX31:BD31"/>
    <mergeCell ref="BF31:BL31"/>
    <mergeCell ref="BN31:BT31"/>
    <mergeCell ref="BV31:CB31"/>
    <mergeCell ref="CD31:CJ31"/>
    <mergeCell ref="CL31:CR31"/>
    <mergeCell ref="B31:H31"/>
    <mergeCell ref="J31:P31"/>
    <mergeCell ref="R31:X31"/>
    <mergeCell ref="Z31:AF31"/>
    <mergeCell ref="AH31:AN31"/>
    <mergeCell ref="AP31:AV31"/>
    <mergeCell ref="BN25:BS25"/>
    <mergeCell ref="BV25:CA25"/>
    <mergeCell ref="CD25:CI25"/>
    <mergeCell ref="CL25:CQ25"/>
    <mergeCell ref="CT25:CY25"/>
    <mergeCell ref="DB25:DG25"/>
    <mergeCell ref="CT21:CY21"/>
    <mergeCell ref="DB21:DG21"/>
    <mergeCell ref="B25:G25"/>
    <mergeCell ref="J25:O25"/>
    <mergeCell ref="R25:W25"/>
    <mergeCell ref="Z25:AE25"/>
    <mergeCell ref="AH25:AM25"/>
    <mergeCell ref="AP25:AU25"/>
    <mergeCell ref="AX25:BC25"/>
    <mergeCell ref="BF25:BK25"/>
    <mergeCell ref="AX21:BC21"/>
    <mergeCell ref="BF21:BK21"/>
    <mergeCell ref="BN21:BS21"/>
    <mergeCell ref="BV21:CA21"/>
    <mergeCell ref="CD21:CI21"/>
    <mergeCell ref="CL21:CQ21"/>
    <mergeCell ref="B21:G21"/>
    <mergeCell ref="J21:O21"/>
    <mergeCell ref="R21:W21"/>
    <mergeCell ref="Z21:AE21"/>
    <mergeCell ref="AH21:AM21"/>
    <mergeCell ref="AP21:AU21"/>
    <mergeCell ref="BN17:BS17"/>
    <mergeCell ref="BV17:CA17"/>
    <mergeCell ref="CD17:CI17"/>
    <mergeCell ref="CL17:CQ17"/>
    <mergeCell ref="CT17:CY17"/>
    <mergeCell ref="DB17:DG17"/>
    <mergeCell ref="CT13:CY13"/>
    <mergeCell ref="DB13:DG13"/>
    <mergeCell ref="B17:G17"/>
    <mergeCell ref="J17:O17"/>
    <mergeCell ref="R17:W17"/>
    <mergeCell ref="Z17:AE17"/>
    <mergeCell ref="AH17:AM17"/>
    <mergeCell ref="AP17:AU17"/>
    <mergeCell ref="AX17:BC17"/>
    <mergeCell ref="BF17:BK17"/>
    <mergeCell ref="AX13:BC13"/>
    <mergeCell ref="BF13:BK13"/>
    <mergeCell ref="BN13:BS13"/>
    <mergeCell ref="BV13:CA13"/>
    <mergeCell ref="CD13:CI13"/>
    <mergeCell ref="CL13:CQ13"/>
    <mergeCell ref="B13:G13"/>
    <mergeCell ref="J13:O13"/>
    <mergeCell ref="R13:W13"/>
    <mergeCell ref="Z13:AE13"/>
    <mergeCell ref="AH13:AM13"/>
    <mergeCell ref="AP13:AU13"/>
    <mergeCell ref="BN11:BS11"/>
    <mergeCell ref="BV11:CA11"/>
    <mergeCell ref="CD11:CI11"/>
    <mergeCell ref="CL11:CQ11"/>
    <mergeCell ref="CT11:CY11"/>
    <mergeCell ref="DB11:DG11"/>
    <mergeCell ref="CT10:CZ10"/>
    <mergeCell ref="DB10:DH10"/>
    <mergeCell ref="B11:G11"/>
    <mergeCell ref="J11:O11"/>
    <mergeCell ref="R11:W11"/>
    <mergeCell ref="Z11:AE11"/>
    <mergeCell ref="AH11:AM11"/>
    <mergeCell ref="AP11:AU11"/>
    <mergeCell ref="AX11:BC11"/>
    <mergeCell ref="BF11:BK11"/>
    <mergeCell ref="AX10:BD10"/>
    <mergeCell ref="BF10:BL10"/>
    <mergeCell ref="BN10:BT10"/>
    <mergeCell ref="BV10:CB10"/>
    <mergeCell ref="CD10:CJ10"/>
    <mergeCell ref="CL10:CR10"/>
    <mergeCell ref="B10:H10"/>
    <mergeCell ref="J10:P10"/>
    <mergeCell ref="R10:X10"/>
    <mergeCell ref="Z10:AF10"/>
    <mergeCell ref="AH10:AN10"/>
    <mergeCell ref="AP10:AV10"/>
    <mergeCell ref="BN5:BT5"/>
    <mergeCell ref="BV5:CB5"/>
    <mergeCell ref="CD5:CJ5"/>
    <mergeCell ref="CL5:CR5"/>
    <mergeCell ref="CT5:CZ5"/>
    <mergeCell ref="DB5:DH5"/>
    <mergeCell ref="CT4:CZ4"/>
    <mergeCell ref="DB4:DH4"/>
    <mergeCell ref="B5:H5"/>
    <mergeCell ref="J5:P5"/>
    <mergeCell ref="R5:X5"/>
    <mergeCell ref="Z5:AF5"/>
    <mergeCell ref="AH5:AN5"/>
    <mergeCell ref="AP5:AV5"/>
    <mergeCell ref="AX5:BD5"/>
    <mergeCell ref="BF5:BL5"/>
    <mergeCell ref="AX4:BD4"/>
    <mergeCell ref="BF4:BL4"/>
    <mergeCell ref="BN4:BT4"/>
    <mergeCell ref="BV4:CB4"/>
    <mergeCell ref="CD4:CJ4"/>
    <mergeCell ref="CL4:CR4"/>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1F63-9093-499D-A042-AFE3C1FF35D7}">
  <sheetPr codeName="Planilha16">
    <tabColor rgb="FF0EB1BA"/>
  </sheetPr>
  <dimension ref="B1:Z89"/>
  <sheetViews>
    <sheetView showGridLines="0" showRowColHeaders="0" zoomScaleNormal="100" workbookViewId="0">
      <selection activeCell="N22" sqref="N22"/>
    </sheetView>
  </sheetViews>
  <sheetFormatPr defaultColWidth="8.77734375" defaultRowHeight="14.4"/>
  <cols>
    <col min="1" max="1" width="6.33203125" style="3" customWidth="1"/>
    <col min="2" max="2" width="29.77734375" style="3" customWidth="1"/>
    <col min="3" max="3" width="17.77734375" style="3" customWidth="1"/>
    <col min="4" max="4" width="20.44140625" style="3" customWidth="1"/>
    <col min="5" max="5" width="22.6640625" style="3" customWidth="1"/>
    <col min="6" max="6" width="22" style="3" customWidth="1"/>
    <col min="7" max="7" width="19.77734375" style="3" customWidth="1"/>
    <col min="8" max="8" width="10.44140625" style="3" customWidth="1"/>
    <col min="9" max="9" width="4.109375" style="3" customWidth="1"/>
    <col min="10" max="10" width="26.109375" style="3" customWidth="1"/>
    <col min="11" max="11" width="22.33203125" style="3" customWidth="1"/>
    <col min="12" max="12" width="25.44140625" style="3" customWidth="1"/>
    <col min="13" max="13" width="24.6640625" style="3" customWidth="1"/>
    <col min="14" max="14" width="26.44140625" style="3" customWidth="1"/>
    <col min="15" max="15" width="24.33203125" style="3" customWidth="1"/>
    <col min="16" max="16384" width="8.77734375" style="3"/>
  </cols>
  <sheetData>
    <row r="1" spans="2:26" s="33" customFormat="1" ht="33.6">
      <c r="B1" s="34" t="str">
        <f>Introduction!$B$1</f>
        <v>Budget impact analysis of treatments for Advanced cancer</v>
      </c>
      <c r="C1" s="34"/>
      <c r="D1" s="35"/>
      <c r="E1" s="36"/>
      <c r="F1" s="36"/>
      <c r="G1" s="36"/>
      <c r="H1" s="36"/>
      <c r="I1" s="36"/>
      <c r="J1" s="36"/>
      <c r="K1" s="36"/>
      <c r="L1" s="36"/>
      <c r="M1" s="36"/>
      <c r="N1" s="36"/>
      <c r="O1" s="36"/>
      <c r="P1" s="36"/>
      <c r="Q1" s="36"/>
      <c r="R1" s="36"/>
      <c r="S1" s="36"/>
      <c r="T1" s="36"/>
      <c r="U1" s="36"/>
      <c r="V1" s="36"/>
      <c r="W1" s="36"/>
      <c r="X1" s="36"/>
      <c r="Y1" s="36"/>
      <c r="Z1" s="55"/>
    </row>
    <row r="2" spans="2:26" s="33" customFormat="1" ht="18">
      <c r="B2" s="37"/>
      <c r="C2" s="37"/>
      <c r="D2" s="38"/>
      <c r="E2" s="39"/>
      <c r="F2" s="39"/>
      <c r="G2" s="39"/>
      <c r="H2" s="39"/>
      <c r="I2" s="39"/>
      <c r="J2" s="39"/>
      <c r="K2" s="39"/>
      <c r="L2" s="39"/>
      <c r="M2" s="36"/>
      <c r="N2" s="36"/>
      <c r="O2" s="36"/>
      <c r="P2" s="36"/>
      <c r="Q2" s="36"/>
      <c r="R2" s="36"/>
      <c r="S2" s="36"/>
      <c r="T2" s="36"/>
      <c r="U2" s="36"/>
      <c r="V2" s="36"/>
      <c r="W2" s="36"/>
      <c r="X2" s="36"/>
      <c r="Y2" s="36"/>
      <c r="Z2" s="55"/>
    </row>
    <row r="3" spans="2:26" s="45" customFormat="1" ht="2.25" customHeight="1">
      <c r="D3" s="46"/>
      <c r="Z3" s="56"/>
    </row>
    <row r="4" spans="2:26" ht="18">
      <c r="B4" s="9"/>
      <c r="C4" s="47"/>
      <c r="D4" s="47"/>
      <c r="E4" s="47"/>
      <c r="F4" s="47"/>
      <c r="G4" s="47"/>
      <c r="H4" s="47"/>
      <c r="I4" s="9"/>
      <c r="J4" s="9"/>
      <c r="K4" s="9"/>
      <c r="L4" s="9"/>
      <c r="M4" s="9"/>
      <c r="N4" s="9"/>
      <c r="O4" s="9"/>
      <c r="P4" s="9"/>
      <c r="Q4" s="9"/>
      <c r="R4" s="9"/>
      <c r="S4" s="9"/>
      <c r="T4" s="9"/>
      <c r="U4" s="9"/>
      <c r="V4" s="9"/>
      <c r="W4" s="9"/>
      <c r="X4" s="9"/>
      <c r="Y4" s="9"/>
      <c r="Z4" s="9"/>
    </row>
    <row r="6" spans="2:26" ht="18">
      <c r="B6" s="47" t="str">
        <f>Results!B21</f>
        <v>Full-cost results</v>
      </c>
      <c r="C6" s="9"/>
      <c r="D6" s="9"/>
      <c r="E6" s="9"/>
      <c r="F6" s="9"/>
      <c r="G6" s="9"/>
      <c r="H6" s="9"/>
      <c r="I6" s="9"/>
      <c r="J6" s="47" t="str">
        <f>Results!B30</f>
        <v>Technology cost–only results</v>
      </c>
      <c r="K6" s="47"/>
      <c r="L6" s="47"/>
      <c r="M6" s="47"/>
      <c r="N6" s="47"/>
      <c r="O6" s="47"/>
      <c r="P6" s="47"/>
      <c r="Q6" s="9"/>
      <c r="R6" s="9"/>
      <c r="S6" s="9"/>
      <c r="T6" s="9"/>
      <c r="U6" s="9"/>
      <c r="V6" s="9"/>
      <c r="W6" s="9"/>
      <c r="X6" s="9"/>
      <c r="Y6" s="9"/>
      <c r="Z6" s="9"/>
    </row>
    <row r="8" spans="2:26">
      <c r="B8" s="514" t="str">
        <f>cen_atual</f>
        <v>BSC only</v>
      </c>
      <c r="C8" s="514"/>
      <c r="D8" s="514"/>
      <c r="E8" s="514"/>
      <c r="F8" s="514"/>
      <c r="G8" s="514"/>
      <c r="H8" s="514"/>
      <c r="I8" s="9"/>
      <c r="J8" s="514" t="str">
        <f>cen_atual</f>
        <v>BSC only</v>
      </c>
      <c r="K8" s="514"/>
      <c r="L8" s="514"/>
      <c r="M8" s="514"/>
      <c r="N8" s="514"/>
      <c r="O8" s="514"/>
      <c r="P8" s="514"/>
      <c r="Q8" s="9"/>
      <c r="R8" s="9"/>
      <c r="S8" s="9"/>
      <c r="T8" s="9"/>
      <c r="U8" s="9"/>
      <c r="V8" s="9"/>
      <c r="W8" s="9"/>
      <c r="X8" s="9"/>
      <c r="Y8" s="9"/>
      <c r="Z8" s="9"/>
    </row>
    <row r="10" spans="2:26">
      <c r="B10" s="93" t="s">
        <v>81</v>
      </c>
      <c r="C10" s="93">
        <f>ano_1</f>
        <v>2026</v>
      </c>
      <c r="D10" s="93">
        <f>C10+1</f>
        <v>2027</v>
      </c>
      <c r="E10" s="93">
        <f t="shared" ref="E10:G10" si="0">D10+1</f>
        <v>2028</v>
      </c>
      <c r="F10" s="93">
        <f t="shared" si="0"/>
        <v>2029</v>
      </c>
      <c r="G10" s="93">
        <f t="shared" si="0"/>
        <v>2030</v>
      </c>
      <c r="H10" s="5"/>
      <c r="I10" s="9"/>
      <c r="J10" s="93" t="s">
        <v>81</v>
      </c>
      <c r="K10" s="93">
        <f>ano_1</f>
        <v>2026</v>
      </c>
      <c r="L10" s="93">
        <f>K10+1</f>
        <v>2027</v>
      </c>
      <c r="M10" s="93">
        <f t="shared" ref="M10:O10" si="1">L10+1</f>
        <v>2028</v>
      </c>
      <c r="N10" s="93">
        <f t="shared" si="1"/>
        <v>2029</v>
      </c>
      <c r="O10" s="93">
        <f t="shared" si="1"/>
        <v>2030</v>
      </c>
      <c r="P10" s="5"/>
      <c r="Q10" s="9"/>
      <c r="R10" s="9"/>
      <c r="S10" s="9"/>
      <c r="T10" s="9"/>
      <c r="U10" s="9"/>
      <c r="V10" s="9"/>
      <c r="W10" s="9"/>
      <c r="X10" s="9"/>
      <c r="Y10" s="9"/>
      <c r="Z10" s="9"/>
    </row>
    <row r="11" spans="2:26">
      <c r="B11" s="11" t="str">
        <f>intervencao1</f>
        <v>Drug 1</v>
      </c>
      <c r="C11" s="213">
        <f ca="1">IF(dynamic="Yes",Calculations!C103,Calculations2!C36)</f>
        <v>0</v>
      </c>
      <c r="D11" s="213">
        <f ca="1">Calculations!D103</f>
        <v>0</v>
      </c>
      <c r="E11" s="213">
        <f ca="1">Calculations!E103</f>
        <v>0</v>
      </c>
      <c r="F11" s="213">
        <f ca="1">Calculations!F103</f>
        <v>0</v>
      </c>
      <c r="G11" s="213">
        <f ca="1">Calculations!G103</f>
        <v>0</v>
      </c>
      <c r="H11" s="206"/>
      <c r="I11" s="206"/>
      <c r="J11" s="11" t="str">
        <f>intervencao1</f>
        <v>Drug 1</v>
      </c>
      <c r="K11" s="213">
        <f ca="1">IF(dynamic="Yes",Calculations!C164,Calculations2!C57)</f>
        <v>0</v>
      </c>
      <c r="L11" s="213">
        <f ca="1">IF(dynamic="Yes",Calculations!D164,Calculations2!D57)</f>
        <v>0</v>
      </c>
      <c r="M11" s="213">
        <f ca="1">IF(dynamic="Yes",Calculations!E164,Calculations2!E57)</f>
        <v>0</v>
      </c>
      <c r="N11" s="213">
        <f ca="1">IF(dynamic="Yes",Calculations!F164,Calculations2!F57)</f>
        <v>0</v>
      </c>
      <c r="O11" s="213">
        <f ca="1">IF(dynamic="Yes",Calculations!G164,Calculations2!G57)</f>
        <v>0</v>
      </c>
      <c r="P11" s="9"/>
      <c r="Q11" s="9"/>
      <c r="R11" s="9"/>
      <c r="S11" s="9"/>
      <c r="T11" s="9"/>
      <c r="U11" s="9"/>
      <c r="V11" s="9"/>
      <c r="W11" s="9"/>
      <c r="X11" s="9"/>
      <c r="Y11" s="9"/>
      <c r="Z11" s="9"/>
    </row>
    <row r="12" spans="2:26">
      <c r="B12" s="11" t="str">
        <f>intervencao2</f>
        <v>Drug 2</v>
      </c>
      <c r="C12" s="213">
        <f ca="1">IF(dynamic="Yes",Calculations!K103,Calculations2!K36)</f>
        <v>0</v>
      </c>
      <c r="D12" s="213">
        <f ca="1">IF(dynamic="Yes",Calculations!L103,Calculations2!L36)</f>
        <v>0</v>
      </c>
      <c r="E12" s="213">
        <f ca="1">IF(dynamic="Yes",Calculations!M103,Calculations2!M36)</f>
        <v>0</v>
      </c>
      <c r="F12" s="213">
        <f ca="1">IF(dynamic="Yes",Calculations!N103,Calculations2!N36)</f>
        <v>0</v>
      </c>
      <c r="G12" s="213">
        <f ca="1">IF(dynamic="Yes",Calculations!O103,Calculations2!O36)</f>
        <v>0</v>
      </c>
      <c r="H12" s="215"/>
      <c r="I12" s="206"/>
      <c r="J12" s="11" t="str">
        <f>intervencao2</f>
        <v>Drug 2</v>
      </c>
      <c r="K12" s="213">
        <f ca="1">IF(dynamic="Yes",Calculations!K164,Calculations2!K57)</f>
        <v>0</v>
      </c>
      <c r="L12" s="213">
        <f ca="1">IF(dynamic="Yes",Calculations!L164,Calculations2!L57)</f>
        <v>0</v>
      </c>
      <c r="M12" s="213">
        <f ca="1">IF(dynamic="Yes",Calculations!M164,Calculations2!M57)</f>
        <v>0</v>
      </c>
      <c r="N12" s="213">
        <f ca="1">IF(dynamic="Yes",Calculations!N164,Calculations2!N57)</f>
        <v>0</v>
      </c>
      <c r="O12" s="213">
        <f ca="1">IF(dynamic="Yes",Calculations!O164,Calculations2!O57)</f>
        <v>0</v>
      </c>
      <c r="P12" s="4"/>
      <c r="Q12" s="9"/>
      <c r="R12" s="9"/>
      <c r="S12" s="9"/>
      <c r="T12" s="9"/>
      <c r="U12" s="9"/>
      <c r="V12" s="9"/>
      <c r="W12" s="9"/>
      <c r="X12" s="9"/>
      <c r="Y12" s="9"/>
      <c r="Z12" s="9"/>
    </row>
    <row r="13" spans="2:26">
      <c r="B13" s="11">
        <f>intervencao3</f>
        <v>0</v>
      </c>
      <c r="C13" s="213">
        <f ca="1">IF(dynamic="Yes",Calculations!S103,Calculations2!S36)</f>
        <v>0</v>
      </c>
      <c r="D13" s="213">
        <f ca="1">IF(dynamic="Yes",Calculations!T103,Calculations2!T36)</f>
        <v>0</v>
      </c>
      <c r="E13" s="213">
        <f ca="1">IF(dynamic="Yes",Calculations!U103,Calculations2!U36)</f>
        <v>0</v>
      </c>
      <c r="F13" s="213">
        <f ca="1">IF(dynamic="Yes",Calculations!V103,Calculations2!V36)</f>
        <v>0</v>
      </c>
      <c r="G13" s="213">
        <f ca="1">IF(dynamic="Yes",Calculations!W103,Calculations2!W36)</f>
        <v>0</v>
      </c>
      <c r="H13" s="206"/>
      <c r="I13" s="206"/>
      <c r="J13" s="11">
        <f>intervencao3</f>
        <v>0</v>
      </c>
      <c r="K13" s="213">
        <f ca="1">IF(dynamic="Yes",Calculations!S164,Calculations2!S57)</f>
        <v>0</v>
      </c>
      <c r="L13" s="213">
        <f ca="1">IF(dynamic="Yes",Calculations!T164,Calculations2!T57)</f>
        <v>0</v>
      </c>
      <c r="M13" s="213">
        <f ca="1">IF(dynamic="Yes",Calculations!U164,Calculations2!U57)</f>
        <v>0</v>
      </c>
      <c r="N13" s="213">
        <f ca="1">IF(dynamic="Yes",Calculations!V164,Calculations2!V57)</f>
        <v>0</v>
      </c>
      <c r="O13" s="213">
        <f ca="1">IF(dynamic="Yes",Calculations!W164,Calculations2!W57)</f>
        <v>0</v>
      </c>
      <c r="P13" s="9"/>
      <c r="Q13" s="9"/>
      <c r="R13" s="9"/>
      <c r="S13" s="9"/>
      <c r="T13" s="9"/>
      <c r="U13" s="9"/>
      <c r="V13" s="9"/>
      <c r="W13" s="9"/>
      <c r="X13" s="9"/>
      <c r="Y13" s="9"/>
      <c r="Z13" s="9"/>
    </row>
    <row r="14" spans="2:26">
      <c r="B14" s="11">
        <f>intervencao4</f>
        <v>0</v>
      </c>
      <c r="C14" s="213">
        <f ca="1">IF(dynamic="Yes",Calculations!AA103,Calculations2!AA36)</f>
        <v>0</v>
      </c>
      <c r="D14" s="213">
        <f ca="1">IF(dynamic="Yes",Calculations!AB103,Calculations2!AB36)</f>
        <v>0</v>
      </c>
      <c r="E14" s="213">
        <f ca="1">IF(dynamic="Yes",Calculations!AC103,Calculations2!AC36)</f>
        <v>0</v>
      </c>
      <c r="F14" s="213">
        <f ca="1">IF(dynamic="Yes",Calculations!AD103,Calculations2!AD36)</f>
        <v>0</v>
      </c>
      <c r="G14" s="213">
        <f ca="1">IF(dynamic="Yes",Calculations!AE103,Calculations2!AE36)</f>
        <v>0</v>
      </c>
      <c r="H14" s="206"/>
      <c r="I14" s="206"/>
      <c r="J14" s="11">
        <f>intervencao4</f>
        <v>0</v>
      </c>
      <c r="K14" s="213">
        <f ca="1">IF(dynamic="Yes",Calculations!AA164,Calculations2!AA57)</f>
        <v>0</v>
      </c>
      <c r="L14" s="213">
        <f ca="1">IF(dynamic="Yes",Calculations!AB164,Calculations2!AB57)</f>
        <v>0</v>
      </c>
      <c r="M14" s="213">
        <f ca="1">IF(dynamic="Yes",Calculations!AC164,Calculations2!AC57)</f>
        <v>0</v>
      </c>
      <c r="N14" s="213">
        <f ca="1">IF(dynamic="Yes",Calculations!AD164,Calculations2!AD57)</f>
        <v>0</v>
      </c>
      <c r="O14" s="213">
        <f ca="1">IF(dynamic="Yes",Calculations!AE164,Calculations2!AE57)</f>
        <v>0</v>
      </c>
      <c r="P14" s="9"/>
      <c r="Q14" s="9"/>
      <c r="R14" s="9"/>
      <c r="S14" s="9"/>
      <c r="T14" s="9"/>
      <c r="U14" s="9"/>
      <c r="V14" s="9"/>
      <c r="W14" s="9"/>
      <c r="X14" s="9"/>
      <c r="Y14" s="9"/>
      <c r="Z14" s="9"/>
    </row>
    <row r="15" spans="2:26">
      <c r="B15" s="11" t="str">
        <f>comparador1</f>
        <v>BSC</v>
      </c>
      <c r="C15" s="213">
        <f ca="1">IF(dynamic="Yes",Calculations!AI103,Calculations2!AI36)</f>
        <v>8174700.2145509999</v>
      </c>
      <c r="D15" s="213">
        <f ca="1">IF(dynamic="Yes",Calculations!AJ103,Calculations2!AJ36)</f>
        <v>15386109.045819752</v>
      </c>
      <c r="E15" s="213">
        <f ca="1">IF(dynamic="Yes",Calculations!AK103,Calculations2!AK36)</f>
        <v>22651801.248015001</v>
      </c>
      <c r="F15" s="213">
        <f ca="1">IF(dynamic="Yes",Calculations!AL103,Calculations2!AL36)</f>
        <v>29972283.956600249</v>
      </c>
      <c r="G15" s="213">
        <f ca="1">IF(dynamic="Yes",Calculations!AM103,Calculations2!AM36)</f>
        <v>37348728.764348254</v>
      </c>
      <c r="H15" s="206"/>
      <c r="I15" s="206"/>
      <c r="J15" s="11" t="str">
        <f>comparador1</f>
        <v>BSC</v>
      </c>
      <c r="K15" s="213">
        <f ca="1">IF(dynamic="Yes",Calculations!AI164,Calculations2!AI57)</f>
        <v>6427969.3994760001</v>
      </c>
      <c r="L15" s="213">
        <f ca="1">IF(dynamic="Yes",Calculations!AJ164,Calculations2!AJ57)</f>
        <v>12906418.751901001</v>
      </c>
      <c r="M15" s="213">
        <f ca="1">IF(dynamic="Yes",Calculations!AK164,Calculations2!AK57)</f>
        <v>19433897.355390001</v>
      </c>
      <c r="N15" s="213">
        <f ca="1">IF(dynamic="Yes",Calculations!AL164,Calculations2!AL57)</f>
        <v>26010621.642519001</v>
      </c>
      <c r="O15" s="213">
        <f ca="1">IF(dynamic="Yes",Calculations!AM164,Calculations2!AM57)</f>
        <v>32637540.069417</v>
      </c>
      <c r="P15" s="9"/>
      <c r="Q15" s="9"/>
      <c r="R15" s="9"/>
      <c r="S15" s="9"/>
      <c r="T15" s="9"/>
      <c r="U15" s="9"/>
      <c r="V15" s="9"/>
      <c r="W15" s="9"/>
      <c r="X15" s="9"/>
      <c r="Y15" s="9"/>
      <c r="Z15" s="9"/>
    </row>
    <row r="16" spans="2:26">
      <c r="B16" s="11">
        <f>comparador2</f>
        <v>0</v>
      </c>
      <c r="C16" s="213">
        <f ca="1">IF(dynamic="Yes",Calculations!AQ103,Calculations2!AQ36)</f>
        <v>0</v>
      </c>
      <c r="D16" s="213">
        <f ca="1">IF(dynamic="Yes",Calculations!AR103,Calculations2!AR36)</f>
        <v>0</v>
      </c>
      <c r="E16" s="213">
        <f ca="1">IF(dynamic="Yes",Calculations!AS103,Calculations2!AS36)</f>
        <v>0</v>
      </c>
      <c r="F16" s="213">
        <f ca="1">IF(dynamic="Yes",Calculations!AT103,Calculations2!AT36)</f>
        <v>0</v>
      </c>
      <c r="G16" s="213">
        <f ca="1">IF(dynamic="Yes",Calculations!AU103,Calculations2!AU36)</f>
        <v>0</v>
      </c>
      <c r="H16" s="206"/>
      <c r="I16" s="206"/>
      <c r="J16" s="11">
        <f>comparador2</f>
        <v>0</v>
      </c>
      <c r="K16" s="213">
        <f ca="1">IF(dynamic="Yes",Calculations!AQ164,Calculations2!AQ57)</f>
        <v>0</v>
      </c>
      <c r="L16" s="213">
        <f ca="1">IF(dynamic="Yes",Calculations!AR164,Calculations2!AR57)</f>
        <v>0</v>
      </c>
      <c r="M16" s="213">
        <f ca="1">IF(dynamic="Yes",Calculations!AS164,Calculations2!AS57)</f>
        <v>0</v>
      </c>
      <c r="N16" s="213">
        <f ca="1">IF(dynamic="Yes",Calculations!AT164,Calculations2!AT57)</f>
        <v>0</v>
      </c>
      <c r="O16" s="213">
        <f ca="1">IF(dynamic="Yes",Calculations!AU164,Calculations2!AU57)</f>
        <v>0</v>
      </c>
      <c r="P16" s="9"/>
      <c r="Q16" s="9"/>
      <c r="R16" s="9"/>
      <c r="S16" s="9"/>
      <c r="T16" s="9"/>
      <c r="U16" s="9"/>
      <c r="V16" s="9"/>
      <c r="W16" s="9"/>
      <c r="X16" s="9"/>
      <c r="Y16" s="9"/>
      <c r="Z16" s="9"/>
    </row>
    <row r="17" spans="2:16">
      <c r="B17" s="11">
        <f>comparador3</f>
        <v>0</v>
      </c>
      <c r="C17" s="213">
        <f ca="1">IF(dynamic="Yes",Calculations!AY103,Calculations2!AY36)</f>
        <v>0</v>
      </c>
      <c r="D17" s="213">
        <f ca="1">IF(dynamic="Yes",Calculations!AZ103,Calculations2!AZ36)</f>
        <v>0</v>
      </c>
      <c r="E17" s="213">
        <f ca="1">IF(dynamic="Yes",Calculations!BA103,Calculations2!BA36)</f>
        <v>0</v>
      </c>
      <c r="F17" s="213">
        <f ca="1">IF(dynamic="Yes",Calculations!BB103,Calculations2!BB36)</f>
        <v>0</v>
      </c>
      <c r="G17" s="213">
        <f ca="1">IF(dynamic="Yes",Calculations!BC103,Calculations2!BC36)</f>
        <v>0</v>
      </c>
      <c r="H17" s="206"/>
      <c r="I17" s="206"/>
      <c r="J17" s="11">
        <f>comparador3</f>
        <v>0</v>
      </c>
      <c r="K17" s="213">
        <f ca="1">IF(dynamic="Yes",Calculations!AY164,Calculations2!AY57)</f>
        <v>0</v>
      </c>
      <c r="L17" s="213">
        <f ca="1">IF(dynamic="Yes",Calculations!AZ164,Calculations2!AZ57)</f>
        <v>0</v>
      </c>
      <c r="M17" s="213">
        <f ca="1">IF(dynamic="Yes",Calculations!BA164,Calculations2!BA57)</f>
        <v>0</v>
      </c>
      <c r="N17" s="213">
        <f ca="1">IF(dynamic="Yes",Calculations!BB164,Calculations2!BB57)</f>
        <v>0</v>
      </c>
      <c r="O17" s="213">
        <f ca="1">IF(dynamic="Yes",Calculations!BC164,Calculations2!BC57)</f>
        <v>0</v>
      </c>
      <c r="P17" s="9"/>
    </row>
    <row r="18" spans="2:16">
      <c r="B18" s="11">
        <f>comparador4</f>
        <v>0</v>
      </c>
      <c r="C18" s="213">
        <f ca="1">IF(dynamic="Yes",Calculations!BG103,Calculations2!BG36)</f>
        <v>0</v>
      </c>
      <c r="D18" s="213">
        <f ca="1">IF(dynamic="Yes",Calculations!BH103,Calculations2!BH36)</f>
        <v>0</v>
      </c>
      <c r="E18" s="213">
        <f ca="1">IF(dynamic="Yes",Calculations!BI103,Calculations2!BI36)</f>
        <v>0</v>
      </c>
      <c r="F18" s="213">
        <f ca="1">IF(dynamic="Yes",Calculations!BJ103,Calculations2!BJ36)</f>
        <v>0</v>
      </c>
      <c r="G18" s="213">
        <f ca="1">IF(dynamic="Yes",Calculations!BK103,Calculations2!BK36)</f>
        <v>0</v>
      </c>
      <c r="H18" s="206"/>
      <c r="I18" s="206"/>
      <c r="J18" s="11">
        <f>comparador4</f>
        <v>0</v>
      </c>
      <c r="K18" s="213">
        <f ca="1">IF(dynamic="Yes",Calculations!BG164,Calculations2!BG57)</f>
        <v>0</v>
      </c>
      <c r="L18" s="213">
        <f ca="1">IF(dynamic="Yes",Calculations!BH164,Calculations2!BH57)</f>
        <v>0</v>
      </c>
      <c r="M18" s="213">
        <f ca="1">IF(dynamic="Yes",Calculations!BI164,Calculations2!BI57)</f>
        <v>0</v>
      </c>
      <c r="N18" s="213">
        <f ca="1">IF(dynamic="Yes",Calculations!BJ164,Calculations2!BJ57)</f>
        <v>0</v>
      </c>
      <c r="O18" s="213">
        <f ca="1">IF(dynamic="Yes",Calculations!BK164,Calculations2!BK57)</f>
        <v>0</v>
      </c>
      <c r="P18" s="9"/>
    </row>
    <row r="19" spans="2:16">
      <c r="B19" s="11">
        <f>comparador5</f>
        <v>0</v>
      </c>
      <c r="C19" s="213">
        <f ca="1">IF(dynamic="Yes",Calculations!BO103,Calculations2!BO36)</f>
        <v>0</v>
      </c>
      <c r="D19" s="213">
        <f ca="1">IF(dynamic="Yes",Calculations!BP103,Calculations2!BP36)</f>
        <v>0</v>
      </c>
      <c r="E19" s="213">
        <f ca="1">IF(dynamic="Yes",Calculations!BQ103,Calculations2!BQ36)</f>
        <v>0</v>
      </c>
      <c r="F19" s="213">
        <f ca="1">IF(dynamic="Yes",Calculations!BR103,Calculations2!BR36)</f>
        <v>0</v>
      </c>
      <c r="G19" s="213">
        <f ca="1">IF(dynamic="Yes",Calculations!BS103,Calculations2!BS36)</f>
        <v>0</v>
      </c>
      <c r="H19" s="206"/>
      <c r="I19" s="206"/>
      <c r="J19" s="11">
        <f>comparador5</f>
        <v>0</v>
      </c>
      <c r="K19" s="213">
        <f ca="1">IF(dynamic="Yes",Calculations!BO164,Calculations2!BO57)</f>
        <v>0</v>
      </c>
      <c r="L19" s="213">
        <f ca="1">IF(dynamic="Yes",Calculations!BP164,Calculations2!BP57)</f>
        <v>0</v>
      </c>
      <c r="M19" s="213">
        <f ca="1">IF(dynamic="Yes",Calculations!BQ164,Calculations2!BQ57)</f>
        <v>0</v>
      </c>
      <c r="N19" s="213">
        <f ca="1">IF(dynamic="Yes",Calculations!BR164,Calculations2!BR57)</f>
        <v>0</v>
      </c>
      <c r="O19" s="213">
        <f ca="1">IF(dynamic="Yes",Calculations!BS164,Calculations2!BS57)</f>
        <v>0</v>
      </c>
      <c r="P19" s="9"/>
    </row>
    <row r="20" spans="2:16">
      <c r="B20" s="11">
        <f>comparador6</f>
        <v>0</v>
      </c>
      <c r="C20" s="213">
        <f ca="1">IF(dynamic="Yes",Calculations!BW103,Calculations2!BW36)</f>
        <v>0</v>
      </c>
      <c r="D20" s="213">
        <f ca="1">IF(dynamic="Yes",Calculations!BX103,Calculations2!BX36)</f>
        <v>0</v>
      </c>
      <c r="E20" s="213">
        <f ca="1">IF(dynamic="Yes",Calculations!BY103,Calculations2!BY36)</f>
        <v>0</v>
      </c>
      <c r="F20" s="213">
        <f ca="1">IF(dynamic="Yes",Calculations!BZ103,Calculations2!BZ36)</f>
        <v>0</v>
      </c>
      <c r="G20" s="213">
        <f ca="1">IF(dynamic="Yes",Calculations!CA103,Calculations2!CA36)</f>
        <v>0</v>
      </c>
      <c r="H20" s="206"/>
      <c r="I20" s="206"/>
      <c r="J20" s="11">
        <f>comparador6</f>
        <v>0</v>
      </c>
      <c r="K20" s="213">
        <f ca="1">IF(dynamic="Yes",Calculations!BW164,Calculations2!BW57)</f>
        <v>0</v>
      </c>
      <c r="L20" s="213">
        <f ca="1">IF(dynamic="Yes",Calculations!BX164,Calculations2!BX57)</f>
        <v>0</v>
      </c>
      <c r="M20" s="213">
        <f ca="1">IF(dynamic="Yes",Calculations!BY164,Calculations2!BY57)</f>
        <v>0</v>
      </c>
      <c r="N20" s="213">
        <f ca="1">IF(dynamic="Yes",Calculations!BZ164,Calculations2!BZ57)</f>
        <v>0</v>
      </c>
      <c r="O20" s="213">
        <f ca="1">IF(dynamic="Yes",Calculations!CA164,Calculations2!CA57)</f>
        <v>0</v>
      </c>
      <c r="P20" s="9"/>
    </row>
    <row r="21" spans="2:16">
      <c r="B21" s="11">
        <f>comparador7</f>
        <v>0</v>
      </c>
      <c r="C21" s="213">
        <f ca="1">IF(dynamic="Yes",Calculations!CE103,Calculations2!CE36)</f>
        <v>0</v>
      </c>
      <c r="D21" s="213">
        <f ca="1">IF(dynamic="Yes",Calculations!CF103,Calculations2!CF36)</f>
        <v>0</v>
      </c>
      <c r="E21" s="213">
        <f ca="1">IF(dynamic="Yes",Calculations!CG103,Calculations2!CG36)</f>
        <v>0</v>
      </c>
      <c r="F21" s="213">
        <f ca="1">IF(dynamic="Yes",Calculations!CH103,Calculations2!CH36)</f>
        <v>0</v>
      </c>
      <c r="G21" s="213">
        <f ca="1">IF(dynamic="Yes",Calculations!CI103,Calculations2!CI36)</f>
        <v>0</v>
      </c>
      <c r="H21" s="206"/>
      <c r="I21" s="206"/>
      <c r="J21" s="11">
        <f>comparador7</f>
        <v>0</v>
      </c>
      <c r="K21" s="213">
        <f ca="1">IF(dynamic="Yes",Calculations!CE164,Calculations2!CE57)</f>
        <v>0</v>
      </c>
      <c r="L21" s="213">
        <f ca="1">IF(dynamic="Yes",Calculations!CF164,Calculations2!CF57)</f>
        <v>0</v>
      </c>
      <c r="M21" s="213">
        <f ca="1">IF(dynamic="Yes",Calculations!CG164,Calculations2!CG57)</f>
        <v>0</v>
      </c>
      <c r="N21" s="213">
        <f ca="1">IF(dynamic="Yes",Calculations!CH164,Calculations2!CH57)</f>
        <v>0</v>
      </c>
      <c r="O21" s="213">
        <f ca="1">IF(dynamic="Yes",Calculations!CI164,Calculations2!CI57)</f>
        <v>0</v>
      </c>
      <c r="P21" s="9"/>
    </row>
    <row r="22" spans="2:16">
      <c r="B22" s="11">
        <f>comparador8</f>
        <v>0</v>
      </c>
      <c r="C22" s="213">
        <f ca="1">IF(dynamic="Yes",Calculations!CM103,Calculations2!CM36)</f>
        <v>0</v>
      </c>
      <c r="D22" s="213">
        <f ca="1">IF(dynamic="Yes",Calculations!CN103,Calculations2!CN36)</f>
        <v>0</v>
      </c>
      <c r="E22" s="213">
        <f ca="1">IF(dynamic="Yes",Calculations!CO103,Calculations2!CO36)</f>
        <v>0</v>
      </c>
      <c r="F22" s="213">
        <f ca="1">IF(dynamic="Yes",Calculations!CP103,Calculations2!CP36)</f>
        <v>0</v>
      </c>
      <c r="G22" s="213">
        <f ca="1">IF(dynamic="Yes",Calculations!CQ103,Calculations2!CQ36)</f>
        <v>0</v>
      </c>
      <c r="H22" s="206"/>
      <c r="I22" s="206"/>
      <c r="J22" s="11">
        <f>comparador8</f>
        <v>0</v>
      </c>
      <c r="K22" s="213">
        <f ca="1">IF(dynamic="Yes",Calculations!CM164,Calculations2!CM57)</f>
        <v>0</v>
      </c>
      <c r="L22" s="213">
        <f ca="1">IF(dynamic="Yes",Calculations!CN164,Calculations2!CN57)</f>
        <v>0</v>
      </c>
      <c r="M22" s="213">
        <f ca="1">IF(dynamic="Yes",Calculations!CO164,Calculations2!CO57)</f>
        <v>0</v>
      </c>
      <c r="N22" s="213">
        <f ca="1">IF(dynamic="Yes",Calculations!CP164,Calculations2!CP57)</f>
        <v>0</v>
      </c>
      <c r="O22" s="213">
        <f ca="1">IF(dynamic="Yes",Calculations!CQ164,Calculations2!CQ57)</f>
        <v>0</v>
      </c>
      <c r="P22" s="9"/>
    </row>
    <row r="23" spans="2:16">
      <c r="B23" s="11">
        <f>comparador9</f>
        <v>0</v>
      </c>
      <c r="C23" s="213">
        <f ca="1">IF(dynamic="Yes",Calculations!CU103,Calculations2!CU36)</f>
        <v>0</v>
      </c>
      <c r="D23" s="213">
        <f ca="1">IF(dynamic="Yes",Calculations!CV103,Calculations2!CV36)</f>
        <v>0</v>
      </c>
      <c r="E23" s="213">
        <f ca="1">IF(dynamic="Yes",Calculations!CW103,Calculations2!CW36)</f>
        <v>0</v>
      </c>
      <c r="F23" s="213">
        <f ca="1">IF(dynamic="Yes",Calculations!CX103,Calculations2!CX36)</f>
        <v>0</v>
      </c>
      <c r="G23" s="213">
        <f ca="1">IF(dynamic="Yes",Calculations!CY103,Calculations2!CY36)</f>
        <v>0</v>
      </c>
      <c r="H23" s="206"/>
      <c r="I23" s="206"/>
      <c r="J23" s="11">
        <f>comparador9</f>
        <v>0</v>
      </c>
      <c r="K23" s="213">
        <f ca="1">IF(dynamic="Yes",Calculations!CU164,Calculations2!CU57)</f>
        <v>0</v>
      </c>
      <c r="L23" s="213">
        <f ca="1">IF(dynamic="Yes",Calculations!CV164,Calculations2!CV57)</f>
        <v>0</v>
      </c>
      <c r="M23" s="213">
        <f ca="1">IF(dynamic="Yes",Calculations!CW164,Calculations2!CW57)</f>
        <v>0</v>
      </c>
      <c r="N23" s="213">
        <f ca="1">IF(dynamic="Yes",Calculations!CX164,Calculations2!CX57)</f>
        <v>0</v>
      </c>
      <c r="O23" s="213">
        <f ca="1">IF(dynamic="Yes",Calculations!CY164,Calculations2!CY57)</f>
        <v>0</v>
      </c>
      <c r="P23" s="9"/>
    </row>
    <row r="24" spans="2:16">
      <c r="B24" s="11">
        <f>comparador10</f>
        <v>0</v>
      </c>
      <c r="C24" s="213">
        <f ca="1">IF(dynamic="Yes",Calculations!DC103,Calculations2!DC57)</f>
        <v>0</v>
      </c>
      <c r="D24" s="213">
        <f ca="1">IF(dynamic="Yes",Calculations!DD103,Calculations2!DD57)</f>
        <v>0</v>
      </c>
      <c r="E24" s="213">
        <f ca="1">IF(dynamic="Yes",Calculations!DE103,Calculations2!DE57)</f>
        <v>0</v>
      </c>
      <c r="F24" s="213">
        <f ca="1">IF(dynamic="Yes",Calculations!DF103,Calculations2!DF57)</f>
        <v>0</v>
      </c>
      <c r="G24" s="213">
        <f ca="1">IF(dynamic="Yes",Calculations!DG103,Calculations2!DG57)</f>
        <v>0</v>
      </c>
      <c r="H24" s="206"/>
      <c r="I24" s="206"/>
      <c r="J24" s="11">
        <f>comparador10</f>
        <v>0</v>
      </c>
      <c r="K24" s="213">
        <f ca="1">IF(dynamic="Yes",Calculations!DC164,Calculations2!DC57)</f>
        <v>0</v>
      </c>
      <c r="L24" s="213">
        <f ca="1">IF(dynamic="Yes",Calculations!DD164,Calculations2!DD57)</f>
        <v>0</v>
      </c>
      <c r="M24" s="213">
        <f ca="1">IF(dynamic="Yes",Calculations!DE164,Calculations2!DE57)</f>
        <v>0</v>
      </c>
      <c r="N24" s="213">
        <f ca="1">IF(dynamic="Yes",Calculations!DF164,Calculations2!DF57)</f>
        <v>0</v>
      </c>
      <c r="O24" s="213">
        <f ca="1">IF(dynamic="Yes",Calculations!DG164,Calculations2!DG57)</f>
        <v>0</v>
      </c>
      <c r="P24" s="9"/>
    </row>
    <row r="25" spans="2:16">
      <c r="B25" s="115" t="s">
        <v>5</v>
      </c>
      <c r="C25" s="213">
        <f ca="1">SUM(C11:C24)</f>
        <v>8174700.2145509999</v>
      </c>
      <c r="D25" s="213">
        <f t="shared" ref="D25:G25" ca="1" si="2">SUM(D11:D24)</f>
        <v>15386109.045819752</v>
      </c>
      <c r="E25" s="213">
        <f t="shared" ca="1" si="2"/>
        <v>22651801.248015001</v>
      </c>
      <c r="F25" s="213">
        <f t="shared" ca="1" si="2"/>
        <v>29972283.956600249</v>
      </c>
      <c r="G25" s="213">
        <f t="shared" ca="1" si="2"/>
        <v>37348728.764348254</v>
      </c>
      <c r="H25" s="206"/>
      <c r="I25" s="206"/>
      <c r="J25" s="216" t="s">
        <v>5</v>
      </c>
      <c r="K25" s="213">
        <f ca="1">SUM(K11:K24)</f>
        <v>6427969.3994760001</v>
      </c>
      <c r="L25" s="213">
        <f t="shared" ref="L25:O25" ca="1" si="3">SUM(L11:L24)</f>
        <v>12906418.751901001</v>
      </c>
      <c r="M25" s="213">
        <f t="shared" ca="1" si="3"/>
        <v>19433897.355390001</v>
      </c>
      <c r="N25" s="213">
        <f t="shared" ca="1" si="3"/>
        <v>26010621.642519001</v>
      </c>
      <c r="O25" s="213">
        <f t="shared" ca="1" si="3"/>
        <v>32637540.069417</v>
      </c>
      <c r="P25" s="9"/>
    </row>
    <row r="27" spans="2:16">
      <c r="B27" s="514" t="str">
        <f>cen_prop1</f>
        <v>Drug 1 only</v>
      </c>
      <c r="C27" s="514"/>
      <c r="D27" s="514"/>
      <c r="E27" s="514"/>
      <c r="F27" s="514"/>
      <c r="G27" s="514"/>
      <c r="H27" s="514"/>
      <c r="I27" s="9"/>
      <c r="J27" s="514" t="str">
        <f>cen_prop1</f>
        <v>Drug 1 only</v>
      </c>
      <c r="K27" s="514"/>
      <c r="L27" s="514"/>
      <c r="M27" s="514"/>
      <c r="N27" s="514"/>
      <c r="O27" s="514"/>
      <c r="P27" s="514"/>
    </row>
    <row r="29" spans="2:16">
      <c r="B29" s="93" t="s">
        <v>81</v>
      </c>
      <c r="C29" s="93">
        <f>ano_1</f>
        <v>2026</v>
      </c>
      <c r="D29" s="93">
        <f>C29+1</f>
        <v>2027</v>
      </c>
      <c r="E29" s="93">
        <f t="shared" ref="E29:G29" si="4">D29+1</f>
        <v>2028</v>
      </c>
      <c r="F29" s="93">
        <f t="shared" si="4"/>
        <v>2029</v>
      </c>
      <c r="G29" s="93">
        <f t="shared" si="4"/>
        <v>2030</v>
      </c>
      <c r="H29" s="5"/>
      <c r="I29" s="9"/>
      <c r="J29" s="93" t="s">
        <v>81</v>
      </c>
      <c r="K29" s="93">
        <f>ano_1</f>
        <v>2026</v>
      </c>
      <c r="L29" s="93">
        <f>K29+1</f>
        <v>2027</v>
      </c>
      <c r="M29" s="93">
        <f t="shared" ref="M29:O29" si="5">L29+1</f>
        <v>2028</v>
      </c>
      <c r="N29" s="93">
        <f t="shared" si="5"/>
        <v>2029</v>
      </c>
      <c r="O29" s="93">
        <f t="shared" si="5"/>
        <v>2030</v>
      </c>
      <c r="P29" s="5"/>
    </row>
    <row r="30" spans="2:16">
      <c r="B30" s="11" t="str">
        <f>intervencao1</f>
        <v>Drug 1</v>
      </c>
      <c r="C30" s="213">
        <f ca="1">IF(dynamic="Yes",Calculations!C117,Calculations2!C40)</f>
        <v>1566920.2899937504</v>
      </c>
      <c r="D30" s="213">
        <f ca="1">IF(dynamic="Yes",Calculations!D117,Calculations2!D40)</f>
        <v>4598317.343830714</v>
      </c>
      <c r="E30" s="213">
        <f ca="1">IF(dynamic="Yes",Calculations!E117,Calculations2!E40)</f>
        <v>7708420.7233633325</v>
      </c>
      <c r="F30" s="213">
        <f ca="1">IF(dynamic="Yes",Calculations!F117,Calculations2!F40)</f>
        <v>10895611.317017768</v>
      </c>
      <c r="G30" s="213">
        <f ca="1">IF(dynamic="Yes",Calculations!G117,Calculations2!G40)</f>
        <v>14160200.540599179</v>
      </c>
      <c r="H30" s="206"/>
      <c r="I30" s="206"/>
      <c r="J30" s="214" t="str">
        <f>intervencao1</f>
        <v>Drug 1</v>
      </c>
      <c r="K30" s="213">
        <f ca="1">IF(dynamic="Yes",Calculations!C178,Calculations2!C61)</f>
        <v>1479583.7492400003</v>
      </c>
      <c r="L30" s="213">
        <f ca="1">IF(dynamic="Yes",Calculations!D178,Calculations2!D61)</f>
        <v>4388010.9132780004</v>
      </c>
      <c r="M30" s="213">
        <f ca="1">IF(dynamic="Yes",Calculations!E178,Calculations2!E61)</f>
        <v>7340752.0772550004</v>
      </c>
      <c r="N30" s="213">
        <f ca="1">IF(dynamic="Yes",Calculations!F178,Calculations2!F61)</f>
        <v>10337388.7600035</v>
      </c>
      <c r="O30" s="213">
        <f ca="1">IF(dynamic="Yes",Calculations!G178,Calculations2!G61)</f>
        <v>13379419.432998002</v>
      </c>
      <c r="P30" s="9"/>
    </row>
    <row r="31" spans="2:16">
      <c r="B31" s="11" t="str">
        <f>intervencao2</f>
        <v>Drug 2</v>
      </c>
      <c r="C31" s="213">
        <f ca="1">IF(dynamic="Yes",Calculations!K117,Calculations2!K40)</f>
        <v>0</v>
      </c>
      <c r="D31" s="213">
        <f ca="1">IF(dynamic="Yes",Calculations!L117,Calculations2!L40)</f>
        <v>0</v>
      </c>
      <c r="E31" s="213">
        <f ca="1">IF(dynamic="Yes",Calculations!M117,Calculations2!M40)</f>
        <v>0</v>
      </c>
      <c r="F31" s="213">
        <f ca="1">IF(dynamic="Yes",Calculations!N117,Calculations2!N40)</f>
        <v>0</v>
      </c>
      <c r="G31" s="213">
        <f ca="1">IF(dynamic="Yes",Calculations!O117,Calculations2!O40)</f>
        <v>0</v>
      </c>
      <c r="H31" s="215"/>
      <c r="I31" s="206"/>
      <c r="J31" s="11" t="str">
        <f>intervencao2</f>
        <v>Drug 2</v>
      </c>
      <c r="K31" s="213">
        <f ca="1">IF(dynamic="Yes",Calculations!K178,Calculations2!K61)</f>
        <v>0</v>
      </c>
      <c r="L31" s="213">
        <f ca="1">IF(dynamic="Yes",Calculations!L178,Calculations2!L61)</f>
        <v>0</v>
      </c>
      <c r="M31" s="213">
        <f ca="1">IF(dynamic="Yes",Calculations!M178,Calculations2!M61)</f>
        <v>0</v>
      </c>
      <c r="N31" s="213">
        <f ca="1">IF(dynamic="Yes",Calculations!N178,Calculations2!N61)</f>
        <v>0</v>
      </c>
      <c r="O31" s="213">
        <f ca="1">IF(dynamic="Yes",Calculations!O178,Calculations2!O61)</f>
        <v>0</v>
      </c>
      <c r="P31" s="4"/>
    </row>
    <row r="32" spans="2:16">
      <c r="B32" s="11">
        <f>intervencao3</f>
        <v>0</v>
      </c>
      <c r="C32" s="213">
        <f ca="1">IF(dynamic="Yes",Calculations!S117,Calculations2!S40)</f>
        <v>0</v>
      </c>
      <c r="D32" s="213">
        <f ca="1">IF(dynamic="Yes",Calculations!T117,Calculations2!T40)</f>
        <v>0</v>
      </c>
      <c r="E32" s="213">
        <f ca="1">IF(dynamic="Yes",Calculations!U117,Calculations2!U40)</f>
        <v>0</v>
      </c>
      <c r="F32" s="213">
        <f ca="1">IF(dynamic="Yes",Calculations!V117,Calculations2!V40)</f>
        <v>0</v>
      </c>
      <c r="G32" s="213">
        <f ca="1">IF(dynamic="Yes",Calculations!W117,Calculations2!W40)</f>
        <v>0</v>
      </c>
      <c r="H32" s="206"/>
      <c r="I32" s="206"/>
      <c r="J32" s="11">
        <f>intervencao3</f>
        <v>0</v>
      </c>
      <c r="K32" s="213">
        <f ca="1">IF(dynamic="Yes",Calculations!S178,Calculations2!S61)</f>
        <v>0</v>
      </c>
      <c r="L32" s="213">
        <f ca="1">IF(dynamic="Yes",Calculations!T178,Calculations2!T61)</f>
        <v>0</v>
      </c>
      <c r="M32" s="213">
        <f ca="1">IF(dynamic="Yes",Calculations!U178,Calculations2!U61)</f>
        <v>0</v>
      </c>
      <c r="N32" s="213">
        <f ca="1">IF(dynamic="Yes",Calculations!V178,Calculations2!V61)</f>
        <v>0</v>
      </c>
      <c r="O32" s="213">
        <f ca="1">IF(dynamic="Yes",Calculations!W178,Calculations2!W61)</f>
        <v>0</v>
      </c>
      <c r="P32" s="9"/>
    </row>
    <row r="33" spans="2:16">
      <c r="B33" s="11">
        <f>intervencao4</f>
        <v>0</v>
      </c>
      <c r="C33" s="213">
        <f ca="1">IF(dynamic="Yes",Calculations!AA117,Calculations2!AA40)</f>
        <v>0</v>
      </c>
      <c r="D33" s="213">
        <f ca="1">IF(dynamic="Yes",Calculations!AB117,Calculations2!AB40)</f>
        <v>0</v>
      </c>
      <c r="E33" s="213">
        <f ca="1">IF(dynamic="Yes",Calculations!AC117,Calculations2!AC40)</f>
        <v>0</v>
      </c>
      <c r="F33" s="213">
        <f ca="1">IF(dynamic="Yes",Calculations!AD117,Calculations2!AD40)</f>
        <v>0</v>
      </c>
      <c r="G33" s="213">
        <f ca="1">IF(dynamic="Yes",Calculations!AE117,Calculations2!AE40)</f>
        <v>0</v>
      </c>
      <c r="H33" s="206"/>
      <c r="I33" s="206"/>
      <c r="J33" s="11">
        <f>intervencao4</f>
        <v>0</v>
      </c>
      <c r="K33" s="213">
        <f ca="1">IF(dynamic="Yes",Calculations!AA178,Calculations2!AA61)</f>
        <v>0</v>
      </c>
      <c r="L33" s="213">
        <f ca="1">IF(dynamic="Yes",Calculations!AB178,Calculations2!AB61)</f>
        <v>0</v>
      </c>
      <c r="M33" s="213">
        <f ca="1">IF(dynamic="Yes",Calculations!AC178,Calculations2!AC61)</f>
        <v>0</v>
      </c>
      <c r="N33" s="213">
        <f ca="1">IF(dynamic="Yes",Calculations!AD178,Calculations2!AD61)</f>
        <v>0</v>
      </c>
      <c r="O33" s="213">
        <f ca="1">IF(dynamic="Yes",Calculations!AE178,Calculations2!AE61)</f>
        <v>0</v>
      </c>
      <c r="P33" s="9"/>
    </row>
    <row r="34" spans="2:16">
      <c r="B34" s="11" t="str">
        <f>comparador1</f>
        <v>BSC</v>
      </c>
      <c r="C34" s="213">
        <f ca="1">IF(dynamic="Yes",Calculations!AI117,Calculations2!AI40)</f>
        <v>7765965.20382345</v>
      </c>
      <c r="D34" s="213">
        <f ca="1">IF(dynamic="Yes",Calculations!AJ117,Calculations2!AJ40)</f>
        <v>14204858.716227826</v>
      </c>
      <c r="E34" s="213">
        <f ca="1">IF(dynamic="Yes",Calculations!AK117,Calculations2!AK40)</f>
        <v>20328919.200046912</v>
      </c>
      <c r="F34" s="213">
        <f ca="1">IF(dynamic="Yes",Calculations!AL117,Calculations2!AL40)</f>
        <v>26133135.621043243</v>
      </c>
      <c r="G34" s="213">
        <f ca="1">IF(dynamic="Yes",Calculations!AM117,Calculations2!AM40)</f>
        <v>31612905.893357366</v>
      </c>
      <c r="H34" s="206"/>
      <c r="I34" s="206"/>
      <c r="J34" s="11" t="str">
        <f>comparador1</f>
        <v>BSC</v>
      </c>
      <c r="K34" s="213">
        <f ca="1">IF(dynamic="Yes",Calculations!AI178,Calculations2!AI61)</f>
        <v>6106570.9295022003</v>
      </c>
      <c r="L34" s="213">
        <f ca="1">IF(dynamic="Yes",Calculations!AJ178,Calculations2!AJ61)</f>
        <v>11937175.346684702</v>
      </c>
      <c r="M34" s="213">
        <f ca="1">IF(dynamic="Yes",Calculations!AK178,Calculations2!AK61)</f>
        <v>17485532.159650352</v>
      </c>
      <c r="N34" s="213">
        <f ca="1">IF(dynamic="Yes",Calculations!AL178,Calculations2!AL61)</f>
        <v>22746911.589353554</v>
      </c>
      <c r="O34" s="213">
        <f ca="1">IF(dynamic="Yes",Calculations!AM178,Calculations2!AM61)</f>
        <v>27717100.409527056</v>
      </c>
      <c r="P34" s="9"/>
    </row>
    <row r="35" spans="2:16">
      <c r="B35" s="11">
        <f>comparador2</f>
        <v>0</v>
      </c>
      <c r="C35" s="213">
        <f ca="1">IF(dynamic="Yes",Calculations!AQ117,Calculations2!AQ40)</f>
        <v>0</v>
      </c>
      <c r="D35" s="213">
        <f ca="1">IF(dynamic="Yes",Calculations!AR117,Calculations2!AR40)</f>
        <v>0</v>
      </c>
      <c r="E35" s="213">
        <f ca="1">IF(dynamic="Yes",Calculations!AS117,Calculations2!AS40)</f>
        <v>0</v>
      </c>
      <c r="F35" s="213">
        <f ca="1">IF(dynamic="Yes",Calculations!AT117,Calculations2!AT40)</f>
        <v>0</v>
      </c>
      <c r="G35" s="213">
        <f ca="1">IF(dynamic="Yes",Calculations!AU117,Calculations2!AU40)</f>
        <v>0</v>
      </c>
      <c r="H35" s="206"/>
      <c r="I35" s="206"/>
      <c r="J35" s="11">
        <f>comparador2</f>
        <v>0</v>
      </c>
      <c r="K35" s="213">
        <f ca="1">IF(dynamic="Yes",Calculations!AQ178,Calculations2!AQ61)</f>
        <v>0</v>
      </c>
      <c r="L35" s="213">
        <f ca="1">IF(dynamic="Yes",Calculations!AR178,Calculations2!AR61)</f>
        <v>0</v>
      </c>
      <c r="M35" s="213">
        <f ca="1">IF(dynamic="Yes",Calculations!AS178,Calculations2!AS61)</f>
        <v>0</v>
      </c>
      <c r="N35" s="213">
        <f ca="1">IF(dynamic="Yes",Calculations!AT178,Calculations2!AT61)</f>
        <v>0</v>
      </c>
      <c r="O35" s="213">
        <f ca="1">IF(dynamic="Yes",Calculations!AU178,Calculations2!AU61)</f>
        <v>0</v>
      </c>
      <c r="P35" s="9"/>
    </row>
    <row r="36" spans="2:16">
      <c r="B36" s="11">
        <f>comparador3</f>
        <v>0</v>
      </c>
      <c r="C36" s="213">
        <f ca="1">IF(dynamic="Yes",Calculations!AY117,Calculations2!AY40)</f>
        <v>0</v>
      </c>
      <c r="D36" s="213">
        <f ca="1">IF(dynamic="Yes",Calculations!AZ117,Calculations2!AZ40)</f>
        <v>0</v>
      </c>
      <c r="E36" s="213">
        <f ca="1">IF(dynamic="Yes",Calculations!BA117,Calculations2!BA40)</f>
        <v>0</v>
      </c>
      <c r="F36" s="213">
        <f ca="1">IF(dynamic="Yes",Calculations!BB117,Calculations2!BB40)</f>
        <v>0</v>
      </c>
      <c r="G36" s="213">
        <f ca="1">IF(dynamic="Yes",Calculations!BC117,Calculations2!BC40)</f>
        <v>0</v>
      </c>
      <c r="H36" s="206"/>
      <c r="I36" s="206"/>
      <c r="J36" s="11">
        <f>comparador3</f>
        <v>0</v>
      </c>
      <c r="K36" s="213">
        <f ca="1">IF(dynamic="Yes",Calculations!AY178,Calculations2!AY61)</f>
        <v>0</v>
      </c>
      <c r="L36" s="213">
        <f ca="1">IF(dynamic="Yes",Calculations!AZ178,Calculations2!AZ61)</f>
        <v>0</v>
      </c>
      <c r="M36" s="213">
        <f ca="1">IF(dynamic="Yes",Calculations!BA178,Calculations2!BA61)</f>
        <v>0</v>
      </c>
      <c r="N36" s="213">
        <f ca="1">IF(dynamic="Yes",Calculations!BB178,Calculations2!BB61)</f>
        <v>0</v>
      </c>
      <c r="O36" s="213">
        <f ca="1">IF(dynamic="Yes",Calculations!BC178,Calculations2!BC61)</f>
        <v>0</v>
      </c>
      <c r="P36" s="9"/>
    </row>
    <row r="37" spans="2:16">
      <c r="B37" s="11">
        <f>comparador4</f>
        <v>0</v>
      </c>
      <c r="C37" s="213">
        <f ca="1">IF(dynamic="Yes",Calculations!BG117,Calculations2!BG40)</f>
        <v>0</v>
      </c>
      <c r="D37" s="213">
        <f ca="1">IF(dynamic="Yes",Calculations!BH117,Calculations2!BH40)</f>
        <v>0</v>
      </c>
      <c r="E37" s="213">
        <f ca="1">IF(dynamic="Yes",Calculations!BI117,Calculations2!BI40)</f>
        <v>0</v>
      </c>
      <c r="F37" s="213">
        <f ca="1">IF(dynamic="Yes",Calculations!BJ117,Calculations2!BJ40)</f>
        <v>0</v>
      </c>
      <c r="G37" s="213">
        <f ca="1">IF(dynamic="Yes",Calculations!BK117,Calculations2!BK40)</f>
        <v>0</v>
      </c>
      <c r="H37" s="206"/>
      <c r="I37" s="206"/>
      <c r="J37" s="11">
        <f>comparador4</f>
        <v>0</v>
      </c>
      <c r="K37" s="213">
        <f ca="1">IF(dynamic="Yes",Calculations!BG178,Calculations2!BG61)</f>
        <v>0</v>
      </c>
      <c r="L37" s="213">
        <f ca="1">IF(dynamic="Yes",Calculations!BH178,Calculations2!BH61)</f>
        <v>0</v>
      </c>
      <c r="M37" s="213">
        <f ca="1">IF(dynamic="Yes",Calculations!BI178,Calculations2!BI61)</f>
        <v>0</v>
      </c>
      <c r="N37" s="213">
        <f ca="1">IF(dynamic="Yes",Calculations!BJ178,Calculations2!BJ61)</f>
        <v>0</v>
      </c>
      <c r="O37" s="213">
        <f ca="1">IF(dynamic="Yes",Calculations!BK178,Calculations2!BK61)</f>
        <v>0</v>
      </c>
      <c r="P37" s="9"/>
    </row>
    <row r="38" spans="2:16">
      <c r="B38" s="11">
        <f>comparador5</f>
        <v>0</v>
      </c>
      <c r="C38" s="213">
        <f ca="1">IF(dynamic="Yes",Calculations!BO117,Calculations2!BO40)</f>
        <v>0</v>
      </c>
      <c r="D38" s="213">
        <f ca="1">IF(dynamic="Yes",Calculations!BP117,Calculations2!BP40)</f>
        <v>0</v>
      </c>
      <c r="E38" s="213">
        <f ca="1">IF(dynamic="Yes",Calculations!BQ117,Calculations2!BQ40)</f>
        <v>0</v>
      </c>
      <c r="F38" s="213">
        <f ca="1">IF(dynamic="Yes",Calculations!BR117,Calculations2!BR40)</f>
        <v>0</v>
      </c>
      <c r="G38" s="213">
        <f ca="1">IF(dynamic="Yes",Calculations!BS117,Calculations2!BS40)</f>
        <v>0</v>
      </c>
      <c r="H38" s="206"/>
      <c r="I38" s="206"/>
      <c r="J38" s="11">
        <f>comparador5</f>
        <v>0</v>
      </c>
      <c r="K38" s="213">
        <f ca="1">IF(dynamic="Yes",Calculations!BO178,Calculations2!BO61)</f>
        <v>0</v>
      </c>
      <c r="L38" s="213">
        <f ca="1">IF(dynamic="Yes",Calculations!BP178,Calculations2!BP61)</f>
        <v>0</v>
      </c>
      <c r="M38" s="213">
        <f ca="1">IF(dynamic="Yes",Calculations!BQ178,Calculations2!BQ61)</f>
        <v>0</v>
      </c>
      <c r="N38" s="213">
        <f ca="1">IF(dynamic="Yes",Calculations!BR178,Calculations2!BR61)</f>
        <v>0</v>
      </c>
      <c r="O38" s="213">
        <f ca="1">IF(dynamic="Yes",Calculations!BS178,Calculations2!BS61)</f>
        <v>0</v>
      </c>
      <c r="P38" s="9"/>
    </row>
    <row r="39" spans="2:16">
      <c r="B39" s="11">
        <f>comparador6</f>
        <v>0</v>
      </c>
      <c r="C39" s="213">
        <f ca="1">IF(dynamic="Yes",Calculations!BW117,Calculations2!BW40)</f>
        <v>0</v>
      </c>
      <c r="D39" s="213">
        <f ca="1">IF(dynamic="Yes",Calculations!BX117,Calculations2!BX40)</f>
        <v>0</v>
      </c>
      <c r="E39" s="213">
        <f ca="1">IF(dynamic="Yes",Calculations!BY117,Calculations2!BY40)</f>
        <v>0</v>
      </c>
      <c r="F39" s="213">
        <f ca="1">IF(dynamic="Yes",Calculations!BZ117,Calculations2!BZ40)</f>
        <v>0</v>
      </c>
      <c r="G39" s="213">
        <f ca="1">IF(dynamic="Yes",Calculations!CA117,Calculations2!CA40)</f>
        <v>0</v>
      </c>
      <c r="H39" s="206"/>
      <c r="I39" s="206"/>
      <c r="J39" s="11">
        <f>comparador6</f>
        <v>0</v>
      </c>
      <c r="K39" s="213">
        <f ca="1">IF(dynamic="Yes",Calculations!BW178,Calculations2!BW61)</f>
        <v>0</v>
      </c>
      <c r="L39" s="213">
        <f ca="1">IF(dynamic="Yes",Calculations!BX178,Calculations2!BX61)</f>
        <v>0</v>
      </c>
      <c r="M39" s="213">
        <f ca="1">IF(dynamic="Yes",Calculations!BY178,Calculations2!BY61)</f>
        <v>0</v>
      </c>
      <c r="N39" s="213">
        <f ca="1">IF(dynamic="Yes",Calculations!BZ178,Calculations2!BZ61)</f>
        <v>0</v>
      </c>
      <c r="O39" s="213">
        <f ca="1">IF(dynamic="Yes",Calculations!CA178,Calculations2!CA61)</f>
        <v>0</v>
      </c>
      <c r="P39" s="9"/>
    </row>
    <row r="40" spans="2:16">
      <c r="B40" s="11">
        <f>comparador7</f>
        <v>0</v>
      </c>
      <c r="C40" s="213">
        <f ca="1">IF(dynamic="Yes",Calculations!CE117,Calculations2!CE40)</f>
        <v>0</v>
      </c>
      <c r="D40" s="213">
        <f ca="1">IF(dynamic="Yes",Calculations!CF117,Calculations2!CF40)</f>
        <v>0</v>
      </c>
      <c r="E40" s="213">
        <f ca="1">IF(dynamic="Yes",Calculations!CG117,Calculations2!CG40)</f>
        <v>0</v>
      </c>
      <c r="F40" s="213">
        <f ca="1">IF(dynamic="Yes",Calculations!CH117,Calculations2!CH40)</f>
        <v>0</v>
      </c>
      <c r="G40" s="213">
        <f ca="1">IF(dynamic="Yes",Calculations!CI117,Calculations2!CI40)</f>
        <v>0</v>
      </c>
      <c r="H40" s="206"/>
      <c r="I40" s="206"/>
      <c r="J40" s="11">
        <f>comparador7</f>
        <v>0</v>
      </c>
      <c r="K40" s="213">
        <f ca="1">IF(dynamic="Yes",Calculations!CE178,Calculations2!CE61)</f>
        <v>0</v>
      </c>
      <c r="L40" s="213">
        <f ca="1">IF(dynamic="Yes",Calculations!CF178,Calculations2!CF61)</f>
        <v>0</v>
      </c>
      <c r="M40" s="213">
        <f ca="1">IF(dynamic="Yes",Calculations!CG178,Calculations2!CG61)</f>
        <v>0</v>
      </c>
      <c r="N40" s="213">
        <f ca="1">IF(dynamic="Yes",Calculations!CH178,Calculations2!CH61)</f>
        <v>0</v>
      </c>
      <c r="O40" s="213">
        <f ca="1">IF(dynamic="Yes",Calculations!CI178,Calculations2!CI61)</f>
        <v>0</v>
      </c>
      <c r="P40" s="9"/>
    </row>
    <row r="41" spans="2:16">
      <c r="B41" s="11">
        <f>comparador8</f>
        <v>0</v>
      </c>
      <c r="C41" s="213">
        <f ca="1">IF(dynamic="Yes",Calculations!CM117,Calculations2!CM40)</f>
        <v>0</v>
      </c>
      <c r="D41" s="213">
        <f ca="1">IF(dynamic="Yes",Calculations!CN117,Calculations2!CN40)</f>
        <v>0</v>
      </c>
      <c r="E41" s="213">
        <f ca="1">IF(dynamic="Yes",Calculations!CO117,Calculations2!CO40)</f>
        <v>0</v>
      </c>
      <c r="F41" s="213">
        <f ca="1">IF(dynamic="Yes",Calculations!CP117,Calculations2!CP40)</f>
        <v>0</v>
      </c>
      <c r="G41" s="213">
        <f ca="1">IF(dynamic="Yes",Calculations!CQ117,Calculations2!CQ40)</f>
        <v>0</v>
      </c>
      <c r="H41" s="206"/>
      <c r="I41" s="206"/>
      <c r="J41" s="11">
        <f>comparador8</f>
        <v>0</v>
      </c>
      <c r="K41" s="213">
        <f ca="1">IF(dynamic="Yes",Calculations!CM178,Calculations2!CM61)</f>
        <v>0</v>
      </c>
      <c r="L41" s="213">
        <f ca="1">IF(dynamic="Yes",Calculations!CN178,Calculations2!CN61)</f>
        <v>0</v>
      </c>
      <c r="M41" s="213">
        <f ca="1">IF(dynamic="Yes",Calculations!CO178,Calculations2!CO61)</f>
        <v>0</v>
      </c>
      <c r="N41" s="213">
        <f ca="1">IF(dynamic="Yes",Calculations!CP178,Calculations2!CP61)</f>
        <v>0</v>
      </c>
      <c r="O41" s="213">
        <f ca="1">IF(dynamic="Yes",Calculations!CQ178,Calculations2!CQ61)</f>
        <v>0</v>
      </c>
      <c r="P41" s="9"/>
    </row>
    <row r="42" spans="2:16">
      <c r="B42" s="11">
        <f>comparador9</f>
        <v>0</v>
      </c>
      <c r="C42" s="213">
        <f ca="1">IF(dynamic="Yes",Calculations!CU117,Calculations2!CU40)</f>
        <v>0</v>
      </c>
      <c r="D42" s="213">
        <f ca="1">IF(dynamic="Yes",Calculations!CV117,Calculations2!CV40)</f>
        <v>0</v>
      </c>
      <c r="E42" s="213">
        <f ca="1">IF(dynamic="Yes",Calculations!CW117,Calculations2!CW40)</f>
        <v>0</v>
      </c>
      <c r="F42" s="213">
        <f ca="1">IF(dynamic="Yes",Calculations!CX117,Calculations2!CX40)</f>
        <v>0</v>
      </c>
      <c r="G42" s="213">
        <f ca="1">IF(dynamic="Yes",Calculations!CY117,Calculations2!CY40)</f>
        <v>0</v>
      </c>
      <c r="H42" s="206"/>
      <c r="I42" s="206"/>
      <c r="J42" s="11">
        <f>comparador9</f>
        <v>0</v>
      </c>
      <c r="K42" s="213">
        <f ca="1">IF(dynamic="Yes",Calculations!CU178,Calculations2!CU61)</f>
        <v>0</v>
      </c>
      <c r="L42" s="213">
        <f ca="1">IF(dynamic="Yes",Calculations!CV178,Calculations2!CV61)</f>
        <v>0</v>
      </c>
      <c r="M42" s="213">
        <f ca="1">IF(dynamic="Yes",Calculations!CW178,Calculations2!CW61)</f>
        <v>0</v>
      </c>
      <c r="N42" s="213">
        <f ca="1">IF(dynamic="Yes",Calculations!CX178,Calculations2!CX61)</f>
        <v>0</v>
      </c>
      <c r="O42" s="213">
        <f ca="1">IF(dynamic="Yes",Calculations!CY178,Calculations2!CY61)</f>
        <v>0</v>
      </c>
      <c r="P42" s="9"/>
    </row>
    <row r="43" spans="2:16">
      <c r="B43" s="11">
        <f>comparador10</f>
        <v>0</v>
      </c>
      <c r="C43" s="213">
        <f ca="1">IF(dynamic="Yes",Calculations!DC117,Calculations2!DC40)</f>
        <v>0</v>
      </c>
      <c r="D43" s="213">
        <f ca="1">IF(dynamic="Yes",Calculations!DD117,Calculations2!DD40)</f>
        <v>0</v>
      </c>
      <c r="E43" s="213">
        <f ca="1">IF(dynamic="Yes",Calculations!DE117,Calculations2!DE40)</f>
        <v>0</v>
      </c>
      <c r="F43" s="213">
        <f ca="1">IF(dynamic="Yes",Calculations!DF117,Calculations2!DF40)</f>
        <v>0</v>
      </c>
      <c r="G43" s="213">
        <f ca="1">IF(dynamic="Yes",Calculations!DG117,Calculations2!DG40)</f>
        <v>0</v>
      </c>
      <c r="H43" s="206"/>
      <c r="I43" s="206"/>
      <c r="J43" s="11">
        <f>comparador10</f>
        <v>0</v>
      </c>
      <c r="K43" s="213">
        <f ca="1">IF(dynamic="Yes",Calculations!DC178,Calculations2!DC61)</f>
        <v>0</v>
      </c>
      <c r="L43" s="213">
        <f ca="1">IF(dynamic="Yes",Calculations!DD178,Calculations2!DD61)</f>
        <v>0</v>
      </c>
      <c r="M43" s="213">
        <f ca="1">IF(dynamic="Yes",Calculations!DE178,Calculations2!DE61)</f>
        <v>0</v>
      </c>
      <c r="N43" s="213">
        <f ca="1">IF(dynamic="Yes",Calculations!DF178,Calculations2!DF61)</f>
        <v>0</v>
      </c>
      <c r="O43" s="213">
        <f ca="1">IF(dynamic="Yes",Calculations!DG178,Calculations2!DG61)</f>
        <v>0</v>
      </c>
      <c r="P43" s="9"/>
    </row>
    <row r="44" spans="2:16">
      <c r="B44" s="115" t="s">
        <v>5</v>
      </c>
      <c r="C44" s="213">
        <f ca="1">SUM(C30:C43)</f>
        <v>9332885.4938172009</v>
      </c>
      <c r="D44" s="213">
        <f t="shared" ref="D44" ca="1" si="6">SUM(D30:D43)</f>
        <v>18803176.060058542</v>
      </c>
      <c r="E44" s="213">
        <f t="shared" ref="E44" ca="1" si="7">SUM(E30:E43)</f>
        <v>28037339.923410244</v>
      </c>
      <c r="F44" s="213">
        <f t="shared" ref="F44" ca="1" si="8">SUM(F30:F43)</f>
        <v>37028746.938061014</v>
      </c>
      <c r="G44" s="213">
        <f ca="1">SUM(G30:G43)</f>
        <v>45773106.433956549</v>
      </c>
      <c r="H44" s="206"/>
      <c r="I44" s="206"/>
      <c r="J44" s="216" t="s">
        <v>5</v>
      </c>
      <c r="K44" s="213">
        <f ca="1">SUM(K30:K43)</f>
        <v>7586154.6787422001</v>
      </c>
      <c r="L44" s="213">
        <f t="shared" ref="L44" ca="1" si="9">SUM(L30:L43)</f>
        <v>16325186.259962702</v>
      </c>
      <c r="M44" s="213">
        <f t="shared" ref="M44" ca="1" si="10">SUM(M30:M43)</f>
        <v>24826284.236905351</v>
      </c>
      <c r="N44" s="213">
        <f t="shared" ref="N44" ca="1" si="11">SUM(N30:N43)</f>
        <v>33084300.349357054</v>
      </c>
      <c r="O44" s="213">
        <f t="shared" ref="O44" ca="1" si="12">SUM(O30:O43)</f>
        <v>41096519.842525057</v>
      </c>
      <c r="P44" s="9"/>
    </row>
    <row r="46" spans="2:16">
      <c r="B46" s="514" t="str">
        <f>cen_prop2</f>
        <v>Drug 2 only</v>
      </c>
      <c r="C46" s="514"/>
      <c r="D46" s="514"/>
      <c r="E46" s="514"/>
      <c r="F46" s="514"/>
      <c r="G46" s="514"/>
      <c r="H46" s="514"/>
      <c r="I46" s="9"/>
      <c r="J46" s="514" t="str">
        <f>cen_prop2</f>
        <v>Drug 2 only</v>
      </c>
      <c r="K46" s="514"/>
      <c r="L46" s="514"/>
      <c r="M46" s="514"/>
      <c r="N46" s="514"/>
      <c r="O46" s="514"/>
      <c r="P46" s="514"/>
    </row>
    <row r="48" spans="2:16">
      <c r="B48" s="93" t="s">
        <v>81</v>
      </c>
      <c r="C48" s="93">
        <f>ano_1</f>
        <v>2026</v>
      </c>
      <c r="D48" s="93">
        <f>C48+1</f>
        <v>2027</v>
      </c>
      <c r="E48" s="93">
        <f t="shared" ref="E48:G48" si="13">D48+1</f>
        <v>2028</v>
      </c>
      <c r="F48" s="93">
        <f t="shared" si="13"/>
        <v>2029</v>
      </c>
      <c r="G48" s="93">
        <f t="shared" si="13"/>
        <v>2030</v>
      </c>
      <c r="H48" s="5"/>
      <c r="I48" s="9"/>
      <c r="J48" s="93" t="s">
        <v>81</v>
      </c>
      <c r="K48" s="93">
        <f>ano_1</f>
        <v>2026</v>
      </c>
      <c r="L48" s="93">
        <f>K48+1</f>
        <v>2027</v>
      </c>
      <c r="M48" s="93">
        <f t="shared" ref="M48:O48" si="14">L48+1</f>
        <v>2028</v>
      </c>
      <c r="N48" s="93">
        <f t="shared" si="14"/>
        <v>2029</v>
      </c>
      <c r="O48" s="93">
        <f t="shared" si="14"/>
        <v>2030</v>
      </c>
      <c r="P48" s="5"/>
    </row>
    <row r="49" spans="2:16">
      <c r="B49" s="11" t="str">
        <f>intervencao1</f>
        <v>Drug 1</v>
      </c>
      <c r="C49" s="213">
        <f ca="1">IF(dynamic="Yes",Calculations!C131,Calculations2!C44)</f>
        <v>0</v>
      </c>
      <c r="D49" s="213">
        <f ca="1">IF(dynamic="Yes",Calculations!D131,Calculations2!D44)</f>
        <v>0</v>
      </c>
      <c r="E49" s="213">
        <f ca="1">IF(dynamic="Yes",Calculations!E131,Calculations2!E44)</f>
        <v>0</v>
      </c>
      <c r="F49" s="213">
        <f ca="1">IF(dynamic="Yes",Calculations!F131,Calculations2!F44)</f>
        <v>0</v>
      </c>
      <c r="G49" s="213">
        <f ca="1">IF(dynamic="Yes",Calculations!G131,Calculations2!G44)</f>
        <v>0</v>
      </c>
      <c r="H49" s="206"/>
      <c r="I49" s="206"/>
      <c r="J49" s="11" t="str">
        <f>intervencao1</f>
        <v>Drug 1</v>
      </c>
      <c r="K49" s="213">
        <f ca="1">IF(dynamic="Yes",Calculations!C192,Calculations2!C65)</f>
        <v>0</v>
      </c>
      <c r="L49" s="213">
        <f ca="1">IF(dynamic="Yes",Calculations!D192,Calculations2!D65)</f>
        <v>0</v>
      </c>
      <c r="M49" s="213">
        <f ca="1">IF(dynamic="Yes",Calculations!E192,Calculations2!E65)</f>
        <v>0</v>
      </c>
      <c r="N49" s="213">
        <f ca="1">IF(dynamic="Yes",Calculations!F192,Calculations2!F65)</f>
        <v>0</v>
      </c>
      <c r="O49" s="213">
        <f ca="1">IF(dynamic="Yes",Calculations!G192,Calculations2!G65)</f>
        <v>0</v>
      </c>
      <c r="P49" s="9"/>
    </row>
    <row r="50" spans="2:16">
      <c r="B50" s="11" t="str">
        <f>intervencao2</f>
        <v>Drug 2</v>
      </c>
      <c r="C50" s="213">
        <f ca="1">IF(dynamic="Yes",Calculations!K131,Calculations2!K44)</f>
        <v>453684.21703548008</v>
      </c>
      <c r="D50" s="213">
        <f ca="1">IF(dynamic="Yes",Calculations!L131,Calculations2!L44)</f>
        <v>2250790.5111372545</v>
      </c>
      <c r="E50" s="213">
        <f ca="1">IF(dynamic="Yes",Calculations!M131,Calculations2!M44)</f>
        <v>6260028.797692772</v>
      </c>
      <c r="F50" s="213">
        <f ca="1">IF(dynamic="Yes",Calculations!N131,Calculations2!N44)</f>
        <v>11254893.717330143</v>
      </c>
      <c r="G50" s="213">
        <f ca="1">IF(dynamic="Yes",Calculations!O131,Calculations2!O44)</f>
        <v>16569832.031259172</v>
      </c>
      <c r="H50" s="215"/>
      <c r="I50" s="206"/>
      <c r="J50" s="11" t="str">
        <f>intervencao2</f>
        <v>Drug 2</v>
      </c>
      <c r="K50" s="213">
        <f ca="1">IF(dynamic="Yes",Calculations!K192,Calculations2!K65)</f>
        <v>418749.60073398007</v>
      </c>
      <c r="L50" s="213">
        <f ca="1">IF(dynamic="Yes",Calculations!L192,Calculations2!L65)</f>
        <v>2095841.8926549205</v>
      </c>
      <c r="M50" s="213">
        <f ca="1">IF(dynamic="Yes",Calculations!M192,Calculations2!M65)</f>
        <v>5870022.7060558461</v>
      </c>
      <c r="N50" s="213">
        <f ca="1">IF(dynamic="Yes",Calculations!N192,Calculations2!N65)</f>
        <v>10645820.372327521</v>
      </c>
      <c r="O50" s="213">
        <f ca="1">IF(dynamic="Yes",Calculations!O192,Calculations2!O65)</f>
        <v>15760616.156330783</v>
      </c>
      <c r="P50" s="4"/>
    </row>
    <row r="51" spans="2:16">
      <c r="B51" s="11">
        <f>intervencao3</f>
        <v>0</v>
      </c>
      <c r="C51" s="213">
        <f ca="1">IF(dynamic="Yes",Calculations!S131,Calculations2!S44)</f>
        <v>0</v>
      </c>
      <c r="D51" s="213">
        <f ca="1">IF(dynamic="Yes",Calculations!T131,Calculations2!T44)</f>
        <v>0</v>
      </c>
      <c r="E51" s="213">
        <f ca="1">IF(dynamic="Yes",Calculations!U131,Calculations2!U44)</f>
        <v>0</v>
      </c>
      <c r="F51" s="213">
        <f ca="1">IF(dynamic="Yes",Calculations!V131,Calculations2!V44)</f>
        <v>0</v>
      </c>
      <c r="G51" s="213">
        <f ca="1">IF(dynamic="Yes",Calculations!W131,Calculations2!W44)</f>
        <v>0</v>
      </c>
      <c r="H51" s="206"/>
      <c r="I51" s="206"/>
      <c r="J51" s="11">
        <f>intervencao3</f>
        <v>0</v>
      </c>
      <c r="K51" s="213">
        <f ca="1">IF(dynamic="Yes",Calculations!S192,Calculations2!S65)</f>
        <v>0</v>
      </c>
      <c r="L51" s="213">
        <f ca="1">IF(dynamic="Yes",Calculations!T192,Calculations2!T65)</f>
        <v>0</v>
      </c>
      <c r="M51" s="213">
        <f ca="1">IF(dynamic="Yes",Calculations!U192,Calculations2!U65)</f>
        <v>0</v>
      </c>
      <c r="N51" s="213">
        <f ca="1">IF(dynamic="Yes",Calculations!V192,Calculations2!V65)</f>
        <v>0</v>
      </c>
      <c r="O51" s="213">
        <f ca="1">IF(dynamic="Yes",Calculations!W192,Calculations2!W65)</f>
        <v>0</v>
      </c>
      <c r="P51" s="9"/>
    </row>
    <row r="52" spans="2:16">
      <c r="B52" s="11">
        <f>intervencao4</f>
        <v>0</v>
      </c>
      <c r="C52" s="213">
        <f ca="1">IF(dynamic="Yes",Calculations!AA131,Calculations2!AA44)</f>
        <v>0</v>
      </c>
      <c r="D52" s="213">
        <f ca="1">IF(dynamic="Yes",Calculations!AB131,Calculations2!AB44)</f>
        <v>0</v>
      </c>
      <c r="E52" s="213">
        <f ca="1">IF(dynamic="Yes",Calculations!AC131,Calculations2!AC44)</f>
        <v>0</v>
      </c>
      <c r="F52" s="213">
        <f ca="1">IF(dynamic="Yes",Calculations!AD131,Calculations2!AD44)</f>
        <v>0</v>
      </c>
      <c r="G52" s="213">
        <f ca="1">IF(dynamic="Yes",Calculations!AE131,Calculations2!AE44)</f>
        <v>0</v>
      </c>
      <c r="H52" s="206"/>
      <c r="I52" s="206"/>
      <c r="J52" s="11">
        <f>intervencao4</f>
        <v>0</v>
      </c>
      <c r="K52" s="213">
        <f ca="1">IF(dynamic="Yes",Calculations!AA192,Calculations2!AA65)</f>
        <v>0</v>
      </c>
      <c r="L52" s="213">
        <f ca="1">IF(dynamic="Yes",Calculations!AB192,Calculations2!AB65)</f>
        <v>0</v>
      </c>
      <c r="M52" s="213">
        <f ca="1">IF(dynamic="Yes",Calculations!AC192,Calculations2!AC65)</f>
        <v>0</v>
      </c>
      <c r="N52" s="213">
        <f ca="1">IF(dynamic="Yes",Calculations!AD192,Calculations2!AD65)</f>
        <v>0</v>
      </c>
      <c r="O52" s="213">
        <f ca="1">IF(dynamic="Yes",Calculations!AE192,Calculations2!AE65)</f>
        <v>0</v>
      </c>
      <c r="P52" s="9"/>
    </row>
    <row r="53" spans="2:16">
      <c r="B53" s="11" t="str">
        <f>comparador1</f>
        <v>BSC</v>
      </c>
      <c r="C53" s="213">
        <f ca="1">IF(dynamic="Yes",Calculations!AI131,Calculations2!AI44)</f>
        <v>8011206.2102599796</v>
      </c>
      <c r="D53" s="213">
        <f ca="1">IF(dynamic="Yes",Calculations!AJ131,Calculations2!AJ44)</f>
        <v>14584053.01214223</v>
      </c>
      <c r="E53" s="213">
        <f ca="1">IF(dynamic="Yes",Calculations!AK131,Calculations2!AK44)</f>
        <v>20438364.841848586</v>
      </c>
      <c r="F53" s="213">
        <f ca="1">IF(dynamic="Yes",Calculations!AL131,Calculations2!AL44)</f>
        <v>26022966.781587351</v>
      </c>
      <c r="G53" s="213">
        <f ca="1">IF(dynamic="Yes",Calculations!AM131,Calculations2!AM44)</f>
        <v>31534275.053999603</v>
      </c>
      <c r="H53" s="206"/>
      <c r="I53" s="206"/>
      <c r="J53" s="11" t="str">
        <f>comparador1</f>
        <v>BSC</v>
      </c>
      <c r="K53" s="213">
        <f ca="1">IF(dynamic="Yes",Calculations!AI192,Calculations2!AI65)</f>
        <v>6299410.01148648</v>
      </c>
      <c r="L53" s="213">
        <f ca="1">IF(dynamic="Yes",Calculations!AJ192,Calculations2!AJ65)</f>
        <v>12259583.415717481</v>
      </c>
      <c r="M53" s="213">
        <f ca="1">IF(dynamic="Yes",Calculations!AK192,Calculations2!AK65)</f>
        <v>17612115.87057846</v>
      </c>
      <c r="N53" s="213">
        <f ca="1">IF(dynamic="Yes",Calculations!AL192,Calculations2!AL65)</f>
        <v>22676193.57166779</v>
      </c>
      <c r="O53" s="213">
        <f ca="1">IF(dynamic="Yes",Calculations!AM192,Calculations2!AM65)</f>
        <v>27646382.391841292</v>
      </c>
      <c r="P53" s="9"/>
    </row>
    <row r="54" spans="2:16">
      <c r="B54" s="11">
        <f>comparador2</f>
        <v>0</v>
      </c>
      <c r="C54" s="213">
        <f ca="1">IF(dynamic="Yes",Calculations!AQ131,Calculations2!AQ44)</f>
        <v>0</v>
      </c>
      <c r="D54" s="213">
        <f ca="1">IF(dynamic="Yes",Calculations!AR131,Calculations2!AR44)</f>
        <v>0</v>
      </c>
      <c r="E54" s="213">
        <f ca="1">IF(dynamic="Yes",Calculations!AS131,Calculations2!AS44)</f>
        <v>0</v>
      </c>
      <c r="F54" s="213">
        <f ca="1">IF(dynamic="Yes",Calculations!AT131,Calculations2!AT44)</f>
        <v>0</v>
      </c>
      <c r="G54" s="213">
        <f ca="1">IF(dynamic="Yes",Calculations!AU131,Calculations2!AU44)</f>
        <v>0</v>
      </c>
      <c r="H54" s="206"/>
      <c r="I54" s="206"/>
      <c r="J54" s="11">
        <f>comparador2</f>
        <v>0</v>
      </c>
      <c r="K54" s="213">
        <f ca="1">IF(dynamic="Yes",Calculations!AQ192,Calculations2!AQ65)</f>
        <v>0</v>
      </c>
      <c r="L54" s="213">
        <f ca="1">IF(dynamic="Yes",Calculations!AR192,Calculations2!AR65)</f>
        <v>0</v>
      </c>
      <c r="M54" s="213">
        <f ca="1">IF(dynamic="Yes",Calculations!AS192,Calculations2!AS65)</f>
        <v>0</v>
      </c>
      <c r="N54" s="213">
        <f ca="1">IF(dynamic="Yes",Calculations!AT192,Calculations2!AT65)</f>
        <v>0</v>
      </c>
      <c r="O54" s="213">
        <f ca="1">IF(dynamic="Yes",Calculations!AU192,Calculations2!AU65)</f>
        <v>0</v>
      </c>
      <c r="P54" s="9"/>
    </row>
    <row r="55" spans="2:16">
      <c r="B55" s="11">
        <f>comparador3</f>
        <v>0</v>
      </c>
      <c r="C55" s="213">
        <f ca="1">IF(dynamic="Yes",Calculations!AY131,Calculations2!AY44)</f>
        <v>0</v>
      </c>
      <c r="D55" s="213">
        <f ca="1">IF(dynamic="Yes",Calculations!AZ131,Calculations2!AZ44)</f>
        <v>0</v>
      </c>
      <c r="E55" s="213">
        <f ca="1">IF(dynamic="Yes",Calculations!BA131,Calculations2!BA44)</f>
        <v>0</v>
      </c>
      <c r="F55" s="213">
        <f ca="1">IF(dynamic="Yes",Calculations!BB131,Calculations2!BB44)</f>
        <v>0</v>
      </c>
      <c r="G55" s="213">
        <f ca="1">IF(dynamic="Yes",Calculations!BC131,Calculations2!BC44)</f>
        <v>0</v>
      </c>
      <c r="H55" s="206"/>
      <c r="I55" s="206"/>
      <c r="J55" s="11">
        <f>comparador3</f>
        <v>0</v>
      </c>
      <c r="K55" s="213">
        <f ca="1">IF(dynamic="Yes",Calculations!AY192,Calculations2!AY65)</f>
        <v>0</v>
      </c>
      <c r="L55" s="213">
        <f ca="1">IF(dynamic="Yes",Calculations!AZ192,Calculations2!AZ65)</f>
        <v>0</v>
      </c>
      <c r="M55" s="213">
        <f ca="1">IF(dynamic="Yes",Calculations!BA192,Calculations2!BA65)</f>
        <v>0</v>
      </c>
      <c r="N55" s="213">
        <f ca="1">IF(dynamic="Yes",Calculations!BB192,Calculations2!BB65)</f>
        <v>0</v>
      </c>
      <c r="O55" s="213">
        <f ca="1">IF(dynamic="Yes",Calculations!BC192,Calculations2!BC65)</f>
        <v>0</v>
      </c>
      <c r="P55" s="9"/>
    </row>
    <row r="56" spans="2:16">
      <c r="B56" s="11">
        <f>comparador4</f>
        <v>0</v>
      </c>
      <c r="C56" s="213">
        <f ca="1">IF(dynamic="Yes",Calculations!BG131,Calculations2!BG44)</f>
        <v>0</v>
      </c>
      <c r="D56" s="213">
        <f ca="1">IF(dynamic="Yes",Calculations!BH131,Calculations2!BH44)</f>
        <v>0</v>
      </c>
      <c r="E56" s="213">
        <f ca="1">IF(dynamic="Yes",Calculations!BI131,Calculations2!BI44)</f>
        <v>0</v>
      </c>
      <c r="F56" s="213">
        <f ca="1">IF(dynamic="Yes",Calculations!BJ131,Calculations2!BJ44)</f>
        <v>0</v>
      </c>
      <c r="G56" s="213">
        <f ca="1">IF(dynamic="Yes",Calculations!BK131,Calculations2!BK44)</f>
        <v>0</v>
      </c>
      <c r="H56" s="206"/>
      <c r="I56" s="206"/>
      <c r="J56" s="11">
        <f>comparador4</f>
        <v>0</v>
      </c>
      <c r="K56" s="213">
        <f ca="1">IF(dynamic="Yes",Calculations!BG192,Calculations2!BG65)</f>
        <v>0</v>
      </c>
      <c r="L56" s="213">
        <f ca="1">IF(dynamic="Yes",Calculations!BH192,Calculations2!BH65)</f>
        <v>0</v>
      </c>
      <c r="M56" s="213">
        <f ca="1">IF(dynamic="Yes",Calculations!BI192,Calculations2!BI65)</f>
        <v>0</v>
      </c>
      <c r="N56" s="213">
        <f ca="1">IF(dynamic="Yes",Calculations!BJ192,Calculations2!BJ65)</f>
        <v>0</v>
      </c>
      <c r="O56" s="213">
        <f ca="1">IF(dynamic="Yes",Calculations!BK192,Calculations2!BK65)</f>
        <v>0</v>
      </c>
      <c r="P56" s="9"/>
    </row>
    <row r="57" spans="2:16">
      <c r="B57" s="11">
        <f>comparador5</f>
        <v>0</v>
      </c>
      <c r="C57" s="213">
        <f ca="1">IF(dynamic="Yes",Calculations!BO131,Calculations2!BO44)</f>
        <v>0</v>
      </c>
      <c r="D57" s="213">
        <f ca="1">IF(dynamic="Yes",Calculations!BP131,Calculations2!BP44)</f>
        <v>0</v>
      </c>
      <c r="E57" s="213">
        <f ca="1">IF(dynamic="Yes",Calculations!BQ131,Calculations2!BQ44)</f>
        <v>0</v>
      </c>
      <c r="F57" s="213">
        <f ca="1">IF(dynamic="Yes",Calculations!BR131,Calculations2!BR44)</f>
        <v>0</v>
      </c>
      <c r="G57" s="213">
        <f ca="1">IF(dynamic="Yes",Calculations!BS131,Calculations2!BS44)</f>
        <v>0</v>
      </c>
      <c r="H57" s="206"/>
      <c r="I57" s="206"/>
      <c r="J57" s="11">
        <f>comparador5</f>
        <v>0</v>
      </c>
      <c r="K57" s="213">
        <f ca="1">IF(dynamic="Yes",Calculations!BO192,Calculations2!BO65)</f>
        <v>0</v>
      </c>
      <c r="L57" s="213">
        <f ca="1">IF(dynamic="Yes",Calculations!BP192,Calculations2!BP65)</f>
        <v>0</v>
      </c>
      <c r="M57" s="213">
        <f ca="1">IF(dynamic="Yes",Calculations!BQ192,Calculations2!BQ65)</f>
        <v>0</v>
      </c>
      <c r="N57" s="213">
        <f ca="1">IF(dynamic="Yes",Calculations!BR192,Calculations2!BR65)</f>
        <v>0</v>
      </c>
      <c r="O57" s="213">
        <f ca="1">IF(dynamic="Yes",Calculations!BS192,Calculations2!BS65)</f>
        <v>0</v>
      </c>
      <c r="P57" s="9"/>
    </row>
    <row r="58" spans="2:16">
      <c r="B58" s="11">
        <f>comparador6</f>
        <v>0</v>
      </c>
      <c r="C58" s="213">
        <f ca="1">IF(dynamic="Yes",Calculations!BW131,Calculations2!BW44)</f>
        <v>0</v>
      </c>
      <c r="D58" s="213">
        <f ca="1">IF(dynamic="Yes",Calculations!BX131,Calculations2!BX44)</f>
        <v>0</v>
      </c>
      <c r="E58" s="213">
        <f ca="1">IF(dynamic="Yes",Calculations!BY131,Calculations2!BY44)</f>
        <v>0</v>
      </c>
      <c r="F58" s="213">
        <f ca="1">IF(dynamic="Yes",Calculations!BZ131,Calculations2!BZ44)</f>
        <v>0</v>
      </c>
      <c r="G58" s="213">
        <f ca="1">IF(dynamic="Yes",Calculations!CA131,Calculations2!CA44)</f>
        <v>0</v>
      </c>
      <c r="H58" s="206"/>
      <c r="I58" s="206"/>
      <c r="J58" s="11">
        <f>comparador6</f>
        <v>0</v>
      </c>
      <c r="K58" s="213">
        <f ca="1">IF(dynamic="Yes",Calculations!BW192,Calculations2!BW65)</f>
        <v>0</v>
      </c>
      <c r="L58" s="213">
        <f ca="1">IF(dynamic="Yes",Calculations!BX192,Calculations2!BX65)</f>
        <v>0</v>
      </c>
      <c r="M58" s="213">
        <f ca="1">IF(dynamic="Yes",Calculations!BY192,Calculations2!BY65)</f>
        <v>0</v>
      </c>
      <c r="N58" s="213">
        <f ca="1">IF(dynamic="Yes",Calculations!BZ192,Calculations2!BZ65)</f>
        <v>0</v>
      </c>
      <c r="O58" s="213">
        <f ca="1">IF(dynamic="Yes",Calculations!CA192,Calculations2!CA65)</f>
        <v>0</v>
      </c>
      <c r="P58" s="9"/>
    </row>
    <row r="59" spans="2:16">
      <c r="B59" s="11">
        <f>comparador7</f>
        <v>0</v>
      </c>
      <c r="C59" s="213">
        <f ca="1">IF(dynamic="Yes",Calculations!CE131,Calculations2!CE44)</f>
        <v>0</v>
      </c>
      <c r="D59" s="213">
        <f ca="1">IF(dynamic="Yes",Calculations!CF131,Calculations2!CF44)</f>
        <v>0</v>
      </c>
      <c r="E59" s="213">
        <f ca="1">IF(dynamic="Yes",Calculations!CG131,Calculations2!CG44)</f>
        <v>0</v>
      </c>
      <c r="F59" s="213">
        <f ca="1">IF(dynamic="Yes",Calculations!CH131,Calculations2!CH44)</f>
        <v>0</v>
      </c>
      <c r="G59" s="213">
        <f ca="1">IF(dynamic="Yes",Calculations!CI131,Calculations2!CI44)</f>
        <v>0</v>
      </c>
      <c r="H59" s="206"/>
      <c r="I59" s="206"/>
      <c r="J59" s="11">
        <f>comparador7</f>
        <v>0</v>
      </c>
      <c r="K59" s="213">
        <f ca="1">IF(dynamic="Yes",Calculations!CE192,Calculations2!CE65)</f>
        <v>0</v>
      </c>
      <c r="L59" s="213">
        <f ca="1">IF(dynamic="Yes",Calculations!CF192,Calculations2!CF65)</f>
        <v>0</v>
      </c>
      <c r="M59" s="213">
        <f ca="1">IF(dynamic="Yes",Calculations!CG192,Calculations2!CG65)</f>
        <v>0</v>
      </c>
      <c r="N59" s="213">
        <f ca="1">IF(dynamic="Yes",Calculations!CH192,Calculations2!CH65)</f>
        <v>0</v>
      </c>
      <c r="O59" s="213">
        <f ca="1">IF(dynamic="Yes",Calculations!CI192,Calculations2!CI65)</f>
        <v>0</v>
      </c>
      <c r="P59" s="9"/>
    </row>
    <row r="60" spans="2:16">
      <c r="B60" s="11">
        <f>comparador8</f>
        <v>0</v>
      </c>
      <c r="C60" s="213">
        <f ca="1">IF(dynamic="Yes",Calculations!CM131,Calculations2!CM44)</f>
        <v>0</v>
      </c>
      <c r="D60" s="213">
        <f ca="1">IF(dynamic="Yes",Calculations!CN131,Calculations2!CN44)</f>
        <v>0</v>
      </c>
      <c r="E60" s="213">
        <f ca="1">IF(dynamic="Yes",Calculations!CO131,Calculations2!CO44)</f>
        <v>0</v>
      </c>
      <c r="F60" s="213">
        <f ca="1">IF(dynamic="Yes",Calculations!CP131,Calculations2!CP44)</f>
        <v>0</v>
      </c>
      <c r="G60" s="213">
        <f ca="1">IF(dynamic="Yes",Calculations!CQ131,Calculations2!CQ44)</f>
        <v>0</v>
      </c>
      <c r="H60" s="206"/>
      <c r="I60" s="206"/>
      <c r="J60" s="11">
        <f>comparador8</f>
        <v>0</v>
      </c>
      <c r="K60" s="213">
        <f ca="1">IF(dynamic="Yes",Calculations!CM192,Calculations2!CM65)</f>
        <v>0</v>
      </c>
      <c r="L60" s="213">
        <f ca="1">IF(dynamic="Yes",Calculations!CN192,Calculations2!CN65)</f>
        <v>0</v>
      </c>
      <c r="M60" s="213">
        <f ca="1">IF(dynamic="Yes",Calculations!CO192,Calculations2!CO65)</f>
        <v>0</v>
      </c>
      <c r="N60" s="213">
        <f ca="1">IF(dynamic="Yes",Calculations!CP192,Calculations2!CP65)</f>
        <v>0</v>
      </c>
      <c r="O60" s="213">
        <f ca="1">IF(dynamic="Yes",Calculations!CQ192,Calculations2!CQ65)</f>
        <v>0</v>
      </c>
      <c r="P60" s="9"/>
    </row>
    <row r="61" spans="2:16">
      <c r="B61" s="11">
        <f>comparador9</f>
        <v>0</v>
      </c>
      <c r="C61" s="213">
        <f ca="1">IF(dynamic="Yes",Calculations!CU131,Calculations2!CU44)</f>
        <v>0</v>
      </c>
      <c r="D61" s="213">
        <f ca="1">IF(dynamic="Yes",Calculations!CV131,Calculations2!CV44)</f>
        <v>0</v>
      </c>
      <c r="E61" s="213">
        <f ca="1">IF(dynamic="Yes",Calculations!CW131,Calculations2!CW44)</f>
        <v>0</v>
      </c>
      <c r="F61" s="213">
        <f ca="1">IF(dynamic="Yes",Calculations!CX131,Calculations2!CX44)</f>
        <v>0</v>
      </c>
      <c r="G61" s="213">
        <f ca="1">IF(dynamic="Yes",Calculations!CY131,Calculations2!CY44)</f>
        <v>0</v>
      </c>
      <c r="H61" s="206"/>
      <c r="I61" s="206"/>
      <c r="J61" s="11">
        <f>comparador9</f>
        <v>0</v>
      </c>
      <c r="K61" s="213">
        <f ca="1">IF(dynamic="Yes",Calculations!CU192,Calculations2!CU65)</f>
        <v>0</v>
      </c>
      <c r="L61" s="213">
        <f ca="1">IF(dynamic="Yes",Calculations!CV192,Calculations2!CV65)</f>
        <v>0</v>
      </c>
      <c r="M61" s="213">
        <f ca="1">IF(dynamic="Yes",Calculations!CW192,Calculations2!CW65)</f>
        <v>0</v>
      </c>
      <c r="N61" s="213">
        <f ca="1">IF(dynamic="Yes",Calculations!CX192,Calculations2!CX65)</f>
        <v>0</v>
      </c>
      <c r="O61" s="213">
        <f ca="1">IF(dynamic="Yes",Calculations!CY192,Calculations2!CY65)</f>
        <v>0</v>
      </c>
      <c r="P61" s="9"/>
    </row>
    <row r="62" spans="2:16">
      <c r="B62" s="11">
        <f>comparador10</f>
        <v>0</v>
      </c>
      <c r="C62" s="213">
        <f ca="1">IF(dynamic="Yes",Calculations!DC131,Calculations2!DC44)</f>
        <v>0</v>
      </c>
      <c r="D62" s="213">
        <f ca="1">IF(dynamic="Yes",Calculations!DD131,Calculations2!DD44)</f>
        <v>0</v>
      </c>
      <c r="E62" s="213">
        <f ca="1">IF(dynamic="Yes",Calculations!DE131,Calculations2!DE44)</f>
        <v>0</v>
      </c>
      <c r="F62" s="213">
        <f ca="1">IF(dynamic="Yes",Calculations!DF131,Calculations2!DF44)</f>
        <v>0</v>
      </c>
      <c r="G62" s="213">
        <f ca="1">IF(dynamic="Yes",Calculations!DG131,Calculations2!DG44)</f>
        <v>0</v>
      </c>
      <c r="H62" s="206"/>
      <c r="I62" s="206"/>
      <c r="J62" s="11">
        <f>comparador10</f>
        <v>0</v>
      </c>
      <c r="K62" s="213">
        <f ca="1">IF(dynamic="Yes",Calculations!DC192,Calculations2!DC65)</f>
        <v>0</v>
      </c>
      <c r="L62" s="213">
        <f ca="1">IF(dynamic="Yes",Calculations!DD192,Calculations2!DD65)</f>
        <v>0</v>
      </c>
      <c r="M62" s="213">
        <f ca="1">IF(dynamic="Yes",Calculations!DE192,Calculations2!DE65)</f>
        <v>0</v>
      </c>
      <c r="N62" s="213">
        <f ca="1">IF(dynamic="Yes",Calculations!DF192,Calculations2!DF65)</f>
        <v>0</v>
      </c>
      <c r="O62" s="213">
        <f ca="1">IF(dynamic="Yes",Calculations!DG192,Calculations2!DG65)</f>
        <v>0</v>
      </c>
      <c r="P62" s="9"/>
    </row>
    <row r="63" spans="2:16">
      <c r="B63" s="115" t="s">
        <v>5</v>
      </c>
      <c r="C63" s="213">
        <f ca="1">SUM(C49:C62)</f>
        <v>8464890.4272954594</v>
      </c>
      <c r="D63" s="213">
        <f t="shared" ref="D63" ca="1" si="15">SUM(D49:D62)</f>
        <v>16834843.523279484</v>
      </c>
      <c r="E63" s="213">
        <f t="shared" ref="E63" ca="1" si="16">SUM(E49:E62)</f>
        <v>26698393.639541358</v>
      </c>
      <c r="F63" s="213">
        <f t="shared" ref="F63" ca="1" si="17">SUM(F49:F62)</f>
        <v>37277860.49891749</v>
      </c>
      <c r="G63" s="213">
        <f ca="1">SUM(G49:G62)</f>
        <v>48104107.085258774</v>
      </c>
      <c r="H63" s="206"/>
      <c r="I63" s="206"/>
      <c r="J63" s="216" t="s">
        <v>5</v>
      </c>
      <c r="K63" s="213">
        <f ca="1">SUM(K49:K62)</f>
        <v>6718159.6122204605</v>
      </c>
      <c r="L63" s="213">
        <f t="shared" ref="L63" ca="1" si="18">SUM(L49:L62)</f>
        <v>14355425.308372401</v>
      </c>
      <c r="M63" s="213">
        <f t="shared" ref="M63" ca="1" si="19">SUM(M49:M62)</f>
        <v>23482138.576634306</v>
      </c>
      <c r="N63" s="213">
        <f t="shared" ref="N63" ca="1" si="20">SUM(N49:N62)</f>
        <v>33322013.943995312</v>
      </c>
      <c r="O63" s="213">
        <f t="shared" ref="O63" ca="1" si="21">SUM(O49:O62)</f>
        <v>43406998.548172072</v>
      </c>
      <c r="P63" s="9"/>
    </row>
    <row r="65" spans="2:16">
      <c r="B65" s="514" t="str">
        <f>cen_prop3</f>
        <v>Both drugs</v>
      </c>
      <c r="C65" s="514"/>
      <c r="D65" s="514"/>
      <c r="E65" s="514"/>
      <c r="F65" s="514"/>
      <c r="G65" s="514"/>
      <c r="H65" s="514"/>
      <c r="I65" s="9"/>
      <c r="J65" s="514" t="str">
        <f>cen_prop3</f>
        <v>Both drugs</v>
      </c>
      <c r="K65" s="514"/>
      <c r="L65" s="514"/>
      <c r="M65" s="514"/>
      <c r="N65" s="514"/>
      <c r="O65" s="514"/>
      <c r="P65" s="514"/>
    </row>
    <row r="67" spans="2:16">
      <c r="B67" s="93" t="s">
        <v>81</v>
      </c>
      <c r="C67" s="93">
        <f>ano_1</f>
        <v>2026</v>
      </c>
      <c r="D67" s="93">
        <f>C67+1</f>
        <v>2027</v>
      </c>
      <c r="E67" s="93">
        <f t="shared" ref="E67:G67" si="22">D67+1</f>
        <v>2028</v>
      </c>
      <c r="F67" s="93">
        <f t="shared" si="22"/>
        <v>2029</v>
      </c>
      <c r="G67" s="93">
        <f t="shared" si="22"/>
        <v>2030</v>
      </c>
      <c r="H67" s="5"/>
      <c r="I67" s="9"/>
      <c r="J67" s="93" t="s">
        <v>81</v>
      </c>
      <c r="K67" s="93">
        <f>ano_1</f>
        <v>2026</v>
      </c>
      <c r="L67" s="93">
        <f>K67+1</f>
        <v>2027</v>
      </c>
      <c r="M67" s="93">
        <f t="shared" ref="M67:O67" si="23">L67+1</f>
        <v>2028</v>
      </c>
      <c r="N67" s="93">
        <f t="shared" si="23"/>
        <v>2029</v>
      </c>
      <c r="O67" s="93">
        <f t="shared" si="23"/>
        <v>2030</v>
      </c>
      <c r="P67" s="5"/>
    </row>
    <row r="68" spans="2:16">
      <c r="B68" s="11" t="str">
        <f>intervencao1</f>
        <v>Drug 1</v>
      </c>
      <c r="C68" s="213">
        <f ca="1">IF(dynamic="Yes",Calculations!C145,Calculations2!C48)</f>
        <v>940152.17399625003</v>
      </c>
      <c r="D68" s="213">
        <f ca="1">IF(dynamic="Yes",Calculations!D145,Calculations2!D48)</f>
        <v>4022370.8746421784</v>
      </c>
      <c r="E68" s="213">
        <f ca="1">IF(dynamic="Yes",Calculations!E145,Calculations2!E48)</f>
        <v>9286581.3344215807</v>
      </c>
      <c r="F68" s="213">
        <f ca="1">IF(dynamic="Yes",Calculations!F145,Calculations2!F48)</f>
        <v>15551802.279313056</v>
      </c>
      <c r="G68" s="213">
        <f ca="1">IF(dynamic="Yes",Calculations!G145,Calculations2!G48)</f>
        <v>18743397.154608697</v>
      </c>
      <c r="H68" s="206"/>
      <c r="I68" s="206"/>
      <c r="J68" s="11" t="str">
        <f>intervencao1</f>
        <v>Drug 1</v>
      </c>
      <c r="K68" s="213">
        <f ca="1">IF(dynamic="Yes",Calculations!C206,Calculations2!C69)</f>
        <v>887750.24954400002</v>
      </c>
      <c r="L68" s="213">
        <f ca="1">IF(dynamic="Yes",Calculations!D206,Calculations2!D69)</f>
        <v>3825769.0885667996</v>
      </c>
      <c r="M68" s="213">
        <f ca="1">IF(dynamic="Yes",Calculations!E206,Calculations2!E69)</f>
        <v>8843240.7583650015</v>
      </c>
      <c r="N68" s="213">
        <f ca="1">IF(dynamic="Yes",Calculations!F206,Calculations2!F69)</f>
        <v>14792401.016478</v>
      </c>
      <c r="O68" s="213">
        <f ca="1">IF(dynamic="Yes",Calculations!G206,Calculations2!G69)</f>
        <v>17781062.684967</v>
      </c>
      <c r="P68" s="9"/>
    </row>
    <row r="69" spans="2:16">
      <c r="B69" s="11" t="str">
        <f>intervencao2</f>
        <v>Drug 2</v>
      </c>
      <c r="C69" s="213">
        <f ca="1">IF(dynamic="Yes",Calculations!K145,Calculations2!K48)</f>
        <v>453684.21703548008</v>
      </c>
      <c r="D69" s="213">
        <f ca="1">IF(dynamic="Yes",Calculations!L145,Calculations2!L48)</f>
        <v>2250790.5111372545</v>
      </c>
      <c r="E69" s="213">
        <f ca="1">IF(dynamic="Yes",Calculations!M145,Calculations2!M48)</f>
        <v>6260028.797692772</v>
      </c>
      <c r="F69" s="213">
        <f ca="1">IF(dynamic="Yes",Calculations!N145,Calculations2!N48)</f>
        <v>11254893.717330143</v>
      </c>
      <c r="G69" s="213">
        <f ca="1">IF(dynamic="Yes",Calculations!O145,Calculations2!O48)</f>
        <v>16569832.031259172</v>
      </c>
      <c r="H69" s="215"/>
      <c r="I69" s="206"/>
      <c r="J69" s="11" t="str">
        <f>intervencao2</f>
        <v>Drug 2</v>
      </c>
      <c r="K69" s="213">
        <f ca="1">IF(dynamic="Yes",Calculations!K206,Calculations2!K69)</f>
        <v>418749.60073398007</v>
      </c>
      <c r="L69" s="213">
        <f ca="1">IF(dynamic="Yes",Calculations!L206,Calculations2!L69)</f>
        <v>2095841.8926549205</v>
      </c>
      <c r="M69" s="213">
        <f ca="1">IF(dynamic="Yes",Calculations!M206,Calculations2!M69)</f>
        <v>5870022.7060558461</v>
      </c>
      <c r="N69" s="213">
        <f ca="1">IF(dynamic="Yes",Calculations!N206,Calculations2!N69)</f>
        <v>10645820.372327521</v>
      </c>
      <c r="O69" s="213">
        <f ca="1">IF(dynamic="Yes",Calculations!O206,Calculations2!O69)</f>
        <v>15760616.156330783</v>
      </c>
      <c r="P69" s="4"/>
    </row>
    <row r="70" spans="2:16">
      <c r="B70" s="11">
        <f>intervencao3</f>
        <v>0</v>
      </c>
      <c r="C70" s="213">
        <f ca="1">IF(dynamic="Yes",Calculations!S145,Calculations2!S48)</f>
        <v>0</v>
      </c>
      <c r="D70" s="213">
        <f ca="1">IF(dynamic="Yes",Calculations!T145,Calculations2!T48)</f>
        <v>0</v>
      </c>
      <c r="E70" s="213">
        <f ca="1">IF(dynamic="Yes",Calculations!U145,Calculations2!U48)</f>
        <v>0</v>
      </c>
      <c r="F70" s="213">
        <f ca="1">IF(dynamic="Yes",Calculations!V145,Calculations2!V48)</f>
        <v>0</v>
      </c>
      <c r="G70" s="213">
        <f ca="1">IF(dynamic="Yes",Calculations!W145,Calculations2!W48)</f>
        <v>0</v>
      </c>
      <c r="H70" s="206"/>
      <c r="I70" s="206"/>
      <c r="J70" s="11">
        <f>intervencao3</f>
        <v>0</v>
      </c>
      <c r="K70" s="213">
        <f ca="1">IF(dynamic="Yes",Calculations!S206,Calculations2!S69)</f>
        <v>0</v>
      </c>
      <c r="L70" s="213">
        <f ca="1">IF(dynamic="Yes",Calculations!T206,Calculations2!T69)</f>
        <v>0</v>
      </c>
      <c r="M70" s="213">
        <f ca="1">IF(dynamic="Yes",Calculations!U206,Calculations2!U69)</f>
        <v>0</v>
      </c>
      <c r="N70" s="213">
        <f ca="1">IF(dynamic="Yes",Calculations!V206,Calculations2!V69)</f>
        <v>0</v>
      </c>
      <c r="O70" s="213">
        <f ca="1">IF(dynamic="Yes",Calculations!W206,Calculations2!W69)</f>
        <v>0</v>
      </c>
      <c r="P70" s="9"/>
    </row>
    <row r="71" spans="2:16">
      <c r="B71" s="11">
        <f>intervencao4</f>
        <v>0</v>
      </c>
      <c r="C71" s="213">
        <f ca="1">IF(dynamic="Yes",Calculations!AA145,Calculations2!AA48)</f>
        <v>0</v>
      </c>
      <c r="D71" s="213">
        <f ca="1">IF(dynamic="Yes",Calculations!AB145,Calculations2!AB48)</f>
        <v>0</v>
      </c>
      <c r="E71" s="213">
        <f ca="1">IF(dynamic="Yes",Calculations!AC145,Calculations2!AC48)</f>
        <v>0</v>
      </c>
      <c r="F71" s="213">
        <f ca="1">IF(dynamic="Yes",Calculations!AD145,Calculations2!AD48)</f>
        <v>0</v>
      </c>
      <c r="G71" s="213">
        <f ca="1">IF(dynamic="Yes",Calculations!AE145,Calculations2!AE48)</f>
        <v>0</v>
      </c>
      <c r="H71" s="206"/>
      <c r="I71" s="206"/>
      <c r="J71" s="11">
        <f>intervencao4</f>
        <v>0</v>
      </c>
      <c r="K71" s="213">
        <f ca="1">IF(dynamic="Yes",Calculations!AA206,Calculations2!AA69)</f>
        <v>0</v>
      </c>
      <c r="L71" s="213">
        <f ca="1">IF(dynamic="Yes",Calculations!AB206,Calculations2!AB69)</f>
        <v>0</v>
      </c>
      <c r="M71" s="213">
        <f ca="1">IF(dynamic="Yes",Calculations!AC206,Calculations2!AC69)</f>
        <v>0</v>
      </c>
      <c r="N71" s="213">
        <f ca="1">IF(dynamic="Yes",Calculations!AD206,Calculations2!AD69)</f>
        <v>0</v>
      </c>
      <c r="O71" s="213">
        <f ca="1">IF(dynamic="Yes",Calculations!AE206,Calculations2!AE69)</f>
        <v>0</v>
      </c>
      <c r="P71" s="9"/>
    </row>
    <row r="72" spans="2:16">
      <c r="B72" s="11" t="str">
        <f>comparador1</f>
        <v>BSC</v>
      </c>
      <c r="C72" s="213">
        <f ca="1">IF(dynamic="Yes",Calculations!AI145,Calculations2!AI48)</f>
        <v>7765965.20382345</v>
      </c>
      <c r="D72" s="213">
        <f ca="1">IF(dynamic="Yes",Calculations!AJ145,Calculations2!AJ48)</f>
        <v>13545746.912546325</v>
      </c>
      <c r="E72" s="213">
        <f ca="1">IF(dynamic="Yes",Calculations!AK145,Calculations2!AK48)</f>
        <v>17843364.525719881</v>
      </c>
      <c r="F72" s="213">
        <f ca="1">IF(dynamic="Yes",Calculations!AL145,Calculations2!AL48)</f>
        <v>21127482.161139328</v>
      </c>
      <c r="G72" s="213">
        <f ca="1">IF(dynamic="Yes",Calculations!AM145,Calculations2!AM48)</f>
        <v>24425856.99122718</v>
      </c>
      <c r="H72" s="206"/>
      <c r="I72" s="206"/>
      <c r="J72" s="11" t="str">
        <f>comparador1</f>
        <v>BSC</v>
      </c>
      <c r="K72" s="213">
        <f ca="1">IF(dynamic="Yes",Calculations!AI206,Calculations2!AI69)</f>
        <v>6106570.9295022003</v>
      </c>
      <c r="L72" s="213">
        <f ca="1">IF(dynamic="Yes",Calculations!AJ206,Calculations2!AJ69)</f>
        <v>11418899.398490701</v>
      </c>
      <c r="M72" s="213">
        <f ca="1">IF(dynamic="Yes",Calculations!AK206,Calculations2!AK69)</f>
        <v>15465936.132653881</v>
      </c>
      <c r="N72" s="213">
        <f ca="1">IF(dynamic="Yes",Calculations!AL206,Calculations2!AL69)</f>
        <v>18556996.547604509</v>
      </c>
      <c r="O72" s="213">
        <f ca="1">IF(dynamic="Yes",Calculations!AM206,Calculations2!AM69)</f>
        <v>21539109.839708611</v>
      </c>
      <c r="P72" s="9"/>
    </row>
    <row r="73" spans="2:16">
      <c r="B73" s="11">
        <f>comparador2</f>
        <v>0</v>
      </c>
      <c r="C73" s="213">
        <f ca="1">IF(dynamic="Yes",Calculations!AQ145,Calculations2!AQ48)</f>
        <v>0</v>
      </c>
      <c r="D73" s="213">
        <f ca="1">IF(dynamic="Yes",Calculations!AR145,Calculations2!AR48)</f>
        <v>0</v>
      </c>
      <c r="E73" s="213">
        <f ca="1">IF(dynamic="Yes",Calculations!AS145,Calculations2!AS48)</f>
        <v>0</v>
      </c>
      <c r="F73" s="213">
        <f ca="1">IF(dynamic="Yes",Calculations!AT145,Calculations2!AT48)</f>
        <v>0</v>
      </c>
      <c r="G73" s="213">
        <f ca="1">IF(dynamic="Yes",Calculations!AU145,Calculations2!AU48)</f>
        <v>0</v>
      </c>
      <c r="H73" s="206"/>
      <c r="I73" s="206"/>
      <c r="J73" s="11">
        <f>comparador2</f>
        <v>0</v>
      </c>
      <c r="K73" s="213">
        <f ca="1">IF(dynamic="Yes",Calculations!AQ206,Calculations2!AQ69)</f>
        <v>0</v>
      </c>
      <c r="L73" s="213">
        <f ca="1">IF(dynamic="Yes",Calculations!AR206,Calculations2!AR69)</f>
        <v>0</v>
      </c>
      <c r="M73" s="213">
        <f ca="1">IF(dynamic="Yes",Calculations!AS206,Calculations2!AS69)</f>
        <v>0</v>
      </c>
      <c r="N73" s="213">
        <f ca="1">IF(dynamic="Yes",Calculations!AT206,Calculations2!AT69)</f>
        <v>0</v>
      </c>
      <c r="O73" s="213">
        <f ca="1">IF(dynamic="Yes",Calculations!AU206,Calculations2!AU69)</f>
        <v>0</v>
      </c>
      <c r="P73" s="9"/>
    </row>
    <row r="74" spans="2:16">
      <c r="B74" s="11">
        <f>comparador3</f>
        <v>0</v>
      </c>
      <c r="C74" s="213">
        <f ca="1">IF(dynamic="Yes",Calculations!AY145,Calculations2!AY48)</f>
        <v>0</v>
      </c>
      <c r="D74" s="213">
        <f ca="1">IF(dynamic="Yes",Calculations!AZ145,Calculations2!AZ48)</f>
        <v>0</v>
      </c>
      <c r="E74" s="213">
        <f ca="1">IF(dynamic="Yes",Calculations!BA145,Calculations2!BA48)</f>
        <v>0</v>
      </c>
      <c r="F74" s="213">
        <f ca="1">IF(dynamic="Yes",Calculations!BB145,Calculations2!BB48)</f>
        <v>0</v>
      </c>
      <c r="G74" s="213">
        <f ca="1">IF(dynamic="Yes",Calculations!BC145,Calculations2!BC48)</f>
        <v>0</v>
      </c>
      <c r="H74" s="206"/>
      <c r="I74" s="206"/>
      <c r="J74" s="11">
        <f>comparador3</f>
        <v>0</v>
      </c>
      <c r="K74" s="213">
        <f ca="1">IF(dynamic="Yes",Calculations!AY206,Calculations2!AY69)</f>
        <v>0</v>
      </c>
      <c r="L74" s="213">
        <f ca="1">IF(dynamic="Yes",Calculations!AZ206,Calculations2!AZ69)</f>
        <v>0</v>
      </c>
      <c r="M74" s="213">
        <f ca="1">IF(dynamic="Yes",Calculations!BA206,Calculations2!BA69)</f>
        <v>0</v>
      </c>
      <c r="N74" s="213">
        <f ca="1">IF(dynamic="Yes",Calculations!BB206,Calculations2!BB69)</f>
        <v>0</v>
      </c>
      <c r="O74" s="213">
        <f ca="1">IF(dynamic="Yes",Calculations!BC206,Calculations2!BC69)</f>
        <v>0</v>
      </c>
      <c r="P74" s="9"/>
    </row>
    <row r="75" spans="2:16">
      <c r="B75" s="11">
        <f>comparador4</f>
        <v>0</v>
      </c>
      <c r="C75" s="213">
        <f ca="1">IF(dynamic="Yes",Calculations!BG145,Calculations2!BG48)</f>
        <v>0</v>
      </c>
      <c r="D75" s="213">
        <f ca="1">IF(dynamic="Yes",Calculations!BH145,Calculations2!BH48)</f>
        <v>0</v>
      </c>
      <c r="E75" s="213">
        <f ca="1">IF(dynamic="Yes",Calculations!BI145,Calculations2!BI48)</f>
        <v>0</v>
      </c>
      <c r="F75" s="213">
        <f ca="1">IF(dynamic="Yes",Calculations!BJ145,Calculations2!BJ48)</f>
        <v>0</v>
      </c>
      <c r="G75" s="213">
        <f ca="1">IF(dynamic="Yes",Calculations!BK145,Calculations2!BK48)</f>
        <v>0</v>
      </c>
      <c r="H75" s="206"/>
      <c r="I75" s="206"/>
      <c r="J75" s="11">
        <f>comparador4</f>
        <v>0</v>
      </c>
      <c r="K75" s="213">
        <f ca="1">IF(dynamic="Yes",Calculations!BG206,Calculations2!BG69)</f>
        <v>0</v>
      </c>
      <c r="L75" s="213">
        <f ca="1">IF(dynamic="Yes",Calculations!BH206,Calculations2!BH69)</f>
        <v>0</v>
      </c>
      <c r="M75" s="213">
        <f ca="1">IF(dynamic="Yes",Calculations!BI206,Calculations2!BI69)</f>
        <v>0</v>
      </c>
      <c r="N75" s="213">
        <f ca="1">IF(dynamic="Yes",Calculations!BJ206,Calculations2!BJ69)</f>
        <v>0</v>
      </c>
      <c r="O75" s="213">
        <f ca="1">IF(dynamic="Yes",Calculations!BK206,Calculations2!BK69)</f>
        <v>0</v>
      </c>
      <c r="P75" s="9"/>
    </row>
    <row r="76" spans="2:16">
      <c r="B76" s="11">
        <f>comparador5</f>
        <v>0</v>
      </c>
      <c r="C76" s="213">
        <f ca="1">IF(dynamic="Yes",Calculations!BO145,Calculations2!BO48)</f>
        <v>0</v>
      </c>
      <c r="D76" s="213">
        <f ca="1">IF(dynamic="Yes",Calculations!BP145,Calculations2!BP48)</f>
        <v>0</v>
      </c>
      <c r="E76" s="213">
        <f ca="1">IF(dynamic="Yes",Calculations!BQ145,Calculations2!BQ48)</f>
        <v>0</v>
      </c>
      <c r="F76" s="213">
        <f ca="1">IF(dynamic="Yes",Calculations!BR145,Calculations2!BR48)</f>
        <v>0</v>
      </c>
      <c r="G76" s="213">
        <f ca="1">IF(dynamic="Yes",Calculations!BS145,Calculations2!BS48)</f>
        <v>0</v>
      </c>
      <c r="H76" s="206"/>
      <c r="I76" s="206"/>
      <c r="J76" s="11">
        <f>comparador5</f>
        <v>0</v>
      </c>
      <c r="K76" s="213">
        <f ca="1">IF(dynamic="Yes",Calculations!BO206,Calculations2!BO69)</f>
        <v>0</v>
      </c>
      <c r="L76" s="213">
        <f ca="1">IF(dynamic="Yes",Calculations!BP206,Calculations2!BP69)</f>
        <v>0</v>
      </c>
      <c r="M76" s="213">
        <f ca="1">IF(dynamic="Yes",Calculations!BQ206,Calculations2!BQ69)</f>
        <v>0</v>
      </c>
      <c r="N76" s="213">
        <f ca="1">IF(dynamic="Yes",Calculations!BR206,Calculations2!BR69)</f>
        <v>0</v>
      </c>
      <c r="O76" s="213">
        <f ca="1">IF(dynamic="Yes",Calculations!BS206,Calculations2!BS69)</f>
        <v>0</v>
      </c>
      <c r="P76" s="9"/>
    </row>
    <row r="77" spans="2:16">
      <c r="B77" s="11">
        <f>comparador6</f>
        <v>0</v>
      </c>
      <c r="C77" s="213">
        <f ca="1">IF(dynamic="Yes",Calculations!BW145,Calculations2!BW48)</f>
        <v>0</v>
      </c>
      <c r="D77" s="213">
        <f ca="1">IF(dynamic="Yes",Calculations!BX145,Calculations2!BX48)</f>
        <v>0</v>
      </c>
      <c r="E77" s="213">
        <f ca="1">IF(dynamic="Yes",Calculations!BY145,Calculations2!BY48)</f>
        <v>0</v>
      </c>
      <c r="F77" s="213">
        <f ca="1">IF(dynamic="Yes",Calculations!BZ145,Calculations2!BZ48)</f>
        <v>0</v>
      </c>
      <c r="G77" s="213">
        <f ca="1">IF(dynamic="Yes",Calculations!CA145,Calculations2!CA48)</f>
        <v>0</v>
      </c>
      <c r="H77" s="206"/>
      <c r="I77" s="206"/>
      <c r="J77" s="11">
        <f>comparador6</f>
        <v>0</v>
      </c>
      <c r="K77" s="213">
        <f ca="1">IF(dynamic="Yes",Calculations!BW206,Calculations2!BW69)</f>
        <v>0</v>
      </c>
      <c r="L77" s="213">
        <f ca="1">IF(dynamic="Yes",Calculations!BX206,Calculations2!BX69)</f>
        <v>0</v>
      </c>
      <c r="M77" s="213">
        <f ca="1">IF(dynamic="Yes",Calculations!BY206,Calculations2!BY69)</f>
        <v>0</v>
      </c>
      <c r="N77" s="213">
        <f ca="1">IF(dynamic="Yes",Calculations!BZ206,Calculations2!BZ69)</f>
        <v>0</v>
      </c>
      <c r="O77" s="213">
        <f ca="1">IF(dynamic="Yes",Calculations!CA206,Calculations2!CA69)</f>
        <v>0</v>
      </c>
      <c r="P77" s="9"/>
    </row>
    <row r="78" spans="2:16">
      <c r="B78" s="11">
        <f>comparador7</f>
        <v>0</v>
      </c>
      <c r="C78" s="213">
        <f ca="1">IF(dynamic="Yes",Calculations!CE145,Calculations2!CE48)</f>
        <v>0</v>
      </c>
      <c r="D78" s="213">
        <f ca="1">IF(dynamic="Yes",Calculations!CF145,Calculations2!CF48)</f>
        <v>0</v>
      </c>
      <c r="E78" s="213">
        <f ca="1">IF(dynamic="Yes",Calculations!CG145,Calculations2!CG48)</f>
        <v>0</v>
      </c>
      <c r="F78" s="213">
        <f ca="1">IF(dynamic="Yes",Calculations!CH145,Calculations2!CH48)</f>
        <v>0</v>
      </c>
      <c r="G78" s="213">
        <f ca="1">IF(dynamic="Yes",Calculations!CI145,Calculations2!CI48)</f>
        <v>0</v>
      </c>
      <c r="H78" s="206"/>
      <c r="I78" s="206"/>
      <c r="J78" s="11">
        <f>comparador7</f>
        <v>0</v>
      </c>
      <c r="K78" s="213">
        <f ca="1">IF(dynamic="Yes",Calculations!CE206,Calculations2!CE69)</f>
        <v>0</v>
      </c>
      <c r="L78" s="213">
        <f ca="1">IF(dynamic="Yes",Calculations!CF206,Calculations2!CF69)</f>
        <v>0</v>
      </c>
      <c r="M78" s="213">
        <f ca="1">IF(dynamic="Yes",Calculations!CG206,Calculations2!CG69)</f>
        <v>0</v>
      </c>
      <c r="N78" s="213">
        <f ca="1">IF(dynamic="Yes",Calculations!CH206,Calculations2!CH69)</f>
        <v>0</v>
      </c>
      <c r="O78" s="213">
        <f ca="1">IF(dynamic="Yes",Calculations!CI206,Calculations2!CI69)</f>
        <v>0</v>
      </c>
      <c r="P78" s="9"/>
    </row>
    <row r="79" spans="2:16">
      <c r="B79" s="11">
        <f>comparador8</f>
        <v>0</v>
      </c>
      <c r="C79" s="213">
        <f ca="1">IF(dynamic="Yes",Calculations!CM145,Calculations2!CM48)</f>
        <v>0</v>
      </c>
      <c r="D79" s="213">
        <f ca="1">IF(dynamic="Yes",Calculations!CN145,Calculations2!CN48)</f>
        <v>0</v>
      </c>
      <c r="E79" s="213">
        <f ca="1">IF(dynamic="Yes",Calculations!CO145,Calculations2!CO48)</f>
        <v>0</v>
      </c>
      <c r="F79" s="213">
        <f ca="1">IF(dynamic="Yes",Calculations!CP145,Calculations2!CP48)</f>
        <v>0</v>
      </c>
      <c r="G79" s="213">
        <f ca="1">IF(dynamic="Yes",Calculations!CQ145,Calculations2!CQ48)</f>
        <v>0</v>
      </c>
      <c r="H79" s="206"/>
      <c r="I79" s="206"/>
      <c r="J79" s="11">
        <f>comparador8</f>
        <v>0</v>
      </c>
      <c r="K79" s="213">
        <f ca="1">IF(dynamic="Yes",Calculations!CM206,Calculations2!CM69)</f>
        <v>0</v>
      </c>
      <c r="L79" s="213">
        <f ca="1">IF(dynamic="Yes",Calculations!CN206,Calculations2!CN69)</f>
        <v>0</v>
      </c>
      <c r="M79" s="213">
        <f ca="1">IF(dynamic="Yes",Calculations!CO206,Calculations2!CO69)</f>
        <v>0</v>
      </c>
      <c r="N79" s="213">
        <f ca="1">IF(dynamic="Yes",Calculations!CP206,Calculations2!CP69)</f>
        <v>0</v>
      </c>
      <c r="O79" s="213">
        <f ca="1">IF(dynamic="Yes",Calculations!CQ206,Calculations2!CQ69)</f>
        <v>0</v>
      </c>
      <c r="P79" s="9"/>
    </row>
    <row r="80" spans="2:16">
      <c r="B80" s="11">
        <f>comparador9</f>
        <v>0</v>
      </c>
      <c r="C80" s="213">
        <f ca="1">IF(dynamic="Yes",Calculations!CU145,Calculations2!CU48)</f>
        <v>0</v>
      </c>
      <c r="D80" s="213">
        <f ca="1">IF(dynamic="Yes",Calculations!CV145,Calculations2!CV48)</f>
        <v>0</v>
      </c>
      <c r="E80" s="213">
        <f ca="1">IF(dynamic="Yes",Calculations!CW145,Calculations2!CW48)</f>
        <v>0</v>
      </c>
      <c r="F80" s="213">
        <f ca="1">IF(dynamic="Yes",Calculations!CX145,Calculations2!CX48)</f>
        <v>0</v>
      </c>
      <c r="G80" s="213">
        <f ca="1">IF(dynamic="Yes",Calculations!CY145,Calculations2!CY48)</f>
        <v>0</v>
      </c>
      <c r="H80" s="206"/>
      <c r="I80" s="206"/>
      <c r="J80" s="11">
        <f>comparador9</f>
        <v>0</v>
      </c>
      <c r="K80" s="213">
        <f ca="1">IF(dynamic="Yes",Calculations!CU206,Calculations2!CU69)</f>
        <v>0</v>
      </c>
      <c r="L80" s="213">
        <f ca="1">IF(dynamic="Yes",Calculations!CV206,Calculations2!CV69)</f>
        <v>0</v>
      </c>
      <c r="M80" s="213">
        <f ca="1">IF(dynamic="Yes",Calculations!CW206,Calculations2!CW69)</f>
        <v>0</v>
      </c>
      <c r="N80" s="213">
        <f ca="1">IF(dynamic="Yes",Calculations!CX206,Calculations2!CX69)</f>
        <v>0</v>
      </c>
      <c r="O80" s="213">
        <f ca="1">IF(dynamic="Yes",Calculations!CY206,Calculations2!CY69)</f>
        <v>0</v>
      </c>
      <c r="P80" s="9"/>
    </row>
    <row r="81" spans="2:16">
      <c r="B81" s="11">
        <f>comparador10</f>
        <v>0</v>
      </c>
      <c r="C81" s="213">
        <f ca="1">IF(dynamic="Yes",Calculations!DC145,Calculations2!DC48)</f>
        <v>0</v>
      </c>
      <c r="D81" s="213">
        <f ca="1">IF(dynamic="Yes",Calculations!DD145,Calculations2!DD48)</f>
        <v>0</v>
      </c>
      <c r="E81" s="213">
        <f ca="1">IF(dynamic="Yes",Calculations!DE145,Calculations2!DE48)</f>
        <v>0</v>
      </c>
      <c r="F81" s="213">
        <f ca="1">IF(dynamic="Yes",Calculations!DF145,Calculations2!DF48)</f>
        <v>0</v>
      </c>
      <c r="G81" s="213">
        <f ca="1">IF(dynamic="Yes",Calculations!DG145,Calculations2!DG48)</f>
        <v>0</v>
      </c>
      <c r="H81" s="206"/>
      <c r="I81" s="206"/>
      <c r="J81" s="11">
        <f>comparador10</f>
        <v>0</v>
      </c>
      <c r="K81" s="213">
        <f ca="1">IF(dynamic="Yes",Calculations!DC206,Calculations2!DC69)</f>
        <v>0</v>
      </c>
      <c r="L81" s="213">
        <f ca="1">IF(dynamic="Yes",Calculations!DD206,Calculations2!DD69)</f>
        <v>0</v>
      </c>
      <c r="M81" s="213">
        <f ca="1">IF(dynamic="Yes",Calculations!DE206,Calculations2!DE69)</f>
        <v>0</v>
      </c>
      <c r="N81" s="213">
        <f ca="1">IF(dynamic="Yes",Calculations!DF206,Calculations2!DF69)</f>
        <v>0</v>
      </c>
      <c r="O81" s="213">
        <f ca="1">IF(dynamic="Yes",Calculations!DG206,Calculations2!DG69)</f>
        <v>0</v>
      </c>
      <c r="P81" s="9"/>
    </row>
    <row r="82" spans="2:16">
      <c r="B82" s="115" t="s">
        <v>5</v>
      </c>
      <c r="C82" s="213">
        <f ca="1">SUM(C68:C81)</f>
        <v>9159801.59485518</v>
      </c>
      <c r="D82" s="213">
        <f t="shared" ref="D82" ca="1" si="24">SUM(D68:D81)</f>
        <v>19818908.298325758</v>
      </c>
      <c r="E82" s="213">
        <f t="shared" ref="E82" ca="1" si="25">SUM(E68:E81)</f>
        <v>33389974.657834232</v>
      </c>
      <c r="F82" s="213">
        <f t="shared" ref="F82" ca="1" si="26">SUM(F68:F81)</f>
        <v>47934178.157782525</v>
      </c>
      <c r="G82" s="213">
        <f ca="1">SUM(G68:G81)</f>
        <v>59739086.177095048</v>
      </c>
      <c r="H82" s="206"/>
      <c r="I82" s="206"/>
      <c r="J82" s="216" t="s">
        <v>5</v>
      </c>
      <c r="K82" s="213">
        <f ca="1">SUM(K68:K81)</f>
        <v>7413070.7797801802</v>
      </c>
      <c r="L82" s="213">
        <f t="shared" ref="L82" ca="1" si="27">SUM(L68:L81)</f>
        <v>17340510.379712421</v>
      </c>
      <c r="M82" s="213">
        <f t="shared" ref="M82" ca="1" si="28">SUM(M68:M81)</f>
        <v>30179199.597074728</v>
      </c>
      <c r="N82" s="213">
        <f t="shared" ref="N82" ca="1" si="29">SUM(N68:N81)</f>
        <v>43995217.936410032</v>
      </c>
      <c r="O82" s="213">
        <f t="shared" ref="O82" ca="1" si="30">SUM(O68:O81)</f>
        <v>55080788.681006394</v>
      </c>
      <c r="P82" s="9"/>
    </row>
    <row r="85" spans="2:16" s="1" customFormat="1">
      <c r="B85" s="7"/>
      <c r="C85" s="7"/>
      <c r="D85" s="7"/>
      <c r="E85" s="7"/>
      <c r="F85" s="7"/>
      <c r="G85" s="7"/>
      <c r="H85" s="7"/>
      <c r="I85" s="7"/>
      <c r="J85" s="7"/>
      <c r="K85" s="7"/>
      <c r="L85" s="142"/>
      <c r="M85" s="142"/>
    </row>
    <row r="86" spans="2:16" s="1" customFormat="1">
      <c r="B86" s="65"/>
      <c r="C86" s="65"/>
      <c r="D86" s="65"/>
      <c r="E86" s="65"/>
      <c r="F86" s="65"/>
      <c r="G86" s="65"/>
      <c r="H86" s="65"/>
      <c r="I86" s="65"/>
      <c r="J86" s="65"/>
      <c r="K86" s="65"/>
      <c r="L86" s="65"/>
      <c r="M86" s="65"/>
    </row>
    <row r="87" spans="2:16" s="1" customFormat="1">
      <c r="B87" s="404" t="s">
        <v>77</v>
      </c>
      <c r="C87" s="404"/>
      <c r="D87" s="404"/>
      <c r="E87" s="404"/>
      <c r="F87" s="404"/>
      <c r="G87" s="404"/>
      <c r="H87" s="404"/>
      <c r="I87" s="404"/>
      <c r="J87" s="404"/>
      <c r="K87" s="404"/>
      <c r="L87" s="404"/>
      <c r="M87" s="404"/>
    </row>
    <row r="88" spans="2:16" s="1" customFormat="1">
      <c r="B88" s="404"/>
      <c r="C88" s="404"/>
      <c r="D88" s="404"/>
      <c r="E88" s="404"/>
      <c r="F88" s="404"/>
      <c r="G88" s="404"/>
      <c r="H88" s="404"/>
      <c r="I88" s="404"/>
      <c r="J88" s="404"/>
      <c r="K88" s="404"/>
      <c r="L88" s="404"/>
      <c r="M88" s="404"/>
    </row>
    <row r="89" spans="2:16" s="1" customFormat="1" ht="85.95" customHeight="1">
      <c r="B89" s="403" t="e" vm="1">
        <v>#VALUE!</v>
      </c>
      <c r="C89" s="403"/>
      <c r="D89" s="403"/>
      <c r="E89" s="403"/>
      <c r="F89" s="403"/>
      <c r="G89" s="403"/>
      <c r="H89" s="403"/>
      <c r="I89" s="403"/>
      <c r="J89" s="403"/>
      <c r="K89" s="403"/>
      <c r="L89" s="403"/>
      <c r="M89" s="403"/>
    </row>
  </sheetData>
  <sheetProtection algorithmName="SHA-512" hashValue="sj1U0rvkVhwEULOI10vKrthkBmLwuhrJez0gP7iCtqfHxKGQvC3Cw2iY9ntiA+wlZZ2MrS9+DXIxm2iBmra8HQ==" saltValue="HLEI2nTDZdxlyzD7D0qr2Q==" spinCount="100000" sheet="1" formatCells="0" formatColumns="0" formatRows="0"/>
  <mergeCells count="10">
    <mergeCell ref="B87:M88"/>
    <mergeCell ref="B89:M89"/>
    <mergeCell ref="B65:H65"/>
    <mergeCell ref="B8:H8"/>
    <mergeCell ref="B27:H27"/>
    <mergeCell ref="B46:H46"/>
    <mergeCell ref="J8:P8"/>
    <mergeCell ref="J27:P27"/>
    <mergeCell ref="J46:P46"/>
    <mergeCell ref="J65:P65"/>
  </mergeCell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2EA8A-69E8-4847-AE55-1F561537953D}">
  <sheetPr codeName="Planilha9">
    <tabColor rgb="FF0EB1BA"/>
  </sheetPr>
  <dimension ref="B1:X73"/>
  <sheetViews>
    <sheetView showGridLines="0" zoomScaleNormal="100" workbookViewId="0">
      <selection activeCell="I14" sqref="I14"/>
    </sheetView>
  </sheetViews>
  <sheetFormatPr defaultColWidth="8.77734375" defaultRowHeight="14.4"/>
  <cols>
    <col min="1" max="1" width="5" style="142" customWidth="1"/>
    <col min="2" max="2" width="4.109375" style="142" customWidth="1"/>
    <col min="3" max="3" width="30.6640625" style="142" customWidth="1"/>
    <col min="4" max="4" width="15.6640625" style="142" customWidth="1"/>
    <col min="5" max="5" width="12.77734375" style="142" customWidth="1"/>
    <col min="6" max="6" width="14" style="142" customWidth="1"/>
    <col min="7" max="7" width="13.33203125" style="142" customWidth="1"/>
    <col min="8" max="8" width="10.44140625" style="142" customWidth="1"/>
    <col min="9" max="9" width="12.33203125" style="142" customWidth="1"/>
    <col min="10" max="10" width="12.6640625" style="142" customWidth="1"/>
    <col min="11" max="11" width="10.77734375" style="142" customWidth="1"/>
    <col min="12" max="12" width="12" style="142" customWidth="1"/>
    <col min="13" max="13" width="10.6640625" style="142" customWidth="1"/>
    <col min="14" max="14" width="11.88671875" style="142" customWidth="1"/>
    <col min="15" max="15" width="55.44140625" style="142" customWidth="1"/>
    <col min="16" max="16" width="17.44140625" style="142" customWidth="1"/>
    <col min="17" max="17" width="14" style="142" customWidth="1"/>
    <col min="18" max="18" width="5.33203125" style="142" customWidth="1"/>
    <col min="19" max="19" width="3.6640625" style="142" customWidth="1"/>
    <col min="20" max="20" width="18.77734375" style="142" customWidth="1"/>
    <col min="21" max="21" width="15.33203125" style="142" customWidth="1"/>
    <col min="22" max="38" width="8.77734375" style="142" customWidth="1"/>
    <col min="39" max="16384" width="8.77734375" style="142"/>
  </cols>
  <sheetData>
    <row r="1" spans="2:24" s="130" customFormat="1" ht="33.6">
      <c r="B1" s="128" t="str">
        <f>Introduction!$B$1</f>
        <v>Budget impact analysis of treatments for Advanced cancer</v>
      </c>
      <c r="C1" s="128"/>
      <c r="D1" s="128"/>
      <c r="E1" s="129"/>
      <c r="F1" s="127"/>
      <c r="G1" s="127"/>
      <c r="H1" s="127"/>
      <c r="I1" s="127"/>
      <c r="J1" s="127"/>
      <c r="K1" s="127"/>
      <c r="L1" s="127"/>
      <c r="M1" s="127"/>
      <c r="N1" s="127"/>
      <c r="O1" s="127"/>
      <c r="P1" s="401">
        <v>0</v>
      </c>
      <c r="Q1" s="127"/>
      <c r="R1" s="127"/>
    </row>
    <row r="2" spans="2:24" s="130" customFormat="1" ht="18">
      <c r="B2" s="131"/>
      <c r="C2" s="131"/>
      <c r="D2" s="131"/>
      <c r="E2" s="132"/>
      <c r="F2" s="133"/>
      <c r="G2" s="133"/>
      <c r="H2" s="133"/>
      <c r="I2" s="133"/>
      <c r="J2" s="133"/>
      <c r="K2" s="133"/>
      <c r="L2" s="133"/>
      <c r="M2" s="133"/>
      <c r="N2" s="127"/>
      <c r="O2" s="127"/>
      <c r="P2" s="127"/>
      <c r="Q2" s="127"/>
      <c r="R2" s="127"/>
    </row>
    <row r="3" spans="2:24" s="207" customFormat="1" ht="2.25" customHeight="1">
      <c r="E3" s="208"/>
    </row>
    <row r="4" spans="2:24" ht="15.6">
      <c r="B4" s="136"/>
      <c r="C4" s="78" t="s">
        <v>119</v>
      </c>
      <c r="D4" s="78" t="s">
        <v>209</v>
      </c>
      <c r="E4" s="78" t="s">
        <v>120</v>
      </c>
      <c r="F4" s="78" t="s">
        <v>121</v>
      </c>
      <c r="G4" s="78" t="s">
        <v>122</v>
      </c>
      <c r="H4" s="78" t="s">
        <v>123</v>
      </c>
      <c r="I4" s="78" t="s">
        <v>124</v>
      </c>
      <c r="J4" s="78" t="s">
        <v>11</v>
      </c>
      <c r="K4" s="78" t="s">
        <v>12</v>
      </c>
      <c r="L4" s="78" t="s">
        <v>125</v>
      </c>
      <c r="M4" s="78" t="s">
        <v>126</v>
      </c>
      <c r="N4" s="78" t="s">
        <v>13</v>
      </c>
      <c r="O4" s="78" t="s">
        <v>97</v>
      </c>
      <c r="P4" s="363" t="s">
        <v>127</v>
      </c>
      <c r="Q4" s="364" t="s">
        <v>14</v>
      </c>
      <c r="R4" s="136"/>
    </row>
    <row r="5" spans="2:24">
      <c r="B5" s="136"/>
      <c r="C5" s="264"/>
      <c r="D5" s="394"/>
      <c r="E5" s="395">
        <f>IF(AND($P$1=0,P5="point estimate"), F5, IF(AND($P$1=0, P5="lower limit"),V5, IF(AND($P$1=0, P5="upper limit"),W5,IF(AND($P$1=1,F5&gt;0),G5,0))))</f>
        <v>0</v>
      </c>
      <c r="F5" s="396"/>
      <c r="G5" s="397" t="e">
        <f t="shared" ref="G5:G58" ca="1" si="0">IF(L5="Beta",_xlfn.BETA.INV(RAND(),M5,N5),IF(L5="Gamma",_xlfn.GAMMA.INV(RAND(),M5,N5),_xlfn.NORM.INV(RAND(),F5,I5)))</f>
        <v>#DIV/0!</v>
      </c>
      <c r="H5" s="209">
        <v>0.2</v>
      </c>
      <c r="I5" s="265">
        <f>IF(H5&gt;0,(W5-V5)/3.92,(K5-J5)/3.92)</f>
        <v>0</v>
      </c>
      <c r="J5" s="391"/>
      <c r="K5" s="391"/>
      <c r="L5" s="384" t="s">
        <v>13</v>
      </c>
      <c r="M5" s="395" t="e">
        <f>IF(L5="Beta",F5*(F5*(1-F5)/I5^2-1),IF(L5="Gamma",F5^2/I5^2,0))</f>
        <v>#DIV/0!</v>
      </c>
      <c r="N5" s="395" t="e">
        <f>IF(L5="Beta",(M5/F5)-M5,IF(L5="Gamma",I5^2/F5,0))</f>
        <v>#DIV/0!</v>
      </c>
      <c r="O5" s="210"/>
      <c r="P5" s="266" t="s">
        <v>340</v>
      </c>
      <c r="Q5" s="266" t="s">
        <v>341</v>
      </c>
      <c r="R5" s="136"/>
      <c r="U5" s="139"/>
      <c r="V5" s="402">
        <f>IF(H5&gt;0,F5*(1-H5),J5)</f>
        <v>0</v>
      </c>
      <c r="W5" s="402">
        <f>IF(H5&gt;0,F5*(1+H5),K5)</f>
        <v>0</v>
      </c>
      <c r="X5" s="139"/>
    </row>
    <row r="6" spans="2:24">
      <c r="B6" s="136"/>
      <c r="C6" s="267" t="str">
        <f>Population!C81</f>
        <v>Incidence of cancer</v>
      </c>
      <c r="D6" s="393"/>
      <c r="E6" s="395">
        <f t="shared" ref="E6:E58" si="1">IF(AND($P$1=0,P6="point estimate"), F6, IF(AND($P$1=0, P6="lower limit"),V6, IF(AND($P$1=0, P6="upper limit"),W6,IF(AND($P$1=1,F6&gt;0),G6,0))))</f>
        <v>3.1000000000000001E-5</v>
      </c>
      <c r="F6" s="398">
        <f>Population!D81</f>
        <v>3.1000000000000001E-5</v>
      </c>
      <c r="G6" s="397">
        <f ca="1">IF(L6="Beta",_xlfn.BETA.INV(RAND(),M6,N6),IF(L6="Gamma",_xlfn.GAMMA.INV(RAND(),M6,N6),_xlfn.NORM.INV(RAND(),F6,I6)))</f>
        <v>3.0408612369041798E-5</v>
      </c>
      <c r="H6" s="209">
        <v>0.2</v>
      </c>
      <c r="I6" s="265">
        <f t="shared" ref="I6:I58" si="2">IF(H6&gt;0,(W6-V6)/3.92,(K6-J6)/3.92)</f>
        <v>3.1632653061224492E-6</v>
      </c>
      <c r="J6" s="391"/>
      <c r="K6" s="391"/>
      <c r="L6" s="384" t="s">
        <v>13</v>
      </c>
      <c r="M6" s="395">
        <f t="shared" ref="M6:M58" si="3">IF(L6="Beta",F6*(F6*(1-F6)/I6^2-1),IF(L6="Gamma",F6^2/I6^2,0))</f>
        <v>96.036991759999992</v>
      </c>
      <c r="N6" s="395">
        <f t="shared" ref="N6:N58" si="4">IF(L6="Beta",(M6/F6)-M6,IF(L6="Gamma",I6^2/F6,0))</f>
        <v>3097871.4391372716</v>
      </c>
      <c r="O6" s="210"/>
      <c r="P6" s="266" t="s">
        <v>340</v>
      </c>
      <c r="Q6" s="266" t="s">
        <v>341</v>
      </c>
      <c r="R6" s="136"/>
      <c r="U6" s="139"/>
      <c r="V6" s="402">
        <f t="shared" ref="V6:V58" si="5">IF(H6&gt;0,F6*(1-H6),J6)</f>
        <v>2.4800000000000003E-5</v>
      </c>
      <c r="W6" s="402">
        <f t="shared" ref="W6:W58" si="6">IF(H6&gt;0,F6*(1+H6),K6)</f>
        <v>3.7200000000000003E-5</v>
      </c>
      <c r="X6" s="187"/>
    </row>
    <row r="7" spans="2:24">
      <c r="B7" s="136"/>
      <c r="C7" s="267" t="str">
        <f>Population!C82</f>
        <v>Advanced disease</v>
      </c>
      <c r="D7" s="393"/>
      <c r="E7" s="395">
        <f t="shared" si="1"/>
        <v>0.25</v>
      </c>
      <c r="F7" s="398">
        <f>Population!D82</f>
        <v>0.25</v>
      </c>
      <c r="G7" s="397">
        <f t="shared" ca="1" si="0"/>
        <v>0.22899816002803874</v>
      </c>
      <c r="H7" s="209">
        <v>0.2</v>
      </c>
      <c r="I7" s="265">
        <f t="shared" si="2"/>
        <v>2.5510204081632647E-2</v>
      </c>
      <c r="J7" s="391"/>
      <c r="K7" s="391"/>
      <c r="L7" s="384" t="s">
        <v>13</v>
      </c>
      <c r="M7" s="395">
        <f t="shared" si="3"/>
        <v>71.780000000000044</v>
      </c>
      <c r="N7" s="395">
        <f t="shared" si="4"/>
        <v>215.34000000000015</v>
      </c>
      <c r="O7" s="210"/>
      <c r="P7" s="266" t="s">
        <v>340</v>
      </c>
      <c r="Q7" s="266" t="s">
        <v>341</v>
      </c>
      <c r="R7" s="187"/>
      <c r="U7" s="139"/>
      <c r="V7" s="402">
        <f t="shared" si="5"/>
        <v>0.2</v>
      </c>
      <c r="W7" s="402">
        <f t="shared" si="6"/>
        <v>0.3</v>
      </c>
      <c r="X7" s="187"/>
    </row>
    <row r="8" spans="2:24">
      <c r="B8" s="136"/>
      <c r="C8" s="267" t="str">
        <f>Population!C83</f>
        <v>X mutation</v>
      </c>
      <c r="D8" s="393"/>
      <c r="E8" s="395">
        <f t="shared" si="1"/>
        <v>0.5</v>
      </c>
      <c r="F8" s="398">
        <f>Population!D83</f>
        <v>0.5</v>
      </c>
      <c r="G8" s="397">
        <f t="shared" ca="1" si="0"/>
        <v>0.5906431766866207</v>
      </c>
      <c r="H8" s="209">
        <v>0.2</v>
      </c>
      <c r="I8" s="265">
        <f t="shared" si="2"/>
        <v>5.1020408163265293E-2</v>
      </c>
      <c r="J8" s="391"/>
      <c r="K8" s="391"/>
      <c r="L8" s="384" t="s">
        <v>13</v>
      </c>
      <c r="M8" s="395">
        <f t="shared" si="3"/>
        <v>47.520000000000024</v>
      </c>
      <c r="N8" s="395">
        <f t="shared" si="4"/>
        <v>47.520000000000024</v>
      </c>
      <c r="O8" s="210"/>
      <c r="P8" s="266" t="s">
        <v>340</v>
      </c>
      <c r="Q8" s="266" t="s">
        <v>341</v>
      </c>
      <c r="R8" s="136"/>
      <c r="U8" s="139"/>
      <c r="V8" s="402">
        <f t="shared" si="5"/>
        <v>0.4</v>
      </c>
      <c r="W8" s="402">
        <f t="shared" si="6"/>
        <v>0.6</v>
      </c>
      <c r="X8" s="187"/>
    </row>
    <row r="9" spans="2:24">
      <c r="B9" s="136"/>
      <c r="C9" s="267">
        <f>Population!C84</f>
        <v>0</v>
      </c>
      <c r="D9" s="393"/>
      <c r="E9" s="395">
        <f t="shared" si="1"/>
        <v>0</v>
      </c>
      <c r="F9" s="398">
        <f>Population!D84</f>
        <v>0</v>
      </c>
      <c r="G9" s="397" t="e">
        <f t="shared" ca="1" si="0"/>
        <v>#DIV/0!</v>
      </c>
      <c r="H9" s="209">
        <v>0.2</v>
      </c>
      <c r="I9" s="265">
        <f t="shared" si="2"/>
        <v>0</v>
      </c>
      <c r="J9" s="391"/>
      <c r="K9" s="391"/>
      <c r="L9" s="384" t="s">
        <v>13</v>
      </c>
      <c r="M9" s="395" t="e">
        <f t="shared" si="3"/>
        <v>#DIV/0!</v>
      </c>
      <c r="N9" s="395" t="e">
        <f t="shared" si="4"/>
        <v>#DIV/0!</v>
      </c>
      <c r="O9" s="210"/>
      <c r="P9" s="266" t="s">
        <v>340</v>
      </c>
      <c r="Q9" s="266" t="s">
        <v>341</v>
      </c>
      <c r="R9" s="136"/>
      <c r="U9" s="139"/>
      <c r="V9" s="402">
        <f t="shared" si="5"/>
        <v>0</v>
      </c>
      <c r="W9" s="402">
        <f t="shared" si="6"/>
        <v>0</v>
      </c>
      <c r="X9" s="187"/>
    </row>
    <row r="10" spans="2:24">
      <c r="B10" s="136"/>
      <c r="C10" s="267">
        <f>Population!C85</f>
        <v>0</v>
      </c>
      <c r="D10" s="393"/>
      <c r="E10" s="395">
        <f t="shared" si="1"/>
        <v>0</v>
      </c>
      <c r="F10" s="398">
        <f>Population!D85</f>
        <v>0</v>
      </c>
      <c r="G10" s="397" t="e">
        <f t="shared" ca="1" si="0"/>
        <v>#DIV/0!</v>
      </c>
      <c r="H10" s="209">
        <v>0.2</v>
      </c>
      <c r="I10" s="265">
        <f t="shared" si="2"/>
        <v>0</v>
      </c>
      <c r="J10" s="391"/>
      <c r="K10" s="391"/>
      <c r="L10" s="384" t="s">
        <v>13</v>
      </c>
      <c r="M10" s="395" t="e">
        <f t="shared" si="3"/>
        <v>#DIV/0!</v>
      </c>
      <c r="N10" s="395" t="e">
        <f t="shared" si="4"/>
        <v>#DIV/0!</v>
      </c>
      <c r="O10" s="210"/>
      <c r="P10" s="266" t="s">
        <v>340</v>
      </c>
      <c r="Q10" s="266" t="s">
        <v>341</v>
      </c>
      <c r="R10" s="136"/>
      <c r="U10" s="139"/>
      <c r="V10" s="402">
        <f t="shared" si="5"/>
        <v>0</v>
      </c>
      <c r="W10" s="402">
        <f t="shared" si="6"/>
        <v>0</v>
      </c>
      <c r="X10" s="187"/>
    </row>
    <row r="11" spans="2:24">
      <c r="B11" s="136"/>
      <c r="C11" s="267">
        <f>Population!C86</f>
        <v>0</v>
      </c>
      <c r="D11" s="393"/>
      <c r="E11" s="395">
        <f t="shared" si="1"/>
        <v>0</v>
      </c>
      <c r="F11" s="398">
        <f>Population!D86</f>
        <v>0</v>
      </c>
      <c r="G11" s="397" t="e">
        <f t="shared" ca="1" si="0"/>
        <v>#DIV/0!</v>
      </c>
      <c r="H11" s="209">
        <v>0.2</v>
      </c>
      <c r="I11" s="265">
        <f t="shared" si="2"/>
        <v>0</v>
      </c>
      <c r="J11" s="391"/>
      <c r="K11" s="391"/>
      <c r="L11" s="384" t="s">
        <v>13</v>
      </c>
      <c r="M11" s="395" t="e">
        <f t="shared" si="3"/>
        <v>#DIV/0!</v>
      </c>
      <c r="N11" s="395" t="e">
        <f t="shared" si="4"/>
        <v>#DIV/0!</v>
      </c>
      <c r="O11" s="210"/>
      <c r="P11" s="266" t="s">
        <v>340</v>
      </c>
      <c r="Q11" s="266" t="s">
        <v>341</v>
      </c>
      <c r="R11" s="136"/>
      <c r="U11" s="139"/>
      <c r="V11" s="402">
        <f t="shared" si="5"/>
        <v>0</v>
      </c>
      <c r="W11" s="402">
        <f t="shared" si="6"/>
        <v>0</v>
      </c>
      <c r="X11" s="187"/>
    </row>
    <row r="12" spans="2:24">
      <c r="B12" s="136"/>
      <c r="C12" s="267">
        <f>Population!C87</f>
        <v>0</v>
      </c>
      <c r="D12" s="393"/>
      <c r="E12" s="395">
        <f t="shared" si="1"/>
        <v>0</v>
      </c>
      <c r="F12" s="398">
        <f>Population!D87</f>
        <v>0</v>
      </c>
      <c r="G12" s="397" t="e">
        <f t="shared" ca="1" si="0"/>
        <v>#DIV/0!</v>
      </c>
      <c r="H12" s="209">
        <v>0.2</v>
      </c>
      <c r="I12" s="265">
        <f t="shared" si="2"/>
        <v>0</v>
      </c>
      <c r="J12" s="391"/>
      <c r="K12" s="391"/>
      <c r="L12" s="384" t="s">
        <v>13</v>
      </c>
      <c r="M12" s="395" t="e">
        <f t="shared" si="3"/>
        <v>#DIV/0!</v>
      </c>
      <c r="N12" s="395" t="e">
        <f t="shared" si="4"/>
        <v>#DIV/0!</v>
      </c>
      <c r="O12" s="210"/>
      <c r="P12" s="266" t="s">
        <v>340</v>
      </c>
      <c r="Q12" s="266" t="s">
        <v>341</v>
      </c>
      <c r="R12" s="136"/>
      <c r="U12" s="139"/>
      <c r="V12" s="402">
        <f t="shared" si="5"/>
        <v>0</v>
      </c>
      <c r="W12" s="402">
        <f t="shared" si="6"/>
        <v>0</v>
      </c>
      <c r="X12" s="187"/>
    </row>
    <row r="13" spans="2:24">
      <c r="B13" s="136"/>
      <c r="C13" s="267">
        <f>Population!C88</f>
        <v>0</v>
      </c>
      <c r="D13" s="393"/>
      <c r="E13" s="395">
        <f t="shared" si="1"/>
        <v>0</v>
      </c>
      <c r="F13" s="398">
        <f>Population!D88</f>
        <v>0</v>
      </c>
      <c r="G13" s="397" t="e">
        <f t="shared" ca="1" si="0"/>
        <v>#DIV/0!</v>
      </c>
      <c r="H13" s="209">
        <v>0.2</v>
      </c>
      <c r="I13" s="265">
        <f t="shared" si="2"/>
        <v>0</v>
      </c>
      <c r="J13" s="391"/>
      <c r="K13" s="391"/>
      <c r="L13" s="384" t="s">
        <v>13</v>
      </c>
      <c r="M13" s="395" t="e">
        <f t="shared" si="3"/>
        <v>#DIV/0!</v>
      </c>
      <c r="N13" s="395" t="e">
        <f t="shared" si="4"/>
        <v>#DIV/0!</v>
      </c>
      <c r="O13" s="210"/>
      <c r="P13" s="266" t="s">
        <v>340</v>
      </c>
      <c r="Q13" s="266" t="s">
        <v>341</v>
      </c>
      <c r="R13" s="136"/>
      <c r="U13" s="139"/>
      <c r="V13" s="402">
        <f t="shared" si="5"/>
        <v>0</v>
      </c>
      <c r="W13" s="402">
        <f t="shared" si="6"/>
        <v>0</v>
      </c>
      <c r="X13" s="187"/>
    </row>
    <row r="14" spans="2:24">
      <c r="B14" s="136"/>
      <c r="C14" s="264" t="str">
        <f>"Initial costs "&amp;intervencao1</f>
        <v>Initial costs Drug 1</v>
      </c>
      <c r="D14" s="393" t="s">
        <v>15</v>
      </c>
      <c r="E14" s="395">
        <f t="shared" ca="1" si="1"/>
        <v>0</v>
      </c>
      <c r="F14" s="399">
        <f ca="1">Costs!D32</f>
        <v>0</v>
      </c>
      <c r="G14" s="397" t="e">
        <f t="shared" ca="1" si="0"/>
        <v>#DIV/0!</v>
      </c>
      <c r="H14" s="209">
        <v>0.2</v>
      </c>
      <c r="I14" s="265">
        <f t="shared" ca="1" si="2"/>
        <v>0</v>
      </c>
      <c r="J14" s="392"/>
      <c r="K14" s="392"/>
      <c r="L14" s="384" t="s">
        <v>332</v>
      </c>
      <c r="M14" s="395" t="e">
        <f t="shared" ca="1" si="3"/>
        <v>#DIV/0!</v>
      </c>
      <c r="N14" s="395" t="e">
        <f t="shared" ca="1" si="4"/>
        <v>#DIV/0!</v>
      </c>
      <c r="O14" s="211"/>
      <c r="P14" s="266" t="s">
        <v>340</v>
      </c>
      <c r="Q14" s="266" t="s">
        <v>341</v>
      </c>
      <c r="R14" s="136"/>
      <c r="U14" s="139"/>
      <c r="V14" s="402">
        <f t="shared" ca="1" si="5"/>
        <v>0</v>
      </c>
      <c r="W14" s="402">
        <f t="shared" ca="1" si="6"/>
        <v>0</v>
      </c>
      <c r="X14" s="187"/>
    </row>
    <row r="15" spans="2:24">
      <c r="B15" s="136"/>
      <c r="C15" s="264" t="str">
        <f>"Initial costs "&amp;intervencao2</f>
        <v>Initial costs Drug 2</v>
      </c>
      <c r="D15" s="393" t="s">
        <v>16</v>
      </c>
      <c r="E15" s="395">
        <f t="shared" ca="1" si="1"/>
        <v>200</v>
      </c>
      <c r="F15" s="399">
        <f ca="1">Costs!D33</f>
        <v>200</v>
      </c>
      <c r="G15" s="397">
        <f t="shared" ca="1" si="0"/>
        <v>209.30881267879067</v>
      </c>
      <c r="H15" s="209">
        <v>0.2</v>
      </c>
      <c r="I15" s="265">
        <f t="shared" ca="1" si="2"/>
        <v>20.408163265306122</v>
      </c>
      <c r="J15" s="392"/>
      <c r="K15" s="392"/>
      <c r="L15" s="384" t="s">
        <v>332</v>
      </c>
      <c r="M15" s="395">
        <f t="shared" ca="1" si="3"/>
        <v>96.04</v>
      </c>
      <c r="N15" s="395">
        <f t="shared" ca="1" si="4"/>
        <v>2.0824656393169509</v>
      </c>
      <c r="O15" s="211"/>
      <c r="P15" s="266" t="s">
        <v>340</v>
      </c>
      <c r="Q15" s="266" t="s">
        <v>341</v>
      </c>
      <c r="R15" s="136"/>
      <c r="U15" s="139"/>
      <c r="V15" s="402">
        <f t="shared" ca="1" si="5"/>
        <v>160</v>
      </c>
      <c r="W15" s="402">
        <f t="shared" ca="1" si="6"/>
        <v>240</v>
      </c>
      <c r="X15" s="187"/>
    </row>
    <row r="16" spans="2:24">
      <c r="B16" s="136"/>
      <c r="C16" s="264" t="str">
        <f>"Initial costs "&amp;intervencao3</f>
        <v xml:space="preserve">Initial costs </v>
      </c>
      <c r="D16" s="393" t="s">
        <v>17</v>
      </c>
      <c r="E16" s="395">
        <f t="shared" ca="1" si="1"/>
        <v>0</v>
      </c>
      <c r="F16" s="399">
        <f ca="1">Costs!D34</f>
        <v>0</v>
      </c>
      <c r="G16" s="397" t="e">
        <f t="shared" ca="1" si="0"/>
        <v>#DIV/0!</v>
      </c>
      <c r="H16" s="209">
        <v>0.2</v>
      </c>
      <c r="I16" s="265">
        <f t="shared" ca="1" si="2"/>
        <v>0</v>
      </c>
      <c r="J16" s="392"/>
      <c r="K16" s="392"/>
      <c r="L16" s="384" t="s">
        <v>332</v>
      </c>
      <c r="M16" s="395" t="e">
        <f t="shared" ca="1" si="3"/>
        <v>#DIV/0!</v>
      </c>
      <c r="N16" s="395" t="e">
        <f t="shared" ca="1" si="4"/>
        <v>#DIV/0!</v>
      </c>
      <c r="O16" s="211"/>
      <c r="P16" s="266" t="s">
        <v>340</v>
      </c>
      <c r="Q16" s="266" t="s">
        <v>341</v>
      </c>
      <c r="R16" s="136"/>
      <c r="U16" s="139"/>
      <c r="V16" s="402">
        <f t="shared" ca="1" si="5"/>
        <v>0</v>
      </c>
      <c r="W16" s="402">
        <f t="shared" ca="1" si="6"/>
        <v>0</v>
      </c>
      <c r="X16" s="187"/>
    </row>
    <row r="17" spans="2:24">
      <c r="B17" s="136"/>
      <c r="C17" s="264" t="str">
        <f>"Initial costs "&amp;intervencao4</f>
        <v xml:space="preserve">Initial costs </v>
      </c>
      <c r="D17" s="393" t="s">
        <v>18</v>
      </c>
      <c r="E17" s="395">
        <f t="shared" ca="1" si="1"/>
        <v>0</v>
      </c>
      <c r="F17" s="399">
        <f ca="1">Costs!D35</f>
        <v>0</v>
      </c>
      <c r="G17" s="397" t="e">
        <f t="shared" ca="1" si="0"/>
        <v>#DIV/0!</v>
      </c>
      <c r="H17" s="209">
        <v>0.2</v>
      </c>
      <c r="I17" s="265">
        <f t="shared" ca="1" si="2"/>
        <v>0</v>
      </c>
      <c r="J17" s="392"/>
      <c r="K17" s="392"/>
      <c r="L17" s="384" t="s">
        <v>332</v>
      </c>
      <c r="M17" s="395" t="e">
        <f t="shared" ca="1" si="3"/>
        <v>#DIV/0!</v>
      </c>
      <c r="N17" s="395" t="e">
        <f t="shared" ca="1" si="4"/>
        <v>#DIV/0!</v>
      </c>
      <c r="O17" s="211"/>
      <c r="P17" s="266" t="s">
        <v>340</v>
      </c>
      <c r="Q17" s="266" t="s">
        <v>341</v>
      </c>
      <c r="R17" s="136"/>
      <c r="U17" s="139"/>
      <c r="V17" s="402">
        <f t="shared" ca="1" si="5"/>
        <v>0</v>
      </c>
      <c r="W17" s="402">
        <f t="shared" ca="1" si="6"/>
        <v>0</v>
      </c>
      <c r="X17" s="187"/>
    </row>
    <row r="18" spans="2:24">
      <c r="B18" s="136"/>
      <c r="C18" s="264" t="str">
        <f>"Initial costs "&amp;comparador1</f>
        <v>Initial costs BSC</v>
      </c>
      <c r="D18" s="393" t="s">
        <v>19</v>
      </c>
      <c r="E18" s="395">
        <f t="shared" ca="1" si="1"/>
        <v>0</v>
      </c>
      <c r="F18" s="399">
        <f ca="1">Costs!D36</f>
        <v>0</v>
      </c>
      <c r="G18" s="397" t="e">
        <f t="shared" ca="1" si="0"/>
        <v>#DIV/0!</v>
      </c>
      <c r="H18" s="209">
        <v>0.2</v>
      </c>
      <c r="I18" s="265">
        <f t="shared" ca="1" si="2"/>
        <v>0</v>
      </c>
      <c r="J18" s="392"/>
      <c r="K18" s="392"/>
      <c r="L18" s="384" t="s">
        <v>332</v>
      </c>
      <c r="M18" s="395" t="e">
        <f t="shared" ca="1" si="3"/>
        <v>#DIV/0!</v>
      </c>
      <c r="N18" s="395" t="e">
        <f t="shared" ca="1" si="4"/>
        <v>#DIV/0!</v>
      </c>
      <c r="O18" s="211"/>
      <c r="P18" s="266" t="s">
        <v>340</v>
      </c>
      <c r="Q18" s="266" t="s">
        <v>341</v>
      </c>
      <c r="R18" s="136"/>
      <c r="U18" s="139"/>
      <c r="V18" s="402">
        <f t="shared" ca="1" si="5"/>
        <v>0</v>
      </c>
      <c r="W18" s="402">
        <f t="shared" ca="1" si="6"/>
        <v>0</v>
      </c>
      <c r="X18" s="187"/>
    </row>
    <row r="19" spans="2:24">
      <c r="B19" s="136"/>
      <c r="C19" s="264" t="str">
        <f>"Initial costs "&amp;comparador2</f>
        <v xml:space="preserve">Initial costs </v>
      </c>
      <c r="D19" s="393" t="s">
        <v>20</v>
      </c>
      <c r="E19" s="395">
        <f t="shared" ca="1" si="1"/>
        <v>0</v>
      </c>
      <c r="F19" s="399">
        <f ca="1">Costs!D37</f>
        <v>0</v>
      </c>
      <c r="G19" s="397" t="e">
        <f t="shared" ca="1" si="0"/>
        <v>#DIV/0!</v>
      </c>
      <c r="H19" s="209">
        <v>0.2</v>
      </c>
      <c r="I19" s="265">
        <f t="shared" ca="1" si="2"/>
        <v>0</v>
      </c>
      <c r="J19" s="392"/>
      <c r="K19" s="392"/>
      <c r="L19" s="384" t="s">
        <v>332</v>
      </c>
      <c r="M19" s="395" t="e">
        <f t="shared" ca="1" si="3"/>
        <v>#DIV/0!</v>
      </c>
      <c r="N19" s="395" t="e">
        <f t="shared" ca="1" si="4"/>
        <v>#DIV/0!</v>
      </c>
      <c r="O19" s="211"/>
      <c r="P19" s="266" t="s">
        <v>340</v>
      </c>
      <c r="Q19" s="266" t="s">
        <v>341</v>
      </c>
      <c r="R19" s="136"/>
      <c r="U19" s="139"/>
      <c r="V19" s="402">
        <f t="shared" ca="1" si="5"/>
        <v>0</v>
      </c>
      <c r="W19" s="402">
        <f t="shared" ca="1" si="6"/>
        <v>0</v>
      </c>
      <c r="X19" s="187"/>
    </row>
    <row r="20" spans="2:24">
      <c r="B20" s="136"/>
      <c r="C20" s="264" t="str">
        <f>"Initial costs "&amp;comparador3</f>
        <v xml:space="preserve">Initial costs </v>
      </c>
      <c r="D20" s="393" t="s">
        <v>21</v>
      </c>
      <c r="E20" s="395">
        <f t="shared" ca="1" si="1"/>
        <v>0</v>
      </c>
      <c r="F20" s="399">
        <f ca="1">Costs!D38</f>
        <v>0</v>
      </c>
      <c r="G20" s="397" t="e">
        <f t="shared" ca="1" si="0"/>
        <v>#DIV/0!</v>
      </c>
      <c r="H20" s="209">
        <v>0.2</v>
      </c>
      <c r="I20" s="265">
        <f t="shared" ca="1" si="2"/>
        <v>0</v>
      </c>
      <c r="J20" s="392"/>
      <c r="K20" s="392"/>
      <c r="L20" s="384" t="s">
        <v>332</v>
      </c>
      <c r="M20" s="395" t="e">
        <f ca="1">IF(L20="Beta",F20*(F20*(1-F20)/I20^2-1),IF(L20="Gamma",F20^2/I20^2,0))</f>
        <v>#DIV/0!</v>
      </c>
      <c r="N20" s="395" t="e">
        <f t="shared" ca="1" si="4"/>
        <v>#DIV/0!</v>
      </c>
      <c r="O20" s="211"/>
      <c r="P20" s="266" t="s">
        <v>340</v>
      </c>
      <c r="Q20" s="266" t="s">
        <v>341</v>
      </c>
      <c r="R20" s="136"/>
      <c r="U20" s="139"/>
      <c r="V20" s="402">
        <f t="shared" ca="1" si="5"/>
        <v>0</v>
      </c>
      <c r="W20" s="402">
        <f t="shared" ca="1" si="6"/>
        <v>0</v>
      </c>
      <c r="X20" s="187"/>
    </row>
    <row r="21" spans="2:24">
      <c r="B21" s="136"/>
      <c r="C21" s="264" t="str">
        <f>"Initial costs "&amp;comparador4</f>
        <v xml:space="preserve">Initial costs </v>
      </c>
      <c r="D21" s="393" t="s">
        <v>22</v>
      </c>
      <c r="E21" s="395">
        <f t="shared" ca="1" si="1"/>
        <v>0</v>
      </c>
      <c r="F21" s="399">
        <f ca="1">Costs!D39</f>
        <v>0</v>
      </c>
      <c r="G21" s="397" t="e">
        <f t="shared" ca="1" si="0"/>
        <v>#DIV/0!</v>
      </c>
      <c r="H21" s="209">
        <v>0.2</v>
      </c>
      <c r="I21" s="265">
        <f t="shared" ca="1" si="2"/>
        <v>0</v>
      </c>
      <c r="J21" s="392"/>
      <c r="K21" s="392"/>
      <c r="L21" s="384" t="s">
        <v>332</v>
      </c>
      <c r="M21" s="395" t="e">
        <f t="shared" ca="1" si="3"/>
        <v>#DIV/0!</v>
      </c>
      <c r="N21" s="395" t="e">
        <f t="shared" ca="1" si="4"/>
        <v>#DIV/0!</v>
      </c>
      <c r="O21" s="211"/>
      <c r="P21" s="266" t="s">
        <v>340</v>
      </c>
      <c r="Q21" s="266" t="s">
        <v>341</v>
      </c>
      <c r="R21" s="136"/>
      <c r="U21" s="139"/>
      <c r="V21" s="402">
        <f t="shared" ca="1" si="5"/>
        <v>0</v>
      </c>
      <c r="W21" s="402">
        <f t="shared" ca="1" si="6"/>
        <v>0</v>
      </c>
      <c r="X21" s="187"/>
    </row>
    <row r="22" spans="2:24">
      <c r="B22" s="136"/>
      <c r="C22" s="264" t="str">
        <f>"Initial costs "&amp;comparador5</f>
        <v xml:space="preserve">Initial costs </v>
      </c>
      <c r="D22" s="393" t="s">
        <v>23</v>
      </c>
      <c r="E22" s="395">
        <f t="shared" ca="1" si="1"/>
        <v>0</v>
      </c>
      <c r="F22" s="399">
        <f ca="1">Costs!D40</f>
        <v>0</v>
      </c>
      <c r="G22" s="397" t="e">
        <f t="shared" ca="1" si="0"/>
        <v>#DIV/0!</v>
      </c>
      <c r="H22" s="209">
        <v>0.2</v>
      </c>
      <c r="I22" s="265">
        <f t="shared" ca="1" si="2"/>
        <v>0</v>
      </c>
      <c r="J22" s="392"/>
      <c r="K22" s="392"/>
      <c r="L22" s="384" t="s">
        <v>332</v>
      </c>
      <c r="M22" s="395" t="e">
        <f t="shared" ca="1" si="3"/>
        <v>#DIV/0!</v>
      </c>
      <c r="N22" s="395" t="e">
        <f t="shared" ca="1" si="4"/>
        <v>#DIV/0!</v>
      </c>
      <c r="O22" s="211"/>
      <c r="P22" s="266" t="s">
        <v>340</v>
      </c>
      <c r="Q22" s="266" t="s">
        <v>341</v>
      </c>
      <c r="R22" s="136"/>
      <c r="U22" s="139"/>
      <c r="V22" s="402">
        <f t="shared" ca="1" si="5"/>
        <v>0</v>
      </c>
      <c r="W22" s="402">
        <f t="shared" ca="1" si="6"/>
        <v>0</v>
      </c>
      <c r="X22" s="187"/>
    </row>
    <row r="23" spans="2:24">
      <c r="B23" s="136"/>
      <c r="C23" s="264" t="str">
        <f>"Initial costs "&amp;comparador6</f>
        <v xml:space="preserve">Initial costs </v>
      </c>
      <c r="D23" s="393" t="s">
        <v>24</v>
      </c>
      <c r="E23" s="395">
        <f t="shared" ca="1" si="1"/>
        <v>0</v>
      </c>
      <c r="F23" s="399">
        <f ca="1">Costs!D41</f>
        <v>0</v>
      </c>
      <c r="G23" s="397" t="e">
        <f t="shared" ca="1" si="0"/>
        <v>#DIV/0!</v>
      </c>
      <c r="H23" s="209">
        <v>0.2</v>
      </c>
      <c r="I23" s="265">
        <f t="shared" ca="1" si="2"/>
        <v>0</v>
      </c>
      <c r="J23" s="392"/>
      <c r="K23" s="392"/>
      <c r="L23" s="384" t="s">
        <v>332</v>
      </c>
      <c r="M23" s="395" t="e">
        <f t="shared" ca="1" si="3"/>
        <v>#DIV/0!</v>
      </c>
      <c r="N23" s="395" t="e">
        <f t="shared" ca="1" si="4"/>
        <v>#DIV/0!</v>
      </c>
      <c r="O23" s="211"/>
      <c r="P23" s="266" t="s">
        <v>340</v>
      </c>
      <c r="Q23" s="266" t="s">
        <v>341</v>
      </c>
      <c r="R23" s="136"/>
      <c r="U23" s="139"/>
      <c r="V23" s="402">
        <f t="shared" ca="1" si="5"/>
        <v>0</v>
      </c>
      <c r="W23" s="402">
        <f t="shared" ca="1" si="6"/>
        <v>0</v>
      </c>
      <c r="X23" s="187"/>
    </row>
    <row r="24" spans="2:24">
      <c r="B24" s="136"/>
      <c r="C24" s="264" t="str">
        <f>"Initial costs "&amp;comparador7</f>
        <v xml:space="preserve">Initial costs </v>
      </c>
      <c r="D24" s="393" t="s">
        <v>25</v>
      </c>
      <c r="E24" s="395">
        <f t="shared" ca="1" si="1"/>
        <v>0</v>
      </c>
      <c r="F24" s="399">
        <f ca="1">Costs!D42</f>
        <v>0</v>
      </c>
      <c r="G24" s="397" t="e">
        <f t="shared" ca="1" si="0"/>
        <v>#DIV/0!</v>
      </c>
      <c r="H24" s="209">
        <v>0.2</v>
      </c>
      <c r="I24" s="265">
        <f t="shared" ca="1" si="2"/>
        <v>0</v>
      </c>
      <c r="J24" s="392"/>
      <c r="K24" s="392"/>
      <c r="L24" s="384" t="s">
        <v>332</v>
      </c>
      <c r="M24" s="395" t="e">
        <f t="shared" ca="1" si="3"/>
        <v>#DIV/0!</v>
      </c>
      <c r="N24" s="395" t="e">
        <f t="shared" ca="1" si="4"/>
        <v>#DIV/0!</v>
      </c>
      <c r="O24" s="211"/>
      <c r="P24" s="266" t="s">
        <v>340</v>
      </c>
      <c r="Q24" s="266" t="s">
        <v>341</v>
      </c>
      <c r="R24" s="136"/>
      <c r="U24" s="139"/>
      <c r="V24" s="402">
        <f t="shared" ca="1" si="5"/>
        <v>0</v>
      </c>
      <c r="W24" s="402">
        <f t="shared" ca="1" si="6"/>
        <v>0</v>
      </c>
      <c r="X24" s="187"/>
    </row>
    <row r="25" spans="2:24">
      <c r="B25" s="136"/>
      <c r="C25" s="264" t="str">
        <f>"Initial costs "&amp;comparador8</f>
        <v xml:space="preserve">Initial costs </v>
      </c>
      <c r="D25" s="393" t="s">
        <v>26</v>
      </c>
      <c r="E25" s="395">
        <f t="shared" ca="1" si="1"/>
        <v>0</v>
      </c>
      <c r="F25" s="399">
        <f ca="1">Costs!D43</f>
        <v>0</v>
      </c>
      <c r="G25" s="397" t="e">
        <f t="shared" ca="1" si="0"/>
        <v>#DIV/0!</v>
      </c>
      <c r="H25" s="209">
        <v>0.2</v>
      </c>
      <c r="I25" s="265">
        <f t="shared" ca="1" si="2"/>
        <v>0</v>
      </c>
      <c r="J25" s="392"/>
      <c r="K25" s="392"/>
      <c r="L25" s="384" t="s">
        <v>332</v>
      </c>
      <c r="M25" s="395" t="e">
        <f t="shared" ca="1" si="3"/>
        <v>#DIV/0!</v>
      </c>
      <c r="N25" s="395" t="e">
        <f t="shared" ca="1" si="4"/>
        <v>#DIV/0!</v>
      </c>
      <c r="O25" s="211"/>
      <c r="P25" s="266" t="s">
        <v>340</v>
      </c>
      <c r="Q25" s="266" t="s">
        <v>341</v>
      </c>
      <c r="R25" s="136"/>
      <c r="U25" s="139"/>
      <c r="V25" s="402">
        <f t="shared" ca="1" si="5"/>
        <v>0</v>
      </c>
      <c r="W25" s="402">
        <f t="shared" ca="1" si="6"/>
        <v>0</v>
      </c>
      <c r="X25" s="187"/>
    </row>
    <row r="26" spans="2:24">
      <c r="B26" s="136"/>
      <c r="C26" s="264" t="str">
        <f>"Initial costs "&amp;comparador9</f>
        <v xml:space="preserve">Initial costs </v>
      </c>
      <c r="D26" s="393" t="s">
        <v>27</v>
      </c>
      <c r="E26" s="395">
        <f t="shared" ca="1" si="1"/>
        <v>0</v>
      </c>
      <c r="F26" s="399">
        <f ca="1">Costs!D44</f>
        <v>0</v>
      </c>
      <c r="G26" s="397" t="e">
        <f t="shared" ca="1" si="0"/>
        <v>#DIV/0!</v>
      </c>
      <c r="H26" s="209">
        <v>0.2</v>
      </c>
      <c r="I26" s="265">
        <f t="shared" ca="1" si="2"/>
        <v>0</v>
      </c>
      <c r="J26" s="392"/>
      <c r="K26" s="392"/>
      <c r="L26" s="384" t="s">
        <v>332</v>
      </c>
      <c r="M26" s="395" t="e">
        <f t="shared" ca="1" si="3"/>
        <v>#DIV/0!</v>
      </c>
      <c r="N26" s="395" t="e">
        <f t="shared" ca="1" si="4"/>
        <v>#DIV/0!</v>
      </c>
      <c r="O26" s="211"/>
      <c r="P26" s="266" t="s">
        <v>340</v>
      </c>
      <c r="Q26" s="266" t="s">
        <v>341</v>
      </c>
      <c r="R26" s="136"/>
      <c r="U26" s="139"/>
      <c r="V26" s="402">
        <f t="shared" ca="1" si="5"/>
        <v>0</v>
      </c>
      <c r="W26" s="402">
        <f t="shared" ca="1" si="6"/>
        <v>0</v>
      </c>
      <c r="X26" s="187"/>
    </row>
    <row r="27" spans="2:24">
      <c r="B27" s="136"/>
      <c r="C27" s="264" t="str">
        <f>"Initial costs "&amp;comparador10</f>
        <v xml:space="preserve">Initial costs </v>
      </c>
      <c r="D27" s="393" t="s">
        <v>28</v>
      </c>
      <c r="E27" s="395">
        <f t="shared" ca="1" si="1"/>
        <v>0</v>
      </c>
      <c r="F27" s="399">
        <f ca="1">Costs!D45</f>
        <v>0</v>
      </c>
      <c r="G27" s="397" t="e">
        <f t="shared" ca="1" si="0"/>
        <v>#DIV/0!</v>
      </c>
      <c r="H27" s="209">
        <v>0.2</v>
      </c>
      <c r="I27" s="265">
        <f t="shared" ca="1" si="2"/>
        <v>0</v>
      </c>
      <c r="J27" s="392"/>
      <c r="K27" s="392"/>
      <c r="L27" s="384" t="s">
        <v>332</v>
      </c>
      <c r="M27" s="395" t="e">
        <f t="shared" ca="1" si="3"/>
        <v>#DIV/0!</v>
      </c>
      <c r="N27" s="395" t="e">
        <f t="shared" ca="1" si="4"/>
        <v>#DIV/0!</v>
      </c>
      <c r="O27" s="211"/>
      <c r="P27" s="266" t="s">
        <v>340</v>
      </c>
      <c r="Q27" s="266" t="s">
        <v>341</v>
      </c>
      <c r="R27" s="136"/>
      <c r="U27" s="139"/>
      <c r="V27" s="402">
        <f t="shared" ca="1" si="5"/>
        <v>0</v>
      </c>
      <c r="W27" s="402">
        <f t="shared" ca="1" si="6"/>
        <v>0</v>
      </c>
      <c r="X27" s="187"/>
    </row>
    <row r="28" spans="2:24">
      <c r="B28" s="136"/>
      <c r="C28" s="264" t="str">
        <f>"Treatment costs "&amp;intervencao1</f>
        <v>Treatment costs Drug 1</v>
      </c>
      <c r="D28" s="393" t="s">
        <v>29</v>
      </c>
      <c r="E28" s="395">
        <f t="shared" ca="1" si="1"/>
        <v>3600</v>
      </c>
      <c r="F28" s="399">
        <f ca="1">Costs!E32</f>
        <v>3600</v>
      </c>
      <c r="G28" s="397">
        <f ca="1">IF(L28="Beta",_xlfn.BETA.INV(RAND(),M28,N28),IF(L28="Gamma",_xlfn.GAMMA.INV(RAND(),M28,N28),_xlfn.NORM.INV(RAND(),F28,I28)))</f>
        <v>3079.1815296969294</v>
      </c>
      <c r="H28" s="209">
        <v>0.2</v>
      </c>
      <c r="I28" s="265">
        <f t="shared" ca="1" si="2"/>
        <v>367.34693877551024</v>
      </c>
      <c r="J28" s="392"/>
      <c r="K28" s="392"/>
      <c r="L28" s="384" t="s">
        <v>332</v>
      </c>
      <c r="M28" s="395">
        <f t="shared" ca="1" si="3"/>
        <v>96.039999999999992</v>
      </c>
      <c r="N28" s="395">
        <f t="shared" ca="1" si="4"/>
        <v>37.48438150770513</v>
      </c>
      <c r="O28" s="211"/>
      <c r="P28" s="266" t="s">
        <v>340</v>
      </c>
      <c r="Q28" s="266" t="s">
        <v>341</v>
      </c>
      <c r="R28" s="136"/>
      <c r="U28" s="139"/>
      <c r="V28" s="402">
        <f t="shared" ca="1" si="5"/>
        <v>2880</v>
      </c>
      <c r="W28" s="402">
        <f t="shared" ca="1" si="6"/>
        <v>4320</v>
      </c>
      <c r="X28" s="187"/>
    </row>
    <row r="29" spans="2:24">
      <c r="B29" s="136"/>
      <c r="C29" s="264" t="str">
        <f>"Treatment costs "&amp;intervencao2</f>
        <v>Treatment costs Drug 2</v>
      </c>
      <c r="D29" s="393" t="s">
        <v>30</v>
      </c>
      <c r="E29" s="395">
        <f t="shared" ca="1" si="1"/>
        <v>2530.5</v>
      </c>
      <c r="F29" s="399">
        <f ca="1">Costs!E33</f>
        <v>2530.5</v>
      </c>
      <c r="G29" s="397">
        <f t="shared" ca="1" si="0"/>
        <v>2221.9134467804624</v>
      </c>
      <c r="H29" s="209">
        <v>0.2</v>
      </c>
      <c r="I29" s="265">
        <f t="shared" ca="1" si="2"/>
        <v>258.21428571428567</v>
      </c>
      <c r="J29" s="392"/>
      <c r="K29" s="392"/>
      <c r="L29" s="384" t="s">
        <v>332</v>
      </c>
      <c r="M29" s="395">
        <f t="shared" ca="1" si="3"/>
        <v>96.040000000000049</v>
      </c>
      <c r="N29" s="395">
        <f t="shared" ca="1" si="4"/>
        <v>26.348396501457714</v>
      </c>
      <c r="O29" s="211"/>
      <c r="P29" s="266" t="s">
        <v>340</v>
      </c>
      <c r="Q29" s="266" t="s">
        <v>341</v>
      </c>
      <c r="R29" s="136"/>
      <c r="U29" s="139"/>
      <c r="V29" s="402">
        <f t="shared" ca="1" si="5"/>
        <v>2024.4</v>
      </c>
      <c r="W29" s="402">
        <f t="shared" ca="1" si="6"/>
        <v>3036.6</v>
      </c>
      <c r="X29" s="187"/>
    </row>
    <row r="30" spans="2:24">
      <c r="B30" s="136"/>
      <c r="C30" s="264" t="str">
        <f>"Treatment costs "&amp;intervencao3</f>
        <v xml:space="preserve">Treatment costs </v>
      </c>
      <c r="D30" s="393" t="s">
        <v>31</v>
      </c>
      <c r="E30" s="395">
        <f t="shared" ca="1" si="1"/>
        <v>0</v>
      </c>
      <c r="F30" s="399">
        <f ca="1">Costs!E34</f>
        <v>0</v>
      </c>
      <c r="G30" s="397" t="e">
        <f t="shared" ca="1" si="0"/>
        <v>#DIV/0!</v>
      </c>
      <c r="H30" s="209">
        <v>0.2</v>
      </c>
      <c r="I30" s="265">
        <f t="shared" ca="1" si="2"/>
        <v>0</v>
      </c>
      <c r="J30" s="392"/>
      <c r="K30" s="392"/>
      <c r="L30" s="384" t="s">
        <v>332</v>
      </c>
      <c r="M30" s="395" t="e">
        <f t="shared" ca="1" si="3"/>
        <v>#DIV/0!</v>
      </c>
      <c r="N30" s="395" t="e">
        <f t="shared" ca="1" si="4"/>
        <v>#DIV/0!</v>
      </c>
      <c r="O30" s="211"/>
      <c r="P30" s="266" t="s">
        <v>340</v>
      </c>
      <c r="Q30" s="266" t="s">
        <v>341</v>
      </c>
      <c r="R30" s="136"/>
      <c r="U30" s="139"/>
      <c r="V30" s="402">
        <f t="shared" ca="1" si="5"/>
        <v>0</v>
      </c>
      <c r="W30" s="402">
        <f t="shared" ca="1" si="6"/>
        <v>0</v>
      </c>
      <c r="X30" s="187"/>
    </row>
    <row r="31" spans="2:24">
      <c r="B31" s="136"/>
      <c r="C31" s="264" t="str">
        <f>"Treatment costs "&amp;intervencao4</f>
        <v xml:space="preserve">Treatment costs </v>
      </c>
      <c r="D31" s="393" t="s">
        <v>32</v>
      </c>
      <c r="E31" s="395">
        <f t="shared" ca="1" si="1"/>
        <v>0</v>
      </c>
      <c r="F31" s="399">
        <f ca="1">Costs!E35</f>
        <v>0</v>
      </c>
      <c r="G31" s="397" t="e">
        <f t="shared" ca="1" si="0"/>
        <v>#DIV/0!</v>
      </c>
      <c r="H31" s="209">
        <v>0.2</v>
      </c>
      <c r="I31" s="265">
        <f t="shared" ca="1" si="2"/>
        <v>0</v>
      </c>
      <c r="J31" s="392"/>
      <c r="K31" s="392"/>
      <c r="L31" s="384" t="s">
        <v>332</v>
      </c>
      <c r="M31" s="395" t="e">
        <f t="shared" ca="1" si="3"/>
        <v>#DIV/0!</v>
      </c>
      <c r="N31" s="395" t="e">
        <f t="shared" ca="1" si="4"/>
        <v>#DIV/0!</v>
      </c>
      <c r="O31" s="211"/>
      <c r="P31" s="266" t="s">
        <v>340</v>
      </c>
      <c r="Q31" s="266" t="s">
        <v>341</v>
      </c>
      <c r="R31" s="136"/>
      <c r="U31" s="139"/>
      <c r="V31" s="402">
        <f t="shared" ca="1" si="5"/>
        <v>0</v>
      </c>
      <c r="W31" s="402">
        <f t="shared" ca="1" si="6"/>
        <v>0</v>
      </c>
      <c r="X31" s="187"/>
    </row>
    <row r="32" spans="2:24">
      <c r="B32" s="136"/>
      <c r="C32" s="264" t="str">
        <f>"Treatment costs "&amp;comparador1</f>
        <v>Treatment costs BSC</v>
      </c>
      <c r="D32" s="393" t="s">
        <v>33</v>
      </c>
      <c r="E32" s="395">
        <f t="shared" ca="1" si="1"/>
        <v>782</v>
      </c>
      <c r="F32" s="399">
        <f ca="1">Costs!E36</f>
        <v>782</v>
      </c>
      <c r="G32" s="397">
        <f t="shared" ca="1" si="0"/>
        <v>839.74581580676579</v>
      </c>
      <c r="H32" s="209">
        <v>0.2</v>
      </c>
      <c r="I32" s="265">
        <f t="shared" ca="1" si="2"/>
        <v>79.795918367346928</v>
      </c>
      <c r="J32" s="392"/>
      <c r="K32" s="392"/>
      <c r="L32" s="384" t="s">
        <v>332</v>
      </c>
      <c r="M32" s="395">
        <f t="shared" ca="1" si="3"/>
        <v>96.040000000000035</v>
      </c>
      <c r="N32" s="395">
        <f t="shared" ca="1" si="4"/>
        <v>8.1424406497292772</v>
      </c>
      <c r="O32" s="211"/>
      <c r="P32" s="266" t="s">
        <v>340</v>
      </c>
      <c r="Q32" s="266" t="s">
        <v>341</v>
      </c>
      <c r="R32" s="136"/>
      <c r="U32" s="139"/>
      <c r="V32" s="402">
        <f t="shared" ca="1" si="5"/>
        <v>625.6</v>
      </c>
      <c r="W32" s="402">
        <f t="shared" ca="1" si="6"/>
        <v>938.4</v>
      </c>
      <c r="X32" s="187"/>
    </row>
    <row r="33" spans="2:24">
      <c r="B33" s="136"/>
      <c r="C33" s="264" t="str">
        <f>"Treatment costs "&amp;comparador2</f>
        <v xml:space="preserve">Treatment costs </v>
      </c>
      <c r="D33" s="393" t="s">
        <v>34</v>
      </c>
      <c r="E33" s="395">
        <f t="shared" ca="1" si="1"/>
        <v>0</v>
      </c>
      <c r="F33" s="399">
        <f ca="1">Costs!E37</f>
        <v>0</v>
      </c>
      <c r="G33" s="397" t="e">
        <f t="shared" ca="1" si="0"/>
        <v>#DIV/0!</v>
      </c>
      <c r="H33" s="209">
        <v>0.2</v>
      </c>
      <c r="I33" s="265">
        <f t="shared" ca="1" si="2"/>
        <v>0</v>
      </c>
      <c r="J33" s="392"/>
      <c r="K33" s="392"/>
      <c r="L33" s="384" t="s">
        <v>332</v>
      </c>
      <c r="M33" s="395" t="e">
        <f t="shared" ca="1" si="3"/>
        <v>#DIV/0!</v>
      </c>
      <c r="N33" s="395" t="e">
        <f t="shared" ca="1" si="4"/>
        <v>#DIV/0!</v>
      </c>
      <c r="O33" s="211"/>
      <c r="P33" s="266" t="s">
        <v>340</v>
      </c>
      <c r="Q33" s="266" t="s">
        <v>341</v>
      </c>
      <c r="R33" s="136"/>
      <c r="U33" s="139"/>
      <c r="V33" s="402">
        <f t="shared" ca="1" si="5"/>
        <v>0</v>
      </c>
      <c r="W33" s="402">
        <f t="shared" ca="1" si="6"/>
        <v>0</v>
      </c>
      <c r="X33" s="187"/>
    </row>
    <row r="34" spans="2:24">
      <c r="B34" s="136"/>
      <c r="C34" s="264" t="str">
        <f>"Treatment costs "&amp;comparador3</f>
        <v xml:space="preserve">Treatment costs </v>
      </c>
      <c r="D34" s="393" t="s">
        <v>35</v>
      </c>
      <c r="E34" s="395">
        <f t="shared" ca="1" si="1"/>
        <v>0</v>
      </c>
      <c r="F34" s="399">
        <f ca="1">Costs!E38</f>
        <v>0</v>
      </c>
      <c r="G34" s="397" t="e">
        <f t="shared" ca="1" si="0"/>
        <v>#DIV/0!</v>
      </c>
      <c r="H34" s="209">
        <v>0.2</v>
      </c>
      <c r="I34" s="265">
        <f t="shared" ca="1" si="2"/>
        <v>0</v>
      </c>
      <c r="J34" s="392"/>
      <c r="K34" s="392"/>
      <c r="L34" s="384" t="s">
        <v>332</v>
      </c>
      <c r="M34" s="395" t="e">
        <f t="shared" ca="1" si="3"/>
        <v>#DIV/0!</v>
      </c>
      <c r="N34" s="395" t="e">
        <f t="shared" ca="1" si="4"/>
        <v>#DIV/0!</v>
      </c>
      <c r="O34" s="211"/>
      <c r="P34" s="266" t="s">
        <v>340</v>
      </c>
      <c r="Q34" s="266" t="s">
        <v>341</v>
      </c>
      <c r="R34" s="136"/>
      <c r="U34" s="139"/>
      <c r="V34" s="402">
        <f t="shared" ca="1" si="5"/>
        <v>0</v>
      </c>
      <c r="W34" s="402">
        <f t="shared" ca="1" si="6"/>
        <v>0</v>
      </c>
      <c r="X34" s="187"/>
    </row>
    <row r="35" spans="2:24">
      <c r="B35" s="136"/>
      <c r="C35" s="264" t="str">
        <f>"Treatment costs "&amp;comparador4</f>
        <v xml:space="preserve">Treatment costs </v>
      </c>
      <c r="D35" s="393" t="s">
        <v>36</v>
      </c>
      <c r="E35" s="395">
        <f t="shared" ca="1" si="1"/>
        <v>0</v>
      </c>
      <c r="F35" s="399">
        <f ca="1">Costs!E39</f>
        <v>0</v>
      </c>
      <c r="G35" s="397" t="e">
        <f t="shared" ca="1" si="0"/>
        <v>#DIV/0!</v>
      </c>
      <c r="H35" s="209">
        <v>0.2</v>
      </c>
      <c r="I35" s="265">
        <f t="shared" ca="1" si="2"/>
        <v>0</v>
      </c>
      <c r="J35" s="392"/>
      <c r="K35" s="392"/>
      <c r="L35" s="384" t="s">
        <v>332</v>
      </c>
      <c r="M35" s="395" t="e">
        <f t="shared" ca="1" si="3"/>
        <v>#DIV/0!</v>
      </c>
      <c r="N35" s="395" t="e">
        <f t="shared" ca="1" si="4"/>
        <v>#DIV/0!</v>
      </c>
      <c r="O35" s="211"/>
      <c r="P35" s="266" t="s">
        <v>340</v>
      </c>
      <c r="Q35" s="266" t="s">
        <v>341</v>
      </c>
      <c r="R35" s="136"/>
      <c r="U35" s="139"/>
      <c r="V35" s="402">
        <f t="shared" ca="1" si="5"/>
        <v>0</v>
      </c>
      <c r="W35" s="402">
        <f t="shared" ca="1" si="6"/>
        <v>0</v>
      </c>
      <c r="X35" s="187"/>
    </row>
    <row r="36" spans="2:24">
      <c r="B36" s="136"/>
      <c r="C36" s="264" t="str">
        <f>"Treatment costs "&amp;comparador5</f>
        <v xml:space="preserve">Treatment costs </v>
      </c>
      <c r="D36" s="393" t="s">
        <v>37</v>
      </c>
      <c r="E36" s="395">
        <f t="shared" ca="1" si="1"/>
        <v>0</v>
      </c>
      <c r="F36" s="399">
        <f ca="1">Costs!E40</f>
        <v>0</v>
      </c>
      <c r="G36" s="397" t="e">
        <f t="shared" ca="1" si="0"/>
        <v>#DIV/0!</v>
      </c>
      <c r="H36" s="209">
        <v>0.2</v>
      </c>
      <c r="I36" s="265">
        <f t="shared" ca="1" si="2"/>
        <v>0</v>
      </c>
      <c r="J36" s="392"/>
      <c r="K36" s="392"/>
      <c r="L36" s="384" t="s">
        <v>332</v>
      </c>
      <c r="M36" s="395" t="e">
        <f t="shared" ca="1" si="3"/>
        <v>#DIV/0!</v>
      </c>
      <c r="N36" s="395" t="e">
        <f t="shared" ca="1" si="4"/>
        <v>#DIV/0!</v>
      </c>
      <c r="O36" s="211"/>
      <c r="P36" s="266" t="s">
        <v>340</v>
      </c>
      <c r="Q36" s="266" t="s">
        <v>341</v>
      </c>
      <c r="R36" s="136"/>
      <c r="U36" s="139"/>
      <c r="V36" s="402">
        <f t="shared" ca="1" si="5"/>
        <v>0</v>
      </c>
      <c r="W36" s="402">
        <f t="shared" ca="1" si="6"/>
        <v>0</v>
      </c>
      <c r="X36" s="187"/>
    </row>
    <row r="37" spans="2:24">
      <c r="B37" s="136"/>
      <c r="C37" s="264" t="str">
        <f>"Treatment costs "&amp;comparador6</f>
        <v xml:space="preserve">Treatment costs </v>
      </c>
      <c r="D37" s="393" t="s">
        <v>38</v>
      </c>
      <c r="E37" s="395">
        <f t="shared" ca="1" si="1"/>
        <v>0</v>
      </c>
      <c r="F37" s="399">
        <f ca="1">Costs!E41</f>
        <v>0</v>
      </c>
      <c r="G37" s="397" t="e">
        <f t="shared" ca="1" si="0"/>
        <v>#DIV/0!</v>
      </c>
      <c r="H37" s="209">
        <v>0.2</v>
      </c>
      <c r="I37" s="265">
        <f t="shared" ca="1" si="2"/>
        <v>0</v>
      </c>
      <c r="J37" s="392"/>
      <c r="K37" s="392"/>
      <c r="L37" s="384" t="s">
        <v>332</v>
      </c>
      <c r="M37" s="395" t="e">
        <f t="shared" ca="1" si="3"/>
        <v>#DIV/0!</v>
      </c>
      <c r="N37" s="395" t="e">
        <f t="shared" ca="1" si="4"/>
        <v>#DIV/0!</v>
      </c>
      <c r="O37" s="211"/>
      <c r="P37" s="266" t="s">
        <v>340</v>
      </c>
      <c r="Q37" s="266" t="s">
        <v>341</v>
      </c>
      <c r="R37" s="136"/>
      <c r="U37" s="139"/>
      <c r="V37" s="402">
        <f t="shared" ca="1" si="5"/>
        <v>0</v>
      </c>
      <c r="W37" s="402">
        <f t="shared" ca="1" si="6"/>
        <v>0</v>
      </c>
      <c r="X37" s="187"/>
    </row>
    <row r="38" spans="2:24">
      <c r="B38" s="136"/>
      <c r="C38" s="264" t="str">
        <f>"Treatment costs "&amp;comparador7</f>
        <v xml:space="preserve">Treatment costs </v>
      </c>
      <c r="D38" s="393" t="s">
        <v>39</v>
      </c>
      <c r="E38" s="395">
        <f t="shared" ca="1" si="1"/>
        <v>0</v>
      </c>
      <c r="F38" s="399">
        <f ca="1">Costs!E42</f>
        <v>0</v>
      </c>
      <c r="G38" s="397" t="e">
        <f t="shared" ca="1" si="0"/>
        <v>#DIV/0!</v>
      </c>
      <c r="H38" s="209">
        <v>0.2</v>
      </c>
      <c r="I38" s="265">
        <f t="shared" ca="1" si="2"/>
        <v>0</v>
      </c>
      <c r="J38" s="392"/>
      <c r="K38" s="392"/>
      <c r="L38" s="384" t="s">
        <v>332</v>
      </c>
      <c r="M38" s="395" t="e">
        <f t="shared" ca="1" si="3"/>
        <v>#DIV/0!</v>
      </c>
      <c r="N38" s="395" t="e">
        <f t="shared" ca="1" si="4"/>
        <v>#DIV/0!</v>
      </c>
      <c r="O38" s="211"/>
      <c r="P38" s="266" t="s">
        <v>340</v>
      </c>
      <c r="Q38" s="266" t="s">
        <v>341</v>
      </c>
      <c r="R38" s="136"/>
      <c r="U38" s="139"/>
      <c r="V38" s="402">
        <f t="shared" ca="1" si="5"/>
        <v>0</v>
      </c>
      <c r="W38" s="402">
        <f t="shared" ca="1" si="6"/>
        <v>0</v>
      </c>
      <c r="X38" s="187"/>
    </row>
    <row r="39" spans="2:24">
      <c r="B39" s="136"/>
      <c r="C39" s="264" t="str">
        <f>"Treatment costs "&amp;comparador8</f>
        <v xml:space="preserve">Treatment costs </v>
      </c>
      <c r="D39" s="393" t="s">
        <v>40</v>
      </c>
      <c r="E39" s="395">
        <f t="shared" ca="1" si="1"/>
        <v>0</v>
      </c>
      <c r="F39" s="399">
        <f ca="1">Costs!E43</f>
        <v>0</v>
      </c>
      <c r="G39" s="397" t="e">
        <f t="shared" ca="1" si="0"/>
        <v>#DIV/0!</v>
      </c>
      <c r="H39" s="209">
        <v>0.2</v>
      </c>
      <c r="I39" s="265">
        <f t="shared" ca="1" si="2"/>
        <v>0</v>
      </c>
      <c r="J39" s="392"/>
      <c r="K39" s="392"/>
      <c r="L39" s="384" t="s">
        <v>332</v>
      </c>
      <c r="M39" s="395" t="e">
        <f t="shared" ca="1" si="3"/>
        <v>#DIV/0!</v>
      </c>
      <c r="N39" s="395" t="e">
        <f t="shared" ca="1" si="4"/>
        <v>#DIV/0!</v>
      </c>
      <c r="O39" s="211"/>
      <c r="P39" s="266" t="s">
        <v>340</v>
      </c>
      <c r="Q39" s="266" t="s">
        <v>341</v>
      </c>
      <c r="R39" s="136"/>
      <c r="U39" s="139"/>
      <c r="V39" s="402">
        <f t="shared" ca="1" si="5"/>
        <v>0</v>
      </c>
      <c r="W39" s="402">
        <f t="shared" ca="1" si="6"/>
        <v>0</v>
      </c>
      <c r="X39" s="187"/>
    </row>
    <row r="40" spans="2:24">
      <c r="B40" s="136"/>
      <c r="C40" s="264" t="str">
        <f>"Treatment costs "&amp;comparador9</f>
        <v xml:space="preserve">Treatment costs </v>
      </c>
      <c r="D40" s="393" t="s">
        <v>41</v>
      </c>
      <c r="E40" s="395">
        <f t="shared" ca="1" si="1"/>
        <v>0</v>
      </c>
      <c r="F40" s="399">
        <f ca="1">Costs!E44</f>
        <v>0</v>
      </c>
      <c r="G40" s="397" t="e">
        <f t="shared" ca="1" si="0"/>
        <v>#DIV/0!</v>
      </c>
      <c r="H40" s="209">
        <v>0.2</v>
      </c>
      <c r="I40" s="265">
        <f t="shared" ca="1" si="2"/>
        <v>0</v>
      </c>
      <c r="J40" s="392"/>
      <c r="K40" s="392"/>
      <c r="L40" s="384" t="s">
        <v>332</v>
      </c>
      <c r="M40" s="395" t="e">
        <f t="shared" ca="1" si="3"/>
        <v>#DIV/0!</v>
      </c>
      <c r="N40" s="395" t="e">
        <f t="shared" ca="1" si="4"/>
        <v>#DIV/0!</v>
      </c>
      <c r="O40" s="211"/>
      <c r="P40" s="266" t="s">
        <v>340</v>
      </c>
      <c r="Q40" s="266" t="s">
        <v>341</v>
      </c>
      <c r="R40" s="136"/>
      <c r="U40" s="139"/>
      <c r="V40" s="402">
        <f t="shared" ca="1" si="5"/>
        <v>0</v>
      </c>
      <c r="W40" s="402">
        <f t="shared" ca="1" si="6"/>
        <v>0</v>
      </c>
      <c r="X40" s="187"/>
    </row>
    <row r="41" spans="2:24">
      <c r="B41" s="136"/>
      <c r="C41" s="264" t="str">
        <f>"Treatment costs "&amp;comparador10</f>
        <v xml:space="preserve">Treatment costs </v>
      </c>
      <c r="D41" s="393" t="s">
        <v>42</v>
      </c>
      <c r="E41" s="395">
        <f t="shared" ca="1" si="1"/>
        <v>0</v>
      </c>
      <c r="F41" s="399">
        <f ca="1">Costs!E45</f>
        <v>0</v>
      </c>
      <c r="G41" s="397" t="e">
        <f t="shared" ca="1" si="0"/>
        <v>#DIV/0!</v>
      </c>
      <c r="H41" s="209">
        <v>0.2</v>
      </c>
      <c r="I41" s="265">
        <f t="shared" ca="1" si="2"/>
        <v>0</v>
      </c>
      <c r="J41" s="392"/>
      <c r="K41" s="392"/>
      <c r="L41" s="384" t="s">
        <v>332</v>
      </c>
      <c r="M41" s="395" t="e">
        <f t="shared" ca="1" si="3"/>
        <v>#DIV/0!</v>
      </c>
      <c r="N41" s="395" t="e">
        <f t="shared" ca="1" si="4"/>
        <v>#DIV/0!</v>
      </c>
      <c r="O41" s="211"/>
      <c r="P41" s="266" t="s">
        <v>340</v>
      </c>
      <c r="Q41" s="266" t="s">
        <v>341</v>
      </c>
      <c r="R41" s="136"/>
      <c r="U41" s="139"/>
      <c r="V41" s="402">
        <f t="shared" ca="1" si="5"/>
        <v>0</v>
      </c>
      <c r="W41" s="402">
        <f t="shared" ca="1" si="6"/>
        <v>0</v>
      </c>
      <c r="X41" s="187"/>
    </row>
    <row r="42" spans="2:24">
      <c r="B42" s="136"/>
      <c r="C42" s="264" t="str">
        <f>"Additional costs "&amp;intervencao1</f>
        <v>Additional costs Drug 1</v>
      </c>
      <c r="D42" s="393" t="s">
        <v>43</v>
      </c>
      <c r="E42" s="395">
        <f t="shared" ca="1" si="1"/>
        <v>0</v>
      </c>
      <c r="F42" s="399">
        <f ca="1">Costs!F32</f>
        <v>0</v>
      </c>
      <c r="G42" s="397" t="e">
        <f t="shared" ca="1" si="0"/>
        <v>#DIV/0!</v>
      </c>
      <c r="H42" s="209">
        <v>0.2</v>
      </c>
      <c r="I42" s="265">
        <f t="shared" ca="1" si="2"/>
        <v>0</v>
      </c>
      <c r="J42" s="392"/>
      <c r="K42" s="392"/>
      <c r="L42" s="384" t="s">
        <v>332</v>
      </c>
      <c r="M42" s="395" t="e">
        <f t="shared" ca="1" si="3"/>
        <v>#DIV/0!</v>
      </c>
      <c r="N42" s="395" t="e">
        <f t="shared" ca="1" si="4"/>
        <v>#DIV/0!</v>
      </c>
      <c r="O42" s="211"/>
      <c r="P42" s="266" t="s">
        <v>340</v>
      </c>
      <c r="Q42" s="266" t="s">
        <v>341</v>
      </c>
      <c r="R42" s="136"/>
      <c r="U42" s="139"/>
      <c r="V42" s="402">
        <f t="shared" ca="1" si="5"/>
        <v>0</v>
      </c>
      <c r="W42" s="402">
        <f t="shared" ca="1" si="6"/>
        <v>0</v>
      </c>
      <c r="X42" s="187"/>
    </row>
    <row r="43" spans="2:24">
      <c r="B43" s="136"/>
      <c r="C43" s="264" t="str">
        <f>"Additional costs "&amp;intervencao2</f>
        <v>Additional costs Drug 2</v>
      </c>
      <c r="D43" s="393" t="s">
        <v>44</v>
      </c>
      <c r="E43" s="395">
        <f t="shared" ca="1" si="1"/>
        <v>0</v>
      </c>
      <c r="F43" s="399">
        <f ca="1">Costs!F33</f>
        <v>0</v>
      </c>
      <c r="G43" s="397" t="e">
        <f t="shared" ca="1" si="0"/>
        <v>#DIV/0!</v>
      </c>
      <c r="H43" s="209">
        <v>0.2</v>
      </c>
      <c r="I43" s="265">
        <f t="shared" ca="1" si="2"/>
        <v>0</v>
      </c>
      <c r="J43" s="392"/>
      <c r="K43" s="392"/>
      <c r="L43" s="384" t="s">
        <v>332</v>
      </c>
      <c r="M43" s="395" t="e">
        <f t="shared" ca="1" si="3"/>
        <v>#DIV/0!</v>
      </c>
      <c r="N43" s="395" t="e">
        <f t="shared" ca="1" si="4"/>
        <v>#DIV/0!</v>
      </c>
      <c r="O43" s="211"/>
      <c r="P43" s="266" t="s">
        <v>340</v>
      </c>
      <c r="Q43" s="266" t="s">
        <v>341</v>
      </c>
      <c r="R43" s="136"/>
      <c r="U43" s="139"/>
      <c r="V43" s="402">
        <f t="shared" ca="1" si="5"/>
        <v>0</v>
      </c>
      <c r="W43" s="402">
        <f t="shared" ca="1" si="6"/>
        <v>0</v>
      </c>
      <c r="X43" s="187"/>
    </row>
    <row r="44" spans="2:24">
      <c r="B44" s="136"/>
      <c r="C44" s="264" t="str">
        <f>"Additional costs "&amp;intervencao3</f>
        <v xml:space="preserve">Additional costs </v>
      </c>
      <c r="D44" s="393" t="s">
        <v>45</v>
      </c>
      <c r="E44" s="395">
        <f t="shared" ca="1" si="1"/>
        <v>0</v>
      </c>
      <c r="F44" s="399">
        <f ca="1">Costs!F34</f>
        <v>0</v>
      </c>
      <c r="G44" s="397" t="e">
        <f t="shared" ca="1" si="0"/>
        <v>#DIV/0!</v>
      </c>
      <c r="H44" s="209">
        <v>0.2</v>
      </c>
      <c r="I44" s="265">
        <f t="shared" ca="1" si="2"/>
        <v>0</v>
      </c>
      <c r="J44" s="392"/>
      <c r="K44" s="392"/>
      <c r="L44" s="384" t="s">
        <v>332</v>
      </c>
      <c r="M44" s="395" t="e">
        <f t="shared" ca="1" si="3"/>
        <v>#DIV/0!</v>
      </c>
      <c r="N44" s="395" t="e">
        <f t="shared" ca="1" si="4"/>
        <v>#DIV/0!</v>
      </c>
      <c r="O44" s="211"/>
      <c r="P44" s="266" t="s">
        <v>340</v>
      </c>
      <c r="Q44" s="266" t="s">
        <v>341</v>
      </c>
      <c r="R44" s="136"/>
      <c r="U44" s="139"/>
      <c r="V44" s="402">
        <f t="shared" ca="1" si="5"/>
        <v>0</v>
      </c>
      <c r="W44" s="402">
        <f t="shared" ca="1" si="6"/>
        <v>0</v>
      </c>
      <c r="X44" s="187"/>
    </row>
    <row r="45" spans="2:24">
      <c r="B45" s="136"/>
      <c r="C45" s="264" t="str">
        <f>"Additional costs "&amp;intervencao4</f>
        <v xml:space="preserve">Additional costs </v>
      </c>
      <c r="D45" s="393" t="s">
        <v>46</v>
      </c>
      <c r="E45" s="395">
        <f t="shared" ca="1" si="1"/>
        <v>0</v>
      </c>
      <c r="F45" s="399">
        <f ca="1">Costs!F35</f>
        <v>0</v>
      </c>
      <c r="G45" s="397" t="e">
        <f t="shared" ca="1" si="0"/>
        <v>#DIV/0!</v>
      </c>
      <c r="H45" s="209">
        <v>0.2</v>
      </c>
      <c r="I45" s="265">
        <f t="shared" ca="1" si="2"/>
        <v>0</v>
      </c>
      <c r="J45" s="392"/>
      <c r="K45" s="392"/>
      <c r="L45" s="384" t="s">
        <v>332</v>
      </c>
      <c r="M45" s="395" t="e">
        <f t="shared" ca="1" si="3"/>
        <v>#DIV/0!</v>
      </c>
      <c r="N45" s="395" t="e">
        <f t="shared" ca="1" si="4"/>
        <v>#DIV/0!</v>
      </c>
      <c r="O45" s="211"/>
      <c r="P45" s="266" t="s">
        <v>340</v>
      </c>
      <c r="Q45" s="266" t="s">
        <v>341</v>
      </c>
      <c r="R45" s="136"/>
      <c r="U45" s="139"/>
      <c r="V45" s="402">
        <f t="shared" ca="1" si="5"/>
        <v>0</v>
      </c>
      <c r="W45" s="402">
        <f t="shared" ca="1" si="6"/>
        <v>0</v>
      </c>
      <c r="X45" s="187"/>
    </row>
    <row r="46" spans="2:24">
      <c r="B46" s="136"/>
      <c r="C46" s="264" t="str">
        <f>"Additional costs "&amp;comparador1</f>
        <v>Additional costs BSC</v>
      </c>
      <c r="D46" s="393" t="s">
        <v>47</v>
      </c>
      <c r="E46" s="395">
        <f t="shared" ca="1" si="1"/>
        <v>0</v>
      </c>
      <c r="F46" s="399">
        <f ca="1">Costs!F36</f>
        <v>0</v>
      </c>
      <c r="G46" s="397" t="e">
        <f t="shared" ca="1" si="0"/>
        <v>#DIV/0!</v>
      </c>
      <c r="H46" s="209">
        <v>0.2</v>
      </c>
      <c r="I46" s="265">
        <f t="shared" ca="1" si="2"/>
        <v>0</v>
      </c>
      <c r="J46" s="392"/>
      <c r="K46" s="392"/>
      <c r="L46" s="384" t="s">
        <v>332</v>
      </c>
      <c r="M46" s="395" t="e">
        <f t="shared" ca="1" si="3"/>
        <v>#DIV/0!</v>
      </c>
      <c r="N46" s="395" t="e">
        <f t="shared" ca="1" si="4"/>
        <v>#DIV/0!</v>
      </c>
      <c r="O46" s="211"/>
      <c r="P46" s="266" t="s">
        <v>340</v>
      </c>
      <c r="Q46" s="266" t="s">
        <v>341</v>
      </c>
      <c r="R46" s="136"/>
      <c r="U46" s="139"/>
      <c r="V46" s="402">
        <f t="shared" ca="1" si="5"/>
        <v>0</v>
      </c>
      <c r="W46" s="402">
        <f t="shared" ca="1" si="6"/>
        <v>0</v>
      </c>
      <c r="X46" s="187"/>
    </row>
    <row r="47" spans="2:24">
      <c r="B47" s="136"/>
      <c r="C47" s="264" t="str">
        <f>"Additional costs "&amp;comparador2</f>
        <v xml:space="preserve">Additional costs </v>
      </c>
      <c r="D47" s="393" t="s">
        <v>48</v>
      </c>
      <c r="E47" s="395">
        <f t="shared" ca="1" si="1"/>
        <v>0</v>
      </c>
      <c r="F47" s="399">
        <f ca="1">Costs!F37</f>
        <v>0</v>
      </c>
      <c r="G47" s="397" t="e">
        <f t="shared" ca="1" si="0"/>
        <v>#DIV/0!</v>
      </c>
      <c r="H47" s="209">
        <v>0.2</v>
      </c>
      <c r="I47" s="265">
        <f t="shared" ca="1" si="2"/>
        <v>0</v>
      </c>
      <c r="J47" s="392"/>
      <c r="K47" s="392"/>
      <c r="L47" s="384" t="s">
        <v>332</v>
      </c>
      <c r="M47" s="395" t="e">
        <f t="shared" ca="1" si="3"/>
        <v>#DIV/0!</v>
      </c>
      <c r="N47" s="395" t="e">
        <f t="shared" ca="1" si="4"/>
        <v>#DIV/0!</v>
      </c>
      <c r="O47" s="211"/>
      <c r="P47" s="266" t="s">
        <v>340</v>
      </c>
      <c r="Q47" s="266" t="s">
        <v>341</v>
      </c>
      <c r="R47" s="136"/>
      <c r="U47" s="139"/>
      <c r="V47" s="402">
        <f t="shared" ca="1" si="5"/>
        <v>0</v>
      </c>
      <c r="W47" s="402">
        <f t="shared" ca="1" si="6"/>
        <v>0</v>
      </c>
      <c r="X47" s="187"/>
    </row>
    <row r="48" spans="2:24">
      <c r="B48" s="136"/>
      <c r="C48" s="264" t="str">
        <f>"Additional costs "&amp;comparador3</f>
        <v xml:space="preserve">Additional costs </v>
      </c>
      <c r="D48" s="393" t="s">
        <v>49</v>
      </c>
      <c r="E48" s="395">
        <f t="shared" ca="1" si="1"/>
        <v>0</v>
      </c>
      <c r="F48" s="399">
        <f ca="1">Costs!F38</f>
        <v>0</v>
      </c>
      <c r="G48" s="397" t="e">
        <f t="shared" ca="1" si="0"/>
        <v>#DIV/0!</v>
      </c>
      <c r="H48" s="209">
        <v>0.2</v>
      </c>
      <c r="I48" s="265">
        <f t="shared" ca="1" si="2"/>
        <v>0</v>
      </c>
      <c r="J48" s="392"/>
      <c r="K48" s="392"/>
      <c r="L48" s="384" t="s">
        <v>332</v>
      </c>
      <c r="M48" s="395" t="e">
        <f t="shared" ca="1" si="3"/>
        <v>#DIV/0!</v>
      </c>
      <c r="N48" s="395" t="e">
        <f t="shared" ca="1" si="4"/>
        <v>#DIV/0!</v>
      </c>
      <c r="O48" s="211"/>
      <c r="P48" s="266" t="s">
        <v>340</v>
      </c>
      <c r="Q48" s="266" t="s">
        <v>341</v>
      </c>
      <c r="R48" s="136"/>
      <c r="U48" s="139"/>
      <c r="V48" s="402">
        <f t="shared" ca="1" si="5"/>
        <v>0</v>
      </c>
      <c r="W48" s="402">
        <f t="shared" ca="1" si="6"/>
        <v>0</v>
      </c>
      <c r="X48" s="187"/>
    </row>
    <row r="49" spans="3:24">
      <c r="C49" s="264" t="str">
        <f>"Additional costs "&amp;comparador4</f>
        <v xml:space="preserve">Additional costs </v>
      </c>
      <c r="D49" s="393" t="s">
        <v>50</v>
      </c>
      <c r="E49" s="395">
        <f t="shared" ca="1" si="1"/>
        <v>0</v>
      </c>
      <c r="F49" s="399">
        <f ca="1">Costs!F39</f>
        <v>0</v>
      </c>
      <c r="G49" s="397" t="e">
        <f t="shared" ca="1" si="0"/>
        <v>#DIV/0!</v>
      </c>
      <c r="H49" s="209">
        <v>0.2</v>
      </c>
      <c r="I49" s="265">
        <f t="shared" ca="1" si="2"/>
        <v>0</v>
      </c>
      <c r="J49" s="392"/>
      <c r="K49" s="392"/>
      <c r="L49" s="384" t="s">
        <v>332</v>
      </c>
      <c r="M49" s="395" t="e">
        <f t="shared" ca="1" si="3"/>
        <v>#DIV/0!</v>
      </c>
      <c r="N49" s="395" t="e">
        <f t="shared" ca="1" si="4"/>
        <v>#DIV/0!</v>
      </c>
      <c r="O49" s="211"/>
      <c r="P49" s="266" t="s">
        <v>340</v>
      </c>
      <c r="Q49" s="266" t="s">
        <v>341</v>
      </c>
      <c r="U49" s="139"/>
      <c r="V49" s="402">
        <f t="shared" ca="1" si="5"/>
        <v>0</v>
      </c>
      <c r="W49" s="402">
        <f t="shared" ca="1" si="6"/>
        <v>0</v>
      </c>
      <c r="X49" s="187"/>
    </row>
    <row r="50" spans="3:24">
      <c r="C50" s="264" t="str">
        <f>"Additional costs "&amp;comparador5</f>
        <v xml:space="preserve">Additional costs </v>
      </c>
      <c r="D50" s="393" t="s">
        <v>51</v>
      </c>
      <c r="E50" s="395">
        <f t="shared" ca="1" si="1"/>
        <v>0</v>
      </c>
      <c r="F50" s="399">
        <f ca="1">Costs!F40</f>
        <v>0</v>
      </c>
      <c r="G50" s="397" t="e">
        <f t="shared" ca="1" si="0"/>
        <v>#DIV/0!</v>
      </c>
      <c r="H50" s="209">
        <v>0.2</v>
      </c>
      <c r="I50" s="265">
        <f t="shared" ca="1" si="2"/>
        <v>0</v>
      </c>
      <c r="J50" s="392"/>
      <c r="K50" s="392"/>
      <c r="L50" s="384" t="s">
        <v>332</v>
      </c>
      <c r="M50" s="395" t="e">
        <f t="shared" ca="1" si="3"/>
        <v>#DIV/0!</v>
      </c>
      <c r="N50" s="395" t="e">
        <f t="shared" ca="1" si="4"/>
        <v>#DIV/0!</v>
      </c>
      <c r="O50" s="211"/>
      <c r="P50" s="266" t="s">
        <v>340</v>
      </c>
      <c r="Q50" s="266" t="s">
        <v>341</v>
      </c>
      <c r="U50" s="139"/>
      <c r="V50" s="402">
        <f t="shared" ca="1" si="5"/>
        <v>0</v>
      </c>
      <c r="W50" s="402">
        <f t="shared" ca="1" si="6"/>
        <v>0</v>
      </c>
      <c r="X50" s="187"/>
    </row>
    <row r="51" spans="3:24">
      <c r="C51" s="264" t="str">
        <f>"Additional costs "&amp;comparador6</f>
        <v xml:space="preserve">Additional costs </v>
      </c>
      <c r="D51" s="393" t="s">
        <v>52</v>
      </c>
      <c r="E51" s="395">
        <f t="shared" ca="1" si="1"/>
        <v>0</v>
      </c>
      <c r="F51" s="399">
        <f ca="1">Costs!F41</f>
        <v>0</v>
      </c>
      <c r="G51" s="397" t="e">
        <f t="shared" ca="1" si="0"/>
        <v>#DIV/0!</v>
      </c>
      <c r="H51" s="209">
        <v>0.2</v>
      </c>
      <c r="I51" s="265">
        <f t="shared" ca="1" si="2"/>
        <v>0</v>
      </c>
      <c r="J51" s="392"/>
      <c r="K51" s="392"/>
      <c r="L51" s="384" t="s">
        <v>332</v>
      </c>
      <c r="M51" s="395" t="e">
        <f t="shared" ca="1" si="3"/>
        <v>#DIV/0!</v>
      </c>
      <c r="N51" s="395" t="e">
        <f t="shared" ca="1" si="4"/>
        <v>#DIV/0!</v>
      </c>
      <c r="O51" s="211"/>
      <c r="P51" s="266" t="s">
        <v>340</v>
      </c>
      <c r="Q51" s="266" t="s">
        <v>341</v>
      </c>
      <c r="U51" s="139"/>
      <c r="V51" s="402">
        <f t="shared" ca="1" si="5"/>
        <v>0</v>
      </c>
      <c r="W51" s="402">
        <f t="shared" ca="1" si="6"/>
        <v>0</v>
      </c>
      <c r="X51" s="187"/>
    </row>
    <row r="52" spans="3:24">
      <c r="C52" s="264" t="str">
        <f>"Additional costs "&amp;comparador7</f>
        <v xml:space="preserve">Additional costs </v>
      </c>
      <c r="D52" s="393" t="s">
        <v>53</v>
      </c>
      <c r="E52" s="395">
        <f t="shared" ca="1" si="1"/>
        <v>0</v>
      </c>
      <c r="F52" s="399">
        <f ca="1">Costs!F42</f>
        <v>0</v>
      </c>
      <c r="G52" s="397" t="e">
        <f t="shared" ca="1" si="0"/>
        <v>#DIV/0!</v>
      </c>
      <c r="H52" s="209">
        <v>0.2</v>
      </c>
      <c r="I52" s="265">
        <f t="shared" ca="1" si="2"/>
        <v>0</v>
      </c>
      <c r="J52" s="392"/>
      <c r="K52" s="392"/>
      <c r="L52" s="384" t="s">
        <v>332</v>
      </c>
      <c r="M52" s="395" t="e">
        <f t="shared" ca="1" si="3"/>
        <v>#DIV/0!</v>
      </c>
      <c r="N52" s="395" t="e">
        <f t="shared" ca="1" si="4"/>
        <v>#DIV/0!</v>
      </c>
      <c r="O52" s="211"/>
      <c r="P52" s="266" t="s">
        <v>340</v>
      </c>
      <c r="Q52" s="266" t="s">
        <v>341</v>
      </c>
      <c r="U52" s="139"/>
      <c r="V52" s="402">
        <f t="shared" ca="1" si="5"/>
        <v>0</v>
      </c>
      <c r="W52" s="402">
        <f t="shared" ca="1" si="6"/>
        <v>0</v>
      </c>
      <c r="X52" s="187"/>
    </row>
    <row r="53" spans="3:24">
      <c r="C53" s="264" t="str">
        <f>"Additional costs "&amp;comparador8</f>
        <v xml:space="preserve">Additional costs </v>
      </c>
      <c r="D53" s="393" t="s">
        <v>54</v>
      </c>
      <c r="E53" s="395">
        <f t="shared" ca="1" si="1"/>
        <v>0</v>
      </c>
      <c r="F53" s="399">
        <f ca="1">Costs!F43</f>
        <v>0</v>
      </c>
      <c r="G53" s="397" t="e">
        <f t="shared" ca="1" si="0"/>
        <v>#DIV/0!</v>
      </c>
      <c r="H53" s="209">
        <v>0.2</v>
      </c>
      <c r="I53" s="265">
        <f t="shared" ca="1" si="2"/>
        <v>0</v>
      </c>
      <c r="J53" s="392"/>
      <c r="K53" s="392"/>
      <c r="L53" s="384" t="s">
        <v>332</v>
      </c>
      <c r="M53" s="395" t="e">
        <f t="shared" ca="1" si="3"/>
        <v>#DIV/0!</v>
      </c>
      <c r="N53" s="395" t="e">
        <f t="shared" ca="1" si="4"/>
        <v>#DIV/0!</v>
      </c>
      <c r="O53" s="211"/>
      <c r="P53" s="266" t="s">
        <v>340</v>
      </c>
      <c r="Q53" s="266" t="s">
        <v>341</v>
      </c>
      <c r="U53" s="139"/>
      <c r="V53" s="402">
        <f t="shared" ca="1" si="5"/>
        <v>0</v>
      </c>
      <c r="W53" s="402">
        <f t="shared" ca="1" si="6"/>
        <v>0</v>
      </c>
      <c r="X53" s="187"/>
    </row>
    <row r="54" spans="3:24">
      <c r="C54" s="264" t="str">
        <f>"Additional costs "&amp;comparador9</f>
        <v xml:space="preserve">Additional costs </v>
      </c>
      <c r="D54" s="393" t="s">
        <v>55</v>
      </c>
      <c r="E54" s="395">
        <f t="shared" ca="1" si="1"/>
        <v>0</v>
      </c>
      <c r="F54" s="399">
        <f ca="1">Costs!F44</f>
        <v>0</v>
      </c>
      <c r="G54" s="397" t="e">
        <f t="shared" ca="1" si="0"/>
        <v>#DIV/0!</v>
      </c>
      <c r="H54" s="209">
        <v>0.2</v>
      </c>
      <c r="I54" s="265">
        <f t="shared" ca="1" si="2"/>
        <v>0</v>
      </c>
      <c r="J54" s="392"/>
      <c r="K54" s="392"/>
      <c r="L54" s="384" t="s">
        <v>332</v>
      </c>
      <c r="M54" s="395" t="e">
        <f t="shared" ca="1" si="3"/>
        <v>#DIV/0!</v>
      </c>
      <c r="N54" s="395" t="e">
        <f t="shared" ca="1" si="4"/>
        <v>#DIV/0!</v>
      </c>
      <c r="O54" s="211"/>
      <c r="P54" s="266" t="s">
        <v>340</v>
      </c>
      <c r="Q54" s="266" t="s">
        <v>341</v>
      </c>
      <c r="U54" s="139"/>
      <c r="V54" s="402">
        <f t="shared" ca="1" si="5"/>
        <v>0</v>
      </c>
      <c r="W54" s="402">
        <f t="shared" ca="1" si="6"/>
        <v>0</v>
      </c>
      <c r="X54" s="187"/>
    </row>
    <row r="55" spans="3:24">
      <c r="C55" s="264" t="str">
        <f>"Additional costs "&amp;comparador10</f>
        <v xml:space="preserve">Additional costs </v>
      </c>
      <c r="D55" s="393" t="s">
        <v>56</v>
      </c>
      <c r="E55" s="395">
        <f t="shared" ca="1" si="1"/>
        <v>0</v>
      </c>
      <c r="F55" s="399">
        <f ca="1">Costs!F45</f>
        <v>0</v>
      </c>
      <c r="G55" s="397" t="e">
        <f t="shared" ca="1" si="0"/>
        <v>#DIV/0!</v>
      </c>
      <c r="H55" s="209">
        <v>0.2</v>
      </c>
      <c r="I55" s="265">
        <f t="shared" ca="1" si="2"/>
        <v>0</v>
      </c>
      <c r="J55" s="392"/>
      <c r="K55" s="392"/>
      <c r="L55" s="384" t="s">
        <v>332</v>
      </c>
      <c r="M55" s="395" t="e">
        <f t="shared" ca="1" si="3"/>
        <v>#DIV/0!</v>
      </c>
      <c r="N55" s="395" t="e">
        <f t="shared" ca="1" si="4"/>
        <v>#DIV/0!</v>
      </c>
      <c r="O55" s="211"/>
      <c r="P55" s="266" t="s">
        <v>340</v>
      </c>
      <c r="Q55" s="266" t="s">
        <v>341</v>
      </c>
      <c r="U55" s="139"/>
      <c r="V55" s="402">
        <f t="shared" ca="1" si="5"/>
        <v>0</v>
      </c>
      <c r="W55" s="402">
        <f t="shared" ca="1" si="6"/>
        <v>0</v>
      </c>
      <c r="X55" s="187"/>
    </row>
    <row r="56" spans="3:24">
      <c r="C56" s="268" t="str">
        <f>Costs!G31</f>
        <v>Initial general costs</v>
      </c>
      <c r="D56" s="400" t="s">
        <v>57</v>
      </c>
      <c r="E56" s="395">
        <f t="shared" si="1"/>
        <v>1500</v>
      </c>
      <c r="F56" s="399">
        <f>Costs!G32</f>
        <v>1500</v>
      </c>
      <c r="G56" s="397">
        <f t="shared" ca="1" si="0"/>
        <v>1393.5786412996088</v>
      </c>
      <c r="H56" s="209">
        <v>0.2</v>
      </c>
      <c r="I56" s="265">
        <f t="shared" si="2"/>
        <v>153.06122448979593</v>
      </c>
      <c r="J56" s="392"/>
      <c r="K56" s="392"/>
      <c r="L56" s="384" t="s">
        <v>332</v>
      </c>
      <c r="M56" s="395">
        <f t="shared" si="3"/>
        <v>96.039999999999978</v>
      </c>
      <c r="N56" s="395">
        <f t="shared" si="4"/>
        <v>15.618492294877138</v>
      </c>
      <c r="O56" s="211"/>
      <c r="P56" s="266" t="s">
        <v>340</v>
      </c>
      <c r="Q56" s="266" t="s">
        <v>341</v>
      </c>
      <c r="U56" s="139"/>
      <c r="V56" s="402">
        <f t="shared" si="5"/>
        <v>1200</v>
      </c>
      <c r="W56" s="402">
        <f t="shared" si="6"/>
        <v>1800</v>
      </c>
      <c r="X56" s="187"/>
    </row>
    <row r="57" spans="3:24">
      <c r="C57" s="268" t="str">
        <f>Costs!H31</f>
        <v>Monthly costs during treatment</v>
      </c>
      <c r="D57" s="400" t="s">
        <v>58</v>
      </c>
      <c r="E57" s="395">
        <f t="shared" si="1"/>
        <v>87.5</v>
      </c>
      <c r="F57" s="399">
        <f>Costs!H32</f>
        <v>87.5</v>
      </c>
      <c r="G57" s="397">
        <f t="shared" ca="1" si="0"/>
        <v>89.803177941166425</v>
      </c>
      <c r="H57" s="209">
        <v>0.2</v>
      </c>
      <c r="I57" s="265">
        <f t="shared" si="2"/>
        <v>8.9285714285714288</v>
      </c>
      <c r="J57" s="392"/>
      <c r="K57" s="392"/>
      <c r="L57" s="384" t="s">
        <v>332</v>
      </c>
      <c r="M57" s="395">
        <f t="shared" si="3"/>
        <v>96.039999999999992</v>
      </c>
      <c r="N57" s="395">
        <f t="shared" si="4"/>
        <v>0.91107871720116629</v>
      </c>
      <c r="O57" s="211"/>
      <c r="P57" s="266" t="s">
        <v>340</v>
      </c>
      <c r="Q57" s="266" t="s">
        <v>341</v>
      </c>
      <c r="U57" s="139"/>
      <c r="V57" s="402">
        <f t="shared" si="5"/>
        <v>70</v>
      </c>
      <c r="W57" s="402">
        <f t="shared" si="6"/>
        <v>105</v>
      </c>
      <c r="X57" s="187"/>
    </row>
    <row r="58" spans="3:24">
      <c r="C58" s="268" t="str">
        <f>Costs!I31</f>
        <v>Monthly costs after treatment</v>
      </c>
      <c r="D58" s="400" t="s">
        <v>59</v>
      </c>
      <c r="E58" s="395">
        <f t="shared" si="1"/>
        <v>57</v>
      </c>
      <c r="F58" s="399">
        <f>Costs!I32</f>
        <v>57</v>
      </c>
      <c r="G58" s="397">
        <f t="shared" ca="1" si="0"/>
        <v>52.04615319469027</v>
      </c>
      <c r="H58" s="209">
        <v>0.2</v>
      </c>
      <c r="I58" s="265">
        <f t="shared" si="2"/>
        <v>5.8163265306122423</v>
      </c>
      <c r="J58" s="392"/>
      <c r="K58" s="392"/>
      <c r="L58" s="384" t="s">
        <v>332</v>
      </c>
      <c r="M58" s="395">
        <f t="shared" si="3"/>
        <v>96.040000000000077</v>
      </c>
      <c r="N58" s="395">
        <f t="shared" si="4"/>
        <v>0.5935027072053306</v>
      </c>
      <c r="O58" s="211"/>
      <c r="P58" s="266" t="s">
        <v>340</v>
      </c>
      <c r="Q58" s="266" t="s">
        <v>341</v>
      </c>
      <c r="U58" s="139"/>
      <c r="V58" s="402">
        <f t="shared" si="5"/>
        <v>45.6</v>
      </c>
      <c r="W58" s="402">
        <f t="shared" si="6"/>
        <v>68.399999999999991</v>
      </c>
      <c r="X58" s="187"/>
    </row>
    <row r="59" spans="3:24">
      <c r="V59" s="187"/>
      <c r="W59" s="187"/>
      <c r="X59" s="187"/>
    </row>
    <row r="69" spans="2:24" s="3" customFormat="1" ht="13.95" customHeight="1">
      <c r="B69" s="7"/>
      <c r="C69" s="7"/>
      <c r="D69" s="7"/>
      <c r="E69" s="7"/>
      <c r="F69" s="7"/>
      <c r="G69" s="7"/>
      <c r="H69" s="7"/>
      <c r="I69" s="7"/>
      <c r="J69" s="7"/>
      <c r="K69" s="7"/>
      <c r="L69" s="142"/>
      <c r="M69" s="142"/>
      <c r="N69" s="9"/>
      <c r="O69" s="9"/>
      <c r="P69" s="9"/>
      <c r="Q69" s="9"/>
      <c r="R69" s="9"/>
      <c r="S69" s="9"/>
      <c r="T69" s="9"/>
      <c r="U69" s="9"/>
      <c r="V69" s="9"/>
      <c r="W69" s="9"/>
      <c r="X69" s="9"/>
    </row>
    <row r="70" spans="2:24" s="3" customFormat="1">
      <c r="B70" s="65"/>
      <c r="C70" s="65"/>
      <c r="D70" s="65"/>
      <c r="E70" s="65"/>
      <c r="F70" s="65"/>
      <c r="G70" s="65"/>
      <c r="H70" s="65"/>
      <c r="I70" s="65"/>
      <c r="J70" s="65"/>
      <c r="K70" s="65"/>
      <c r="L70" s="65"/>
      <c r="M70" s="65"/>
    </row>
    <row r="71" spans="2:24" s="3" customFormat="1">
      <c r="B71" s="404" t="s">
        <v>77</v>
      </c>
      <c r="C71" s="404"/>
      <c r="D71" s="404"/>
      <c r="E71" s="404"/>
      <c r="F71" s="404"/>
      <c r="G71" s="404"/>
      <c r="H71" s="404"/>
      <c r="I71" s="404"/>
      <c r="J71" s="404"/>
      <c r="K71" s="404"/>
      <c r="L71" s="404"/>
      <c r="M71" s="404"/>
    </row>
    <row r="72" spans="2:24" s="3" customFormat="1">
      <c r="B72" s="404"/>
      <c r="C72" s="404"/>
      <c r="D72" s="404"/>
      <c r="E72" s="404"/>
      <c r="F72" s="404"/>
      <c r="G72" s="404"/>
      <c r="H72" s="404"/>
      <c r="I72" s="404"/>
      <c r="J72" s="404"/>
      <c r="K72" s="404"/>
      <c r="L72" s="404"/>
      <c r="M72" s="404"/>
    </row>
    <row r="73" spans="2:24" s="1" customFormat="1" ht="85.95" customHeight="1">
      <c r="B73" s="403" t="e" vm="1">
        <v>#VALUE!</v>
      </c>
      <c r="C73" s="403"/>
      <c r="D73" s="403"/>
      <c r="E73" s="403"/>
      <c r="F73" s="403"/>
      <c r="G73" s="403"/>
      <c r="H73" s="403"/>
      <c r="I73" s="403"/>
      <c r="J73" s="403"/>
      <c r="K73" s="403"/>
      <c r="L73" s="403"/>
      <c r="M73" s="403"/>
    </row>
  </sheetData>
  <sheetProtection algorithmName="SHA-512" hashValue="OnYpVJQwBxAxsu2EBr0FNRL4U5r38Gw1InBOoHjr3YtkTOjJHkcwaMI/oH8JL+Xi+2nZ/zCjHHWrG3quJLib3Q==" saltValue="HDUsoarEKZ/W7IObMXdPxg==" spinCount="100000" sheet="1" objects="1" scenarios="1"/>
  <mergeCells count="2">
    <mergeCell ref="B71:M72"/>
    <mergeCell ref="B73:M73"/>
  </mergeCells>
  <phoneticPr fontId="2" type="noConversion"/>
  <dataValidations count="3">
    <dataValidation type="list" allowBlank="1" showInputMessage="1" showErrorMessage="1" sqref="L5:L58" xr:uid="{F2BAF586-5945-4089-A5EF-5C6076AD30C7}">
      <formula1>"Beta, Gamma,Normal"</formula1>
    </dataValidation>
    <dataValidation type="list" allowBlank="1" showInputMessage="1" showErrorMessage="1" sqref="P5:P58" xr:uid="{B9042FCA-4806-4863-8F3D-04F5390D0550}">
      <formula1>"point estimate,lower limit,upper limit"</formula1>
    </dataValidation>
    <dataValidation type="list" allowBlank="1" showInputMessage="1" showErrorMessage="1" sqref="Q5:Q58" xr:uid="{C93D2978-1137-40BC-9B78-1D518B444130}">
      <formula1>"yes,no"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BC7E0-3ABF-4847-9CBD-924E5A2BC87D}">
  <sheetPr codeName="Planilha18">
    <tabColor rgb="FF0EB1BA"/>
  </sheetPr>
  <dimension ref="A1:S141"/>
  <sheetViews>
    <sheetView showGridLines="0" showRowColHeaders="0" topLeftCell="A95" zoomScaleNormal="100" workbookViewId="0">
      <selection activeCell="H69" sqref="H69:K69"/>
    </sheetView>
  </sheetViews>
  <sheetFormatPr defaultColWidth="8.77734375" defaultRowHeight="14.4"/>
  <cols>
    <col min="1" max="1" width="8.77734375" style="118"/>
    <col min="2" max="2" width="41.77734375" style="1" customWidth="1"/>
    <col min="3" max="5" width="19.44140625" style="1" customWidth="1"/>
    <col min="6" max="7" width="8.77734375" style="1"/>
    <col min="8" max="8" width="58.77734375" style="1" customWidth="1"/>
    <col min="9" max="11" width="19.44140625" style="1" customWidth="1"/>
    <col min="12" max="16384" width="8.77734375" style="1"/>
  </cols>
  <sheetData>
    <row r="1" spans="1:12" s="33" customFormat="1" ht="33.6">
      <c r="A1" s="116"/>
      <c r="B1" s="34" t="str">
        <f>Introduction!$B$1</f>
        <v>Budget impact analysis of treatments for Advanced cancer</v>
      </c>
      <c r="C1" s="34"/>
      <c r="D1" s="35"/>
      <c r="E1" s="36"/>
      <c r="F1" s="36"/>
      <c r="G1" s="36"/>
      <c r="H1" s="36"/>
      <c r="I1" s="36"/>
      <c r="J1" s="36"/>
      <c r="K1" s="36"/>
      <c r="L1" s="36"/>
    </row>
    <row r="2" spans="1:12" s="33" customFormat="1" ht="18">
      <c r="A2" s="116"/>
      <c r="B2" s="37"/>
      <c r="C2" s="37"/>
      <c r="D2" s="38"/>
      <c r="E2" s="39"/>
      <c r="F2" s="39"/>
      <c r="G2" s="39"/>
      <c r="H2" s="39"/>
      <c r="I2" s="39"/>
      <c r="J2" s="39"/>
      <c r="K2" s="39"/>
      <c r="L2" s="39"/>
    </row>
    <row r="3" spans="1:12" s="45" customFormat="1" ht="2.25" customHeight="1">
      <c r="A3" s="117"/>
      <c r="D3" s="46"/>
    </row>
    <row r="4" spans="1:12">
      <c r="B4" s="52" t="s">
        <v>331</v>
      </c>
      <c r="C4" s="52" t="s">
        <v>321</v>
      </c>
      <c r="D4" s="52" t="s">
        <v>322</v>
      </c>
      <c r="E4" s="8"/>
      <c r="F4" s="8"/>
      <c r="G4" s="118"/>
      <c r="H4" s="52" t="s">
        <v>330</v>
      </c>
      <c r="I4" s="52" t="s">
        <v>321</v>
      </c>
      <c r="J4" s="52" t="s">
        <v>322</v>
      </c>
      <c r="K4" s="8"/>
      <c r="L4" s="8"/>
    </row>
    <row r="5" spans="1:12">
      <c r="A5" s="118">
        <v>1</v>
      </c>
      <c r="B5" s="54">
        <f>Parameters!C5</f>
        <v>0</v>
      </c>
      <c r="C5" s="317">
        <v>25441631.619969293</v>
      </c>
      <c r="D5" s="317">
        <v>25441631.619969293</v>
      </c>
      <c r="E5" s="8"/>
      <c r="F5" s="8"/>
      <c r="G5" s="118">
        <v>1</v>
      </c>
      <c r="H5" s="54">
        <f>Parameters!C5</f>
        <v>0</v>
      </c>
      <c r="I5" s="317">
        <v>25501998.148789361</v>
      </c>
      <c r="J5" s="317">
        <v>25501998.148789361</v>
      </c>
      <c r="K5" s="8"/>
      <c r="L5" s="8"/>
    </row>
    <row r="6" spans="1:12">
      <c r="A6" s="118">
        <v>2</v>
      </c>
      <c r="B6" s="54" t="str">
        <f>Parameters!C6</f>
        <v>Incidence of cancer</v>
      </c>
      <c r="C6" s="317">
        <v>20353305.295975413</v>
      </c>
      <c r="D6" s="317">
        <v>30529957.943963122</v>
      </c>
      <c r="E6" s="8"/>
      <c r="F6" s="8"/>
      <c r="G6" s="118">
        <v>2</v>
      </c>
      <c r="H6" s="54" t="str">
        <f>Parameters!C6</f>
        <v>Incidence of cancer</v>
      </c>
      <c r="I6" s="317">
        <v>20401598.519031484</v>
      </c>
      <c r="J6" s="317">
        <v>30602397.778547235</v>
      </c>
      <c r="K6" s="8"/>
      <c r="L6" s="8"/>
    </row>
    <row r="7" spans="1:12">
      <c r="A7" s="118">
        <v>3</v>
      </c>
      <c r="B7" s="54" t="str">
        <f>Parameters!C7</f>
        <v>Advanced disease</v>
      </c>
      <c r="C7" s="317">
        <v>20353305.295975413</v>
      </c>
      <c r="D7" s="317">
        <v>30529957.943963118</v>
      </c>
      <c r="E7" s="8"/>
      <c r="F7" s="8"/>
      <c r="G7" s="118">
        <v>3</v>
      </c>
      <c r="H7" s="54" t="str">
        <f>Parameters!C7</f>
        <v>Advanced disease</v>
      </c>
      <c r="I7" s="317">
        <v>20401598.519031484</v>
      </c>
      <c r="J7" s="317">
        <v>30602397.778547227</v>
      </c>
      <c r="K7" s="8"/>
      <c r="L7" s="8"/>
    </row>
    <row r="8" spans="1:12">
      <c r="A8" s="118">
        <v>4</v>
      </c>
      <c r="B8" s="54" t="str">
        <f>Parameters!C8</f>
        <v>X mutation</v>
      </c>
      <c r="C8" s="317">
        <v>20353305.295975413</v>
      </c>
      <c r="D8" s="317">
        <v>30529957.943963118</v>
      </c>
      <c r="E8" s="8"/>
      <c r="F8" s="8"/>
      <c r="G8" s="118">
        <v>4</v>
      </c>
      <c r="H8" s="54" t="str">
        <f>Parameters!C8</f>
        <v>X mutation</v>
      </c>
      <c r="I8" s="317">
        <v>20401598.519031484</v>
      </c>
      <c r="J8" s="317">
        <v>30602397.778547227</v>
      </c>
      <c r="K8" s="8"/>
      <c r="L8" s="8"/>
    </row>
    <row r="9" spans="1:12">
      <c r="A9" s="118">
        <v>5</v>
      </c>
      <c r="B9" s="54">
        <f>Parameters!C9</f>
        <v>0</v>
      </c>
      <c r="C9" s="317">
        <v>25441631.619969293</v>
      </c>
      <c r="D9" s="317">
        <v>25441631.619969293</v>
      </c>
      <c r="E9" s="8"/>
      <c r="F9" s="8"/>
      <c r="G9" s="118">
        <v>5</v>
      </c>
      <c r="H9" s="54">
        <f>Parameters!C9</f>
        <v>0</v>
      </c>
      <c r="I9" s="317">
        <v>25501998.148789361</v>
      </c>
      <c r="J9" s="317">
        <v>25501998.148789361</v>
      </c>
      <c r="K9" s="8"/>
      <c r="L9" s="8"/>
    </row>
    <row r="10" spans="1:12">
      <c r="A10" s="118">
        <v>6</v>
      </c>
      <c r="B10" s="54">
        <f>Parameters!C10</f>
        <v>0</v>
      </c>
      <c r="C10" s="317">
        <v>25441631.619969293</v>
      </c>
      <c r="D10" s="317">
        <v>25441631.619969293</v>
      </c>
      <c r="E10" s="8"/>
      <c r="F10" s="8"/>
      <c r="G10" s="118">
        <v>6</v>
      </c>
      <c r="H10" s="54">
        <f>Parameters!C10</f>
        <v>0</v>
      </c>
      <c r="I10" s="317">
        <v>25501998.148789361</v>
      </c>
      <c r="J10" s="317">
        <v>25501998.148789361</v>
      </c>
      <c r="K10" s="8"/>
      <c r="L10" s="8"/>
    </row>
    <row r="11" spans="1:12">
      <c r="A11" s="118">
        <v>7</v>
      </c>
      <c r="B11" s="54">
        <f>Parameters!C11</f>
        <v>0</v>
      </c>
      <c r="C11" s="317">
        <v>25441631.619969293</v>
      </c>
      <c r="D11" s="317">
        <v>25441631.619969293</v>
      </c>
      <c r="E11" s="8"/>
      <c r="F11" s="8"/>
      <c r="G11" s="118">
        <v>7</v>
      </c>
      <c r="H11" s="54">
        <f>Parameters!C11</f>
        <v>0</v>
      </c>
      <c r="I11" s="317">
        <v>25501998.148789361</v>
      </c>
      <c r="J11" s="317">
        <v>25501998.148789361</v>
      </c>
      <c r="K11" s="8"/>
      <c r="L11" s="8"/>
    </row>
    <row r="12" spans="1:12">
      <c r="A12" s="118">
        <v>8</v>
      </c>
      <c r="B12" s="54">
        <f>Parameters!C12</f>
        <v>0</v>
      </c>
      <c r="C12" s="317">
        <v>25441631.619969293</v>
      </c>
      <c r="D12" s="317">
        <v>25441631.619969293</v>
      </c>
      <c r="E12" s="8"/>
      <c r="F12" s="8"/>
      <c r="G12" s="118">
        <v>8</v>
      </c>
      <c r="H12" s="54">
        <f>Parameters!C12</f>
        <v>0</v>
      </c>
      <c r="I12" s="317">
        <v>25501998.148789361</v>
      </c>
      <c r="J12" s="317">
        <v>25501998.148789361</v>
      </c>
      <c r="K12" s="8"/>
      <c r="L12" s="8"/>
    </row>
    <row r="13" spans="1:12">
      <c r="A13" s="118">
        <v>9</v>
      </c>
      <c r="B13" s="54">
        <f>Parameters!C13</f>
        <v>0</v>
      </c>
      <c r="C13" s="317">
        <v>25441631.619969293</v>
      </c>
      <c r="D13" s="317">
        <v>25441631.619969293</v>
      </c>
      <c r="E13" s="8"/>
      <c r="F13" s="8"/>
      <c r="G13" s="118">
        <v>9</v>
      </c>
      <c r="H13" s="54">
        <f>Parameters!C13</f>
        <v>0</v>
      </c>
      <c r="I13" s="317">
        <v>25501998.148789361</v>
      </c>
      <c r="J13" s="317">
        <v>25501998.148789361</v>
      </c>
      <c r="K13" s="8"/>
      <c r="L13" s="8"/>
    </row>
    <row r="14" spans="1:12">
      <c r="A14" s="118">
        <v>10</v>
      </c>
      <c r="B14" s="54" t="str">
        <f>Parameters!C14</f>
        <v>Initial costs Drug 1</v>
      </c>
      <c r="C14" s="317">
        <v>25441631.619969293</v>
      </c>
      <c r="D14" s="317">
        <v>25441631.619969293</v>
      </c>
      <c r="E14" s="8"/>
      <c r="F14" s="8"/>
      <c r="G14" s="118">
        <v>10</v>
      </c>
      <c r="H14" s="54" t="str">
        <f>Parameters!C14</f>
        <v>Initial costs Drug 1</v>
      </c>
      <c r="I14" s="317">
        <v>25501998.148789361</v>
      </c>
      <c r="J14" s="317">
        <v>25501998.148789361</v>
      </c>
      <c r="K14" s="8"/>
      <c r="L14" s="8"/>
    </row>
    <row r="15" spans="1:12">
      <c r="A15" s="118">
        <v>11</v>
      </c>
      <c r="B15" s="54" t="str">
        <f>Parameters!C15</f>
        <v>Initial costs Drug 2</v>
      </c>
      <c r="C15" s="317">
        <v>25441631.619969293</v>
      </c>
      <c r="D15" s="317">
        <v>25441631.619969293</v>
      </c>
      <c r="E15" s="8"/>
      <c r="F15" s="8"/>
      <c r="G15" s="118">
        <v>11</v>
      </c>
      <c r="H15" s="54" t="str">
        <f>Parameters!C15</f>
        <v>Initial costs Drug 2</v>
      </c>
      <c r="I15" s="317">
        <v>25501998.148789361</v>
      </c>
      <c r="J15" s="317">
        <v>25501998.148789361</v>
      </c>
      <c r="K15" s="8"/>
      <c r="L15" s="8"/>
    </row>
    <row r="16" spans="1:12">
      <c r="A16" s="118">
        <v>12</v>
      </c>
      <c r="B16" s="54" t="str">
        <f>Parameters!C16</f>
        <v xml:space="preserve">Initial costs </v>
      </c>
      <c r="C16" s="317">
        <v>25441631.619969293</v>
      </c>
      <c r="D16" s="317">
        <v>25441631.619969293</v>
      </c>
      <c r="E16" s="8"/>
      <c r="F16" s="8"/>
      <c r="G16" s="118">
        <v>12</v>
      </c>
      <c r="H16" s="54" t="str">
        <f>Parameters!C16</f>
        <v xml:space="preserve">Initial costs </v>
      </c>
      <c r="I16" s="317">
        <v>25501998.148789361</v>
      </c>
      <c r="J16" s="317">
        <v>25501998.148789361</v>
      </c>
      <c r="K16" s="8"/>
      <c r="L16" s="8"/>
    </row>
    <row r="17" spans="1:12">
      <c r="A17" s="118">
        <v>13</v>
      </c>
      <c r="B17" s="54" t="str">
        <f>Parameters!C17</f>
        <v xml:space="preserve">Initial costs </v>
      </c>
      <c r="C17" s="317">
        <v>25441631.619969293</v>
      </c>
      <c r="D17" s="317">
        <v>25441631.619969293</v>
      </c>
      <c r="E17" s="8"/>
      <c r="F17" s="8"/>
      <c r="G17" s="118">
        <v>13</v>
      </c>
      <c r="H17" s="54" t="str">
        <f>Parameters!C17</f>
        <v xml:space="preserve">Initial costs </v>
      </c>
      <c r="I17" s="317">
        <v>25501998.148789361</v>
      </c>
      <c r="J17" s="317">
        <v>25501998.148789361</v>
      </c>
      <c r="K17" s="8"/>
      <c r="L17" s="8"/>
    </row>
    <row r="18" spans="1:12">
      <c r="A18" s="118">
        <v>14</v>
      </c>
      <c r="B18" s="54" t="str">
        <f>Parameters!C18</f>
        <v>Initial costs BSC</v>
      </c>
      <c r="C18" s="317">
        <v>25441631.619969293</v>
      </c>
      <c r="D18" s="317">
        <v>25441631.619969293</v>
      </c>
      <c r="E18" s="8"/>
      <c r="F18" s="8"/>
      <c r="G18" s="118">
        <v>14</v>
      </c>
      <c r="H18" s="54" t="str">
        <f>Parameters!C18</f>
        <v>Initial costs BSC</v>
      </c>
      <c r="I18" s="317">
        <v>25501998.148789361</v>
      </c>
      <c r="J18" s="317">
        <v>25501998.148789361</v>
      </c>
      <c r="K18" s="8"/>
      <c r="L18" s="8"/>
    </row>
    <row r="19" spans="1:12">
      <c r="A19" s="118">
        <v>15</v>
      </c>
      <c r="B19" s="54" t="str">
        <f>Parameters!C19</f>
        <v xml:space="preserve">Initial costs </v>
      </c>
      <c r="C19" s="317">
        <v>25441631.619969293</v>
      </c>
      <c r="D19" s="317">
        <v>25441631.619969293</v>
      </c>
      <c r="E19" s="8"/>
      <c r="F19" s="8"/>
      <c r="G19" s="118">
        <v>15</v>
      </c>
      <c r="H19" s="54" t="str">
        <f>Parameters!C19</f>
        <v xml:space="preserve">Initial costs </v>
      </c>
      <c r="I19" s="317">
        <v>25501998.148789361</v>
      </c>
      <c r="J19" s="317">
        <v>25501998.148789361</v>
      </c>
      <c r="K19" s="8"/>
      <c r="L19" s="8"/>
    </row>
    <row r="20" spans="1:12">
      <c r="A20" s="118">
        <v>16</v>
      </c>
      <c r="B20" s="54" t="str">
        <f>Parameters!C20</f>
        <v xml:space="preserve">Initial costs </v>
      </c>
      <c r="C20" s="317">
        <v>25441631.619969293</v>
      </c>
      <c r="D20" s="317">
        <v>25441631.619969293</v>
      </c>
      <c r="E20" s="8"/>
      <c r="F20" s="8"/>
      <c r="G20" s="118">
        <v>16</v>
      </c>
      <c r="H20" s="54" t="str">
        <f>Parameters!C20</f>
        <v xml:space="preserve">Initial costs </v>
      </c>
      <c r="I20" s="317">
        <v>25501998.148789361</v>
      </c>
      <c r="J20" s="317">
        <v>25501998.148789361</v>
      </c>
      <c r="K20" s="8"/>
      <c r="L20" s="8"/>
    </row>
    <row r="21" spans="1:12">
      <c r="A21" s="118">
        <v>17</v>
      </c>
      <c r="B21" s="54" t="str">
        <f>Parameters!C21</f>
        <v xml:space="preserve">Initial costs </v>
      </c>
      <c r="C21" s="317">
        <v>25441631.619969293</v>
      </c>
      <c r="D21" s="317">
        <v>25441631.619969293</v>
      </c>
      <c r="E21" s="8"/>
      <c r="F21" s="8"/>
      <c r="G21" s="118">
        <v>17</v>
      </c>
      <c r="H21" s="54" t="str">
        <f>Parameters!C21</f>
        <v xml:space="preserve">Initial costs </v>
      </c>
      <c r="I21" s="317">
        <v>25501998.148789361</v>
      </c>
      <c r="J21" s="317">
        <v>25501998.148789361</v>
      </c>
      <c r="K21" s="8"/>
      <c r="L21" s="8"/>
    </row>
    <row r="22" spans="1:12">
      <c r="A22" s="118">
        <v>18</v>
      </c>
      <c r="B22" s="54" t="str">
        <f>Parameters!C22</f>
        <v xml:space="preserve">Initial costs </v>
      </c>
      <c r="C22" s="317">
        <v>25441631.619969293</v>
      </c>
      <c r="D22" s="317">
        <v>25441631.619969293</v>
      </c>
      <c r="E22" s="8"/>
      <c r="F22" s="8"/>
      <c r="G22" s="118">
        <v>18</v>
      </c>
      <c r="H22" s="54" t="str">
        <f>Parameters!C22</f>
        <v xml:space="preserve">Initial costs </v>
      </c>
      <c r="I22" s="317">
        <v>25501998.148789361</v>
      </c>
      <c r="J22" s="317">
        <v>25501998.148789361</v>
      </c>
      <c r="K22" s="8"/>
      <c r="L22" s="8"/>
    </row>
    <row r="23" spans="1:12">
      <c r="A23" s="118">
        <v>19</v>
      </c>
      <c r="B23" s="54" t="str">
        <f>Parameters!C23</f>
        <v xml:space="preserve">Initial costs </v>
      </c>
      <c r="C23" s="317">
        <v>25441631.619969293</v>
      </c>
      <c r="D23" s="317">
        <v>25441631.619969293</v>
      </c>
      <c r="E23" s="8"/>
      <c r="F23" s="8"/>
      <c r="G23" s="118">
        <v>19</v>
      </c>
      <c r="H23" s="54" t="str">
        <f>Parameters!C23</f>
        <v xml:space="preserve">Initial costs </v>
      </c>
      <c r="I23" s="317">
        <v>25501998.148789361</v>
      </c>
      <c r="J23" s="317">
        <v>25501998.148789361</v>
      </c>
      <c r="K23" s="8"/>
      <c r="L23" s="8"/>
    </row>
    <row r="24" spans="1:12">
      <c r="A24" s="118">
        <v>20</v>
      </c>
      <c r="B24" s="54" t="str">
        <f>Parameters!C24</f>
        <v xml:space="preserve">Initial costs </v>
      </c>
      <c r="C24" s="317">
        <v>25441631.619969293</v>
      </c>
      <c r="D24" s="317">
        <v>25441631.619969293</v>
      </c>
      <c r="E24" s="8"/>
      <c r="F24" s="8"/>
      <c r="G24" s="118">
        <v>20</v>
      </c>
      <c r="H24" s="54" t="str">
        <f>Parameters!C24</f>
        <v xml:space="preserve">Initial costs </v>
      </c>
      <c r="I24" s="317">
        <v>25501998.148789361</v>
      </c>
      <c r="J24" s="317">
        <v>25501998.148789361</v>
      </c>
      <c r="K24" s="8"/>
      <c r="L24" s="8"/>
    </row>
    <row r="25" spans="1:12">
      <c r="A25" s="118">
        <v>21</v>
      </c>
      <c r="B25" s="54" t="str">
        <f>Parameters!C25</f>
        <v xml:space="preserve">Initial costs </v>
      </c>
      <c r="C25" s="317">
        <v>25441631.619969293</v>
      </c>
      <c r="D25" s="317">
        <v>25441631.619969293</v>
      </c>
      <c r="E25" s="8"/>
      <c r="F25" s="8"/>
      <c r="G25" s="118">
        <v>21</v>
      </c>
      <c r="H25" s="54" t="str">
        <f>Parameters!C25</f>
        <v xml:space="preserve">Initial costs </v>
      </c>
      <c r="I25" s="317">
        <v>25501998.148789361</v>
      </c>
      <c r="J25" s="317">
        <v>25501998.148789361</v>
      </c>
      <c r="K25" s="8"/>
      <c r="L25" s="8"/>
    </row>
    <row r="26" spans="1:12">
      <c r="A26" s="118">
        <v>22</v>
      </c>
      <c r="B26" s="54" t="str">
        <f>Parameters!C26</f>
        <v xml:space="preserve">Initial costs </v>
      </c>
      <c r="C26" s="317">
        <v>25441631.619969293</v>
      </c>
      <c r="D26" s="317">
        <v>25441631.619969293</v>
      </c>
      <c r="E26" s="8"/>
      <c r="F26" s="8"/>
      <c r="G26" s="118">
        <v>22</v>
      </c>
      <c r="H26" s="54" t="str">
        <f>Parameters!C26</f>
        <v xml:space="preserve">Initial costs </v>
      </c>
      <c r="I26" s="317">
        <v>25501998.148789361</v>
      </c>
      <c r="J26" s="317">
        <v>25501998.148789361</v>
      </c>
      <c r="K26" s="8"/>
      <c r="L26" s="8"/>
    </row>
    <row r="27" spans="1:12">
      <c r="A27" s="118">
        <v>23</v>
      </c>
      <c r="B27" s="54" t="str">
        <f>Parameters!C27</f>
        <v xml:space="preserve">Initial costs </v>
      </c>
      <c r="C27" s="317">
        <v>25441631.619969293</v>
      </c>
      <c r="D27" s="317">
        <v>25441631.619969293</v>
      </c>
      <c r="E27" s="8"/>
      <c r="F27" s="8"/>
      <c r="G27" s="118">
        <v>23</v>
      </c>
      <c r="H27" s="54" t="str">
        <f>Parameters!C27</f>
        <v xml:space="preserve">Initial costs </v>
      </c>
      <c r="I27" s="317">
        <v>25501998.148789361</v>
      </c>
      <c r="J27" s="317">
        <v>25501998.148789361</v>
      </c>
      <c r="K27" s="8"/>
      <c r="L27" s="8"/>
    </row>
    <row r="28" spans="1:12">
      <c r="A28" s="118">
        <v>24</v>
      </c>
      <c r="B28" s="54" t="str">
        <f>Parameters!C28</f>
        <v>Treatment costs Drug 1</v>
      </c>
      <c r="C28" s="317">
        <v>18056600.633414388</v>
      </c>
      <c r="D28" s="317">
        <v>32826662.606524184</v>
      </c>
      <c r="E28" s="8"/>
      <c r="F28" s="8"/>
      <c r="G28" s="118">
        <v>24</v>
      </c>
      <c r="H28" s="54" t="str">
        <f>Parameters!C28</f>
        <v>Treatment costs Drug 1</v>
      </c>
      <c r="I28" s="317">
        <v>18116967.162234463</v>
      </c>
      <c r="J28" s="317">
        <v>32887029.135344271</v>
      </c>
      <c r="K28" s="8"/>
      <c r="L28" s="8"/>
    </row>
    <row r="29" spans="1:12">
      <c r="A29" s="118">
        <v>25</v>
      </c>
      <c r="B29" s="54" t="str">
        <f>Parameters!C29</f>
        <v>Treatment costs Drug 2</v>
      </c>
      <c r="C29" s="317">
        <v>25441631.619969293</v>
      </c>
      <c r="D29" s="317">
        <v>25441631.619969293</v>
      </c>
      <c r="E29" s="8"/>
      <c r="F29" s="8"/>
      <c r="G29" s="118">
        <v>25</v>
      </c>
      <c r="H29" s="54" t="str">
        <f>Parameters!C29</f>
        <v>Treatment costs Drug 2</v>
      </c>
      <c r="I29" s="317">
        <v>25501998.148789361</v>
      </c>
      <c r="J29" s="317">
        <v>25501998.148789361</v>
      </c>
      <c r="K29" s="8"/>
      <c r="L29" s="8"/>
    </row>
    <row r="30" spans="1:12">
      <c r="A30" s="118">
        <v>26</v>
      </c>
      <c r="B30" s="54" t="str">
        <f>Parameters!C30</f>
        <v xml:space="preserve">Treatment costs </v>
      </c>
      <c r="C30" s="317">
        <v>25441631.619969293</v>
      </c>
      <c r="D30" s="317">
        <v>25441631.619969293</v>
      </c>
      <c r="E30" s="8"/>
      <c r="F30" s="8"/>
      <c r="G30" s="118">
        <v>26</v>
      </c>
      <c r="H30" s="54" t="str">
        <f>Parameters!C30</f>
        <v xml:space="preserve">Treatment costs </v>
      </c>
      <c r="I30" s="317">
        <v>25501998.148789361</v>
      </c>
      <c r="J30" s="317">
        <v>25501998.148789361</v>
      </c>
      <c r="K30" s="8"/>
      <c r="L30" s="8"/>
    </row>
    <row r="31" spans="1:12">
      <c r="A31" s="118">
        <v>27</v>
      </c>
      <c r="B31" s="54" t="str">
        <f>Parameters!C31</f>
        <v xml:space="preserve">Treatment costs </v>
      </c>
      <c r="C31" s="317">
        <v>25441631.619969293</v>
      </c>
      <c r="D31" s="317">
        <v>25441631.619969293</v>
      </c>
      <c r="E31" s="8"/>
      <c r="F31" s="8"/>
      <c r="G31" s="118">
        <v>27</v>
      </c>
      <c r="H31" s="54" t="str">
        <f>Parameters!C31</f>
        <v xml:space="preserve">Treatment costs </v>
      </c>
      <c r="I31" s="317">
        <v>25501998.148789361</v>
      </c>
      <c r="J31" s="317">
        <v>25501998.148789361</v>
      </c>
      <c r="K31" s="8"/>
      <c r="L31" s="8"/>
    </row>
    <row r="32" spans="1:12">
      <c r="A32" s="118">
        <v>28</v>
      </c>
      <c r="B32" s="54" t="str">
        <f>Parameters!C32</f>
        <v>Treatment costs BSC</v>
      </c>
      <c r="C32" s="317">
        <v>27726262.976766311</v>
      </c>
      <c r="D32" s="317">
        <v>23157000.263172239</v>
      </c>
      <c r="E32" s="8"/>
      <c r="F32" s="8"/>
      <c r="G32" s="118">
        <v>28</v>
      </c>
      <c r="H32" s="54" t="str">
        <f>Parameters!C32</f>
        <v>Treatment costs BSC</v>
      </c>
      <c r="I32" s="317">
        <v>27786629.505586375</v>
      </c>
      <c r="J32" s="317">
        <v>23217366.791992329</v>
      </c>
      <c r="K32" s="8"/>
      <c r="L32" s="8"/>
    </row>
    <row r="33" spans="1:12">
      <c r="A33" s="118">
        <v>29</v>
      </c>
      <c r="B33" s="54" t="str">
        <f>Parameters!C33</f>
        <v xml:space="preserve">Treatment costs </v>
      </c>
      <c r="C33" s="317">
        <v>25441631.619969293</v>
      </c>
      <c r="D33" s="317">
        <v>25441631.619969293</v>
      </c>
      <c r="E33" s="8"/>
      <c r="F33" s="8"/>
      <c r="G33" s="118">
        <v>29</v>
      </c>
      <c r="H33" s="54" t="str">
        <f>Parameters!C33</f>
        <v xml:space="preserve">Treatment costs </v>
      </c>
      <c r="I33" s="317">
        <v>25501998.148789361</v>
      </c>
      <c r="J33" s="317">
        <v>25501998.148789361</v>
      </c>
      <c r="K33" s="8"/>
      <c r="L33" s="8"/>
    </row>
    <row r="34" spans="1:12">
      <c r="A34" s="118">
        <v>30</v>
      </c>
      <c r="B34" s="54" t="str">
        <f>Parameters!C34</f>
        <v xml:space="preserve">Treatment costs </v>
      </c>
      <c r="C34" s="317">
        <v>25441631.619969293</v>
      </c>
      <c r="D34" s="317">
        <v>25441631.619969293</v>
      </c>
      <c r="E34" s="8"/>
      <c r="F34" s="8"/>
      <c r="G34" s="118">
        <v>30</v>
      </c>
      <c r="H34" s="54" t="str">
        <f>Parameters!C34</f>
        <v xml:space="preserve">Treatment costs </v>
      </c>
      <c r="I34" s="317">
        <v>25501998.148789361</v>
      </c>
      <c r="J34" s="317">
        <v>25501998.148789361</v>
      </c>
      <c r="K34" s="8"/>
      <c r="L34" s="8"/>
    </row>
    <row r="35" spans="1:12">
      <c r="A35" s="118">
        <v>31</v>
      </c>
      <c r="B35" s="54" t="str">
        <f>Parameters!C35</f>
        <v xml:space="preserve">Treatment costs </v>
      </c>
      <c r="C35" s="317">
        <v>25441631.619969293</v>
      </c>
      <c r="D35" s="317">
        <v>25441631.619969293</v>
      </c>
      <c r="E35" s="8"/>
      <c r="F35" s="8"/>
      <c r="G35" s="118">
        <v>31</v>
      </c>
      <c r="H35" s="54" t="str">
        <f>Parameters!C35</f>
        <v xml:space="preserve">Treatment costs </v>
      </c>
      <c r="I35" s="317">
        <v>25501998.148789361</v>
      </c>
      <c r="J35" s="317">
        <v>25501998.148789361</v>
      </c>
      <c r="K35" s="8"/>
      <c r="L35" s="8"/>
    </row>
    <row r="36" spans="1:12">
      <c r="A36" s="118">
        <v>32</v>
      </c>
      <c r="B36" s="54" t="str">
        <f>Parameters!C36</f>
        <v xml:space="preserve">Treatment costs </v>
      </c>
      <c r="C36" s="317">
        <v>25441631.619969293</v>
      </c>
      <c r="D36" s="317">
        <v>25441631.619969293</v>
      </c>
      <c r="E36" s="8"/>
      <c r="F36" s="8"/>
      <c r="G36" s="118">
        <v>32</v>
      </c>
      <c r="H36" s="54" t="str">
        <f>Parameters!C36</f>
        <v xml:space="preserve">Treatment costs </v>
      </c>
      <c r="I36" s="317">
        <v>25501998.148789361</v>
      </c>
      <c r="J36" s="317">
        <v>25501998.148789361</v>
      </c>
      <c r="K36" s="8"/>
      <c r="L36" s="8"/>
    </row>
    <row r="37" spans="1:12">
      <c r="A37" s="118">
        <v>33</v>
      </c>
      <c r="B37" s="54" t="str">
        <f>Parameters!C37</f>
        <v xml:space="preserve">Treatment costs </v>
      </c>
      <c r="C37" s="317">
        <v>25441631.619969293</v>
      </c>
      <c r="D37" s="317">
        <v>25441631.619969293</v>
      </c>
      <c r="E37" s="8"/>
      <c r="F37" s="8"/>
      <c r="G37" s="118">
        <v>33</v>
      </c>
      <c r="H37" s="54" t="str">
        <f>Parameters!C37</f>
        <v xml:space="preserve">Treatment costs </v>
      </c>
      <c r="I37" s="317">
        <v>25501998.148789361</v>
      </c>
      <c r="J37" s="317">
        <v>25501998.148789361</v>
      </c>
      <c r="K37" s="8"/>
      <c r="L37" s="8"/>
    </row>
    <row r="38" spans="1:12">
      <c r="A38" s="118">
        <v>34</v>
      </c>
      <c r="B38" s="54" t="str">
        <f>Parameters!C38</f>
        <v xml:space="preserve">Treatment costs </v>
      </c>
      <c r="C38" s="317">
        <v>25441631.619969293</v>
      </c>
      <c r="D38" s="317">
        <v>25441631.619969293</v>
      </c>
      <c r="E38" s="8"/>
      <c r="F38" s="8"/>
      <c r="G38" s="118">
        <v>34</v>
      </c>
      <c r="H38" s="54" t="str">
        <f>Parameters!C38</f>
        <v xml:space="preserve">Treatment costs </v>
      </c>
      <c r="I38" s="317">
        <v>25501998.148789361</v>
      </c>
      <c r="J38" s="317">
        <v>25501998.148789361</v>
      </c>
      <c r="K38" s="8"/>
      <c r="L38" s="8"/>
    </row>
    <row r="39" spans="1:12">
      <c r="A39" s="118">
        <v>35</v>
      </c>
      <c r="B39" s="54" t="str">
        <f>Parameters!C39</f>
        <v xml:space="preserve">Treatment costs </v>
      </c>
      <c r="C39" s="317">
        <v>25441631.619969293</v>
      </c>
      <c r="D39" s="317">
        <v>25441631.619969293</v>
      </c>
      <c r="E39" s="8"/>
      <c r="F39" s="8"/>
      <c r="G39" s="118">
        <v>35</v>
      </c>
      <c r="H39" s="54" t="str">
        <f>Parameters!C39</f>
        <v xml:space="preserve">Treatment costs </v>
      </c>
      <c r="I39" s="317">
        <v>25501998.148789361</v>
      </c>
      <c r="J39" s="317">
        <v>25501998.148789361</v>
      </c>
      <c r="K39" s="8"/>
      <c r="L39" s="8"/>
    </row>
    <row r="40" spans="1:12">
      <c r="A40" s="118">
        <v>36</v>
      </c>
      <c r="B40" s="54" t="str">
        <f>Parameters!C40</f>
        <v xml:space="preserve">Treatment costs </v>
      </c>
      <c r="C40" s="317">
        <v>25441631.619969293</v>
      </c>
      <c r="D40" s="317">
        <v>25441631.619969293</v>
      </c>
      <c r="E40" s="8"/>
      <c r="F40" s="8"/>
      <c r="G40" s="118">
        <v>36</v>
      </c>
      <c r="H40" s="54" t="str">
        <f>Parameters!C40</f>
        <v xml:space="preserve">Treatment costs </v>
      </c>
      <c r="I40" s="317">
        <v>25501998.148789361</v>
      </c>
      <c r="J40" s="317">
        <v>25501998.148789361</v>
      </c>
      <c r="K40" s="8"/>
      <c r="L40" s="8"/>
    </row>
    <row r="41" spans="1:12">
      <c r="A41" s="118">
        <v>37</v>
      </c>
      <c r="B41" s="54" t="str">
        <f>Parameters!C41</f>
        <v xml:space="preserve">Treatment costs </v>
      </c>
      <c r="C41" s="317">
        <v>25441631.619969293</v>
      </c>
      <c r="D41" s="317">
        <v>25441631.619969293</v>
      </c>
      <c r="E41" s="8"/>
      <c r="F41" s="8"/>
      <c r="G41" s="118">
        <v>37</v>
      </c>
      <c r="H41" s="54" t="str">
        <f>Parameters!C41</f>
        <v xml:space="preserve">Treatment costs </v>
      </c>
      <c r="I41" s="317">
        <v>25501998.148789361</v>
      </c>
      <c r="J41" s="317">
        <v>25501998.148789361</v>
      </c>
      <c r="K41" s="8"/>
      <c r="L41" s="8"/>
    </row>
    <row r="42" spans="1:12">
      <c r="A42" s="118">
        <v>38</v>
      </c>
      <c r="B42" s="54" t="str">
        <f>Parameters!C42</f>
        <v>Additional costs Drug 1</v>
      </c>
      <c r="C42" s="317">
        <v>25441631.619969293</v>
      </c>
      <c r="D42" s="317">
        <v>25441631.619969293</v>
      </c>
      <c r="E42" s="8"/>
      <c r="F42" s="8"/>
      <c r="G42" s="118">
        <v>38</v>
      </c>
      <c r="H42" s="54" t="str">
        <f>Parameters!C42</f>
        <v>Additional costs Drug 1</v>
      </c>
      <c r="I42" s="317">
        <v>25501998.148789361</v>
      </c>
      <c r="J42" s="317">
        <v>25501998.148789361</v>
      </c>
      <c r="K42" s="8"/>
      <c r="L42" s="8"/>
    </row>
    <row r="43" spans="1:12">
      <c r="A43" s="118">
        <v>39</v>
      </c>
      <c r="B43" s="54" t="str">
        <f>Parameters!C43</f>
        <v>Additional costs Drug 2</v>
      </c>
      <c r="C43" s="317">
        <v>25441631.619969293</v>
      </c>
      <c r="D43" s="317">
        <v>25441631.619969293</v>
      </c>
      <c r="E43" s="8"/>
      <c r="F43" s="8"/>
      <c r="G43" s="118">
        <v>39</v>
      </c>
      <c r="H43" s="54" t="str">
        <f>Parameters!C43</f>
        <v>Additional costs Drug 2</v>
      </c>
      <c r="I43" s="317">
        <v>25501998.148789361</v>
      </c>
      <c r="J43" s="317">
        <v>25501998.148789361</v>
      </c>
      <c r="K43" s="8"/>
      <c r="L43" s="8"/>
    </row>
    <row r="44" spans="1:12">
      <c r="A44" s="118">
        <v>40</v>
      </c>
      <c r="B44" s="54" t="str">
        <f>Parameters!C44</f>
        <v xml:space="preserve">Additional costs </v>
      </c>
      <c r="C44" s="317">
        <v>25441631.619969293</v>
      </c>
      <c r="D44" s="317">
        <v>25441631.619969293</v>
      </c>
      <c r="E44" s="8"/>
      <c r="F44" s="8"/>
      <c r="G44" s="118">
        <v>40</v>
      </c>
      <c r="H44" s="54" t="str">
        <f>Parameters!C44</f>
        <v xml:space="preserve">Additional costs </v>
      </c>
      <c r="I44" s="317">
        <v>25501998.148789361</v>
      </c>
      <c r="J44" s="317">
        <v>25501998.148789361</v>
      </c>
      <c r="K44" s="8"/>
      <c r="L44" s="8"/>
    </row>
    <row r="45" spans="1:12">
      <c r="A45" s="118">
        <v>41</v>
      </c>
      <c r="B45" s="54" t="str">
        <f>Parameters!C45</f>
        <v xml:space="preserve">Additional costs </v>
      </c>
      <c r="C45" s="317">
        <v>25441631.619969293</v>
      </c>
      <c r="D45" s="317">
        <v>25441631.619969293</v>
      </c>
      <c r="E45" s="8"/>
      <c r="F45" s="8"/>
      <c r="G45" s="118">
        <v>41</v>
      </c>
      <c r="H45" s="54" t="str">
        <f>Parameters!C45</f>
        <v xml:space="preserve">Additional costs </v>
      </c>
      <c r="I45" s="317">
        <v>25501998.148789361</v>
      </c>
      <c r="J45" s="317">
        <v>25501998.148789361</v>
      </c>
      <c r="K45" s="8"/>
      <c r="L45" s="8"/>
    </row>
    <row r="46" spans="1:12">
      <c r="A46" s="118">
        <v>42</v>
      </c>
      <c r="B46" s="54" t="str">
        <f>Parameters!C46</f>
        <v>Additional costs BSC</v>
      </c>
      <c r="C46" s="317">
        <v>25441631.619969293</v>
      </c>
      <c r="D46" s="317">
        <v>25441631.619969293</v>
      </c>
      <c r="E46" s="8"/>
      <c r="F46" s="8"/>
      <c r="G46" s="118">
        <v>42</v>
      </c>
      <c r="H46" s="54" t="str">
        <f>Parameters!C46</f>
        <v>Additional costs BSC</v>
      </c>
      <c r="I46" s="317">
        <v>25501998.148789361</v>
      </c>
      <c r="J46" s="317">
        <v>25501998.148789361</v>
      </c>
      <c r="K46" s="8"/>
      <c r="L46" s="8"/>
    </row>
    <row r="47" spans="1:12">
      <c r="A47" s="118">
        <v>43</v>
      </c>
      <c r="B47" s="54" t="str">
        <f>Parameters!C47</f>
        <v xml:space="preserve">Additional costs </v>
      </c>
      <c r="C47" s="317">
        <v>25441631.619969293</v>
      </c>
      <c r="D47" s="317">
        <v>25441631.619969293</v>
      </c>
      <c r="E47" s="8"/>
      <c r="F47" s="8"/>
      <c r="G47" s="118">
        <v>43</v>
      </c>
      <c r="H47" s="54" t="str">
        <f>Parameters!C47</f>
        <v xml:space="preserve">Additional costs </v>
      </c>
      <c r="I47" s="317">
        <v>25501998.148789361</v>
      </c>
      <c r="J47" s="317">
        <v>25501998.148789361</v>
      </c>
      <c r="K47" s="8"/>
      <c r="L47" s="8"/>
    </row>
    <row r="48" spans="1:12">
      <c r="A48" s="118">
        <v>44</v>
      </c>
      <c r="B48" s="54" t="str">
        <f>Parameters!C48</f>
        <v xml:space="preserve">Additional costs </v>
      </c>
      <c r="C48" s="317">
        <v>25441631.619969293</v>
      </c>
      <c r="D48" s="317">
        <v>25441631.619969293</v>
      </c>
      <c r="E48" s="8"/>
      <c r="F48" s="8"/>
      <c r="G48" s="118">
        <v>44</v>
      </c>
      <c r="H48" s="54" t="str">
        <f>Parameters!C48</f>
        <v xml:space="preserve">Additional costs </v>
      </c>
      <c r="I48" s="317">
        <v>25501998.148789361</v>
      </c>
      <c r="J48" s="317">
        <v>25501998.148789361</v>
      </c>
      <c r="K48" s="8"/>
      <c r="L48" s="8"/>
    </row>
    <row r="49" spans="1:12">
      <c r="A49" s="118">
        <v>45</v>
      </c>
      <c r="B49" s="54" t="str">
        <f>Parameters!C49</f>
        <v xml:space="preserve">Additional costs </v>
      </c>
      <c r="C49" s="317">
        <v>25441631.619969293</v>
      </c>
      <c r="D49" s="317">
        <v>25441631.619969293</v>
      </c>
      <c r="E49" s="8"/>
      <c r="F49" s="8"/>
      <c r="G49" s="118">
        <v>45</v>
      </c>
      <c r="H49" s="54" t="str">
        <f>Parameters!C49</f>
        <v xml:space="preserve">Additional costs </v>
      </c>
      <c r="I49" s="317">
        <v>25501998.148789361</v>
      </c>
      <c r="J49" s="317">
        <v>25501998.148789361</v>
      </c>
      <c r="K49" s="8"/>
      <c r="L49" s="8"/>
    </row>
    <row r="50" spans="1:12">
      <c r="A50" s="118">
        <v>46</v>
      </c>
      <c r="B50" s="54" t="str">
        <f>Parameters!C50</f>
        <v xml:space="preserve">Additional costs </v>
      </c>
      <c r="C50" s="317">
        <v>25441631.619969293</v>
      </c>
      <c r="D50" s="317">
        <v>25441631.619969293</v>
      </c>
      <c r="E50" s="8"/>
      <c r="F50" s="8"/>
      <c r="G50" s="118">
        <v>46</v>
      </c>
      <c r="H50" s="54" t="str">
        <f>Parameters!C50</f>
        <v xml:space="preserve">Additional costs </v>
      </c>
      <c r="I50" s="317">
        <v>25501998.148789361</v>
      </c>
      <c r="J50" s="317">
        <v>25501998.148789361</v>
      </c>
      <c r="K50" s="8"/>
      <c r="L50" s="8"/>
    </row>
    <row r="51" spans="1:12">
      <c r="A51" s="118">
        <v>47</v>
      </c>
      <c r="B51" s="54" t="str">
        <f>Parameters!C51</f>
        <v xml:space="preserve">Additional costs </v>
      </c>
      <c r="C51" s="317">
        <v>25441631.619969293</v>
      </c>
      <c r="D51" s="317">
        <v>25441631.619969293</v>
      </c>
      <c r="E51" s="8"/>
      <c r="F51" s="8"/>
      <c r="G51" s="118">
        <v>47</v>
      </c>
      <c r="H51" s="54" t="str">
        <f>Parameters!C51</f>
        <v xml:space="preserve">Additional costs </v>
      </c>
      <c r="I51" s="317">
        <v>25501998.148789361</v>
      </c>
      <c r="J51" s="317">
        <v>25501998.148789361</v>
      </c>
      <c r="K51" s="8"/>
      <c r="L51" s="8"/>
    </row>
    <row r="52" spans="1:12">
      <c r="A52" s="118">
        <v>48</v>
      </c>
      <c r="B52" s="54" t="str">
        <f>Parameters!C52</f>
        <v xml:space="preserve">Additional costs </v>
      </c>
      <c r="C52" s="317">
        <v>25441631.619969293</v>
      </c>
      <c r="D52" s="317">
        <v>25441631.619969293</v>
      </c>
      <c r="E52" s="8"/>
      <c r="F52" s="8"/>
      <c r="G52" s="118">
        <v>48</v>
      </c>
      <c r="H52" s="54" t="str">
        <f>Parameters!C52</f>
        <v xml:space="preserve">Additional costs </v>
      </c>
      <c r="I52" s="317">
        <v>25501998.148789361</v>
      </c>
      <c r="J52" s="317">
        <v>25501998.148789361</v>
      </c>
      <c r="K52" s="8"/>
      <c r="L52" s="8"/>
    </row>
    <row r="53" spans="1:12">
      <c r="A53" s="118">
        <v>49</v>
      </c>
      <c r="B53" s="54" t="str">
        <f>Parameters!C53</f>
        <v xml:space="preserve">Additional costs </v>
      </c>
      <c r="C53" s="317">
        <v>25441631.619969293</v>
      </c>
      <c r="D53" s="317">
        <v>25441631.619969293</v>
      </c>
      <c r="E53" s="8"/>
      <c r="F53" s="8"/>
      <c r="G53" s="118">
        <v>49</v>
      </c>
      <c r="H53" s="54" t="str">
        <f>Parameters!C53</f>
        <v xml:space="preserve">Additional costs </v>
      </c>
      <c r="I53" s="317">
        <v>25501998.148789361</v>
      </c>
      <c r="J53" s="317">
        <v>25501998.148789361</v>
      </c>
      <c r="K53" s="8"/>
      <c r="L53" s="8"/>
    </row>
    <row r="54" spans="1:12">
      <c r="A54" s="118">
        <v>50</v>
      </c>
      <c r="B54" s="54" t="str">
        <f>Parameters!C54</f>
        <v xml:space="preserve">Additional costs </v>
      </c>
      <c r="C54" s="317">
        <v>25441631.619969293</v>
      </c>
      <c r="D54" s="317">
        <v>25441631.619969293</v>
      </c>
      <c r="E54" s="8"/>
      <c r="F54" s="8"/>
      <c r="G54" s="118">
        <v>50</v>
      </c>
      <c r="H54" s="54" t="str">
        <f>Parameters!C54</f>
        <v xml:space="preserve">Additional costs </v>
      </c>
      <c r="I54" s="317">
        <v>25501998.148789361</v>
      </c>
      <c r="J54" s="317">
        <v>25501998.148789361</v>
      </c>
      <c r="K54" s="8"/>
      <c r="L54" s="8"/>
    </row>
    <row r="55" spans="1:12">
      <c r="A55" s="118">
        <v>51</v>
      </c>
      <c r="B55" s="54" t="str">
        <f>Parameters!C55</f>
        <v xml:space="preserve">Additional costs </v>
      </c>
      <c r="C55" s="317">
        <v>25441631.619969293</v>
      </c>
      <c r="D55" s="317">
        <v>25441631.619969293</v>
      </c>
      <c r="E55" s="8"/>
      <c r="F55" s="8"/>
      <c r="G55" s="118">
        <v>51</v>
      </c>
      <c r="H55" s="54" t="str">
        <f>Parameters!C55</f>
        <v xml:space="preserve">Additional costs </v>
      </c>
      <c r="I55" s="317">
        <v>25501998.148789361</v>
      </c>
      <c r="J55" s="317">
        <v>25501998.148789361</v>
      </c>
      <c r="K55" s="8"/>
      <c r="L55" s="8"/>
    </row>
    <row r="56" spans="1:12">
      <c r="A56" s="118">
        <v>52</v>
      </c>
      <c r="B56" s="54" t="str">
        <f>Parameters!C56</f>
        <v>Initial general costs</v>
      </c>
      <c r="C56" s="317">
        <v>25441631.619969286</v>
      </c>
      <c r="D56" s="317">
        <v>25441631.61996929</v>
      </c>
      <c r="E56" s="8"/>
      <c r="F56" s="8"/>
      <c r="G56" s="118">
        <v>52</v>
      </c>
      <c r="H56" s="54" t="str">
        <f>Parameters!C56</f>
        <v>Initial general costs</v>
      </c>
      <c r="I56" s="317">
        <v>25501998.148789361</v>
      </c>
      <c r="J56" s="317">
        <v>25501998.148789361</v>
      </c>
      <c r="K56" s="8"/>
      <c r="L56" s="8"/>
    </row>
    <row r="57" spans="1:12">
      <c r="A57" s="118">
        <v>53</v>
      </c>
      <c r="B57" s="54" t="str">
        <f>Parameters!C57</f>
        <v>Monthly costs during treatment</v>
      </c>
      <c r="C57" s="317">
        <v>25454335.640394688</v>
      </c>
      <c r="D57" s="317">
        <v>25428927.599543877</v>
      </c>
      <c r="E57" s="8"/>
      <c r="F57" s="8"/>
      <c r="G57" s="118">
        <v>53</v>
      </c>
      <c r="H57" s="54" t="str">
        <f>Parameters!C57</f>
        <v>Monthly costs during treatment</v>
      </c>
      <c r="I57" s="317">
        <v>25501998.148789361</v>
      </c>
      <c r="J57" s="317">
        <v>25501998.148789361</v>
      </c>
      <c r="K57" s="8"/>
      <c r="L57" s="8"/>
    </row>
    <row r="58" spans="1:12">
      <c r="A58" s="118">
        <v>54</v>
      </c>
      <c r="B58" s="54" t="str">
        <f>Parameters!C58</f>
        <v>Monthly costs after treatment</v>
      </c>
      <c r="C58" s="317">
        <v>25441000.905307893</v>
      </c>
      <c r="D58" s="317">
        <v>25442262.334630676</v>
      </c>
      <c r="E58" s="8"/>
      <c r="F58" s="8"/>
      <c r="G58" s="118">
        <v>54</v>
      </c>
      <c r="H58" s="54" t="str">
        <f>Parameters!C58</f>
        <v>Monthly costs after treatment</v>
      </c>
      <c r="I58" s="317">
        <v>25501998.148789361</v>
      </c>
      <c r="J58" s="317">
        <v>25501998.148789361</v>
      </c>
      <c r="K58" s="8"/>
      <c r="L58" s="8"/>
    </row>
    <row r="59" spans="1:12">
      <c r="A59" s="118">
        <v>55</v>
      </c>
      <c r="B59" s="54"/>
      <c r="C59" s="54"/>
      <c r="D59" s="54"/>
      <c r="E59" s="8"/>
      <c r="F59" s="8"/>
      <c r="G59" s="118">
        <v>55</v>
      </c>
      <c r="H59" s="54"/>
      <c r="I59" s="54"/>
      <c r="J59" s="54"/>
      <c r="K59" s="8"/>
      <c r="L59" s="8"/>
    </row>
    <row r="60" spans="1:12">
      <c r="A60" s="118">
        <v>56</v>
      </c>
      <c r="B60" s="54"/>
      <c r="C60" s="54"/>
      <c r="D60" s="54"/>
      <c r="E60" s="8"/>
      <c r="F60" s="8"/>
      <c r="G60" s="118">
        <v>56</v>
      </c>
      <c r="H60" s="54"/>
      <c r="I60" s="54"/>
      <c r="J60" s="54"/>
      <c r="K60" s="8"/>
      <c r="L60" s="8"/>
    </row>
    <row r="61" spans="1:12">
      <c r="A61" s="118">
        <v>57</v>
      </c>
      <c r="B61" s="54"/>
      <c r="C61" s="54"/>
      <c r="D61" s="54"/>
      <c r="E61" s="8"/>
      <c r="F61" s="8"/>
      <c r="G61" s="118">
        <v>57</v>
      </c>
      <c r="H61" s="54"/>
      <c r="I61" s="54"/>
      <c r="J61" s="54"/>
      <c r="K61" s="8"/>
      <c r="L61" s="8"/>
    </row>
    <row r="62" spans="1:12">
      <c r="A62" s="118">
        <v>58</v>
      </c>
      <c r="B62" s="54"/>
      <c r="C62" s="54"/>
      <c r="D62" s="54"/>
      <c r="E62" s="8"/>
      <c r="F62" s="8"/>
      <c r="G62" s="118">
        <v>58</v>
      </c>
      <c r="H62" s="54"/>
      <c r="I62" s="54"/>
      <c r="J62" s="54"/>
      <c r="K62" s="8"/>
      <c r="L62" s="8"/>
    </row>
    <row r="63" spans="1:12">
      <c r="A63" s="118">
        <v>59</v>
      </c>
      <c r="B63" s="54"/>
      <c r="C63" s="54"/>
      <c r="D63" s="54"/>
      <c r="E63" s="8"/>
      <c r="F63" s="8"/>
      <c r="G63" s="118">
        <v>59</v>
      </c>
      <c r="H63" s="54"/>
      <c r="I63" s="54"/>
      <c r="J63" s="54"/>
      <c r="K63" s="8"/>
      <c r="L63" s="8"/>
    </row>
    <row r="64" spans="1:12">
      <c r="A64" s="118">
        <v>60</v>
      </c>
      <c r="B64" s="54"/>
      <c r="C64" s="54"/>
      <c r="D64" s="54"/>
      <c r="E64" s="8"/>
      <c r="F64" s="8"/>
      <c r="G64" s="118">
        <v>60</v>
      </c>
      <c r="H64" s="54"/>
      <c r="I64" s="54"/>
      <c r="J64" s="54"/>
      <c r="K64" s="8"/>
      <c r="L64" s="8"/>
    </row>
    <row r="65" spans="1:12">
      <c r="B65" s="8"/>
      <c r="C65" s="12"/>
      <c r="D65" s="12"/>
      <c r="E65" s="8"/>
      <c r="F65" s="8"/>
      <c r="G65" s="118"/>
      <c r="H65" s="8"/>
      <c r="I65" s="12"/>
      <c r="J65" s="12"/>
      <c r="K65" s="8"/>
      <c r="L65" s="8"/>
    </row>
    <row r="66" spans="1:12">
      <c r="B66" s="8"/>
      <c r="C66" s="12"/>
      <c r="D66" s="12"/>
      <c r="E66" s="8"/>
      <c r="F66" s="8"/>
      <c r="G66" s="118"/>
      <c r="H66" s="8"/>
      <c r="I66" s="12"/>
      <c r="J66" s="12"/>
      <c r="K66" s="8"/>
      <c r="L66" s="8"/>
    </row>
    <row r="67" spans="1:12">
      <c r="B67" s="8"/>
      <c r="C67" s="12"/>
      <c r="D67" s="12"/>
      <c r="E67" s="8"/>
      <c r="F67" s="8"/>
      <c r="G67" s="118"/>
      <c r="H67" s="8"/>
      <c r="I67" s="12"/>
      <c r="J67" s="12"/>
      <c r="K67" s="8"/>
      <c r="L67" s="8"/>
    </row>
    <row r="68" spans="1:12">
      <c r="B68" s="8"/>
      <c r="C68" s="8"/>
      <c r="D68" s="8"/>
      <c r="E68" s="8"/>
      <c r="F68" s="8"/>
      <c r="G68" s="118"/>
      <c r="H68" s="8"/>
      <c r="I68" s="8"/>
      <c r="J68" s="8"/>
      <c r="K68" s="8"/>
      <c r="L68" s="8"/>
    </row>
    <row r="69" spans="1:12">
      <c r="B69" s="52" t="s">
        <v>331</v>
      </c>
      <c r="C69" s="52" t="s">
        <v>321</v>
      </c>
      <c r="D69" s="52" t="s">
        <v>322</v>
      </c>
      <c r="E69" s="52" t="s">
        <v>320</v>
      </c>
      <c r="F69" s="8"/>
      <c r="G69" s="118"/>
      <c r="H69" s="52" t="s">
        <v>330</v>
      </c>
      <c r="I69" s="52" t="s">
        <v>321</v>
      </c>
      <c r="J69" s="52" t="s">
        <v>322</v>
      </c>
      <c r="K69" s="52" t="s">
        <v>320</v>
      </c>
      <c r="L69" s="8"/>
    </row>
    <row r="70" spans="1:12">
      <c r="A70" s="118">
        <v>1</v>
      </c>
      <c r="B70" s="54">
        <v>0</v>
      </c>
      <c r="C70" s="317">
        <v>25441631.619969293</v>
      </c>
      <c r="D70" s="317">
        <v>25441631.619969293</v>
      </c>
      <c r="E70" s="317">
        <f t="shared" ref="E70:E101" si="0">IF(C70="","",ABS(D70-C70))</f>
        <v>0</v>
      </c>
      <c r="F70" s="8"/>
      <c r="G70" s="118">
        <v>1</v>
      </c>
      <c r="H70" s="54">
        <v>0</v>
      </c>
      <c r="I70" s="317">
        <v>25501998.148789361</v>
      </c>
      <c r="J70" s="317">
        <v>25501998.148789361</v>
      </c>
      <c r="K70" s="317">
        <f t="shared" ref="K70:K101" si="1">IF(I70="","",ABS(J70-I70))</f>
        <v>0</v>
      </c>
      <c r="L70" s="8"/>
    </row>
    <row r="71" spans="1:12">
      <c r="A71" s="118">
        <v>2</v>
      </c>
      <c r="B71" s="54">
        <v>0</v>
      </c>
      <c r="C71" s="317">
        <v>25441631.619969293</v>
      </c>
      <c r="D71" s="317">
        <v>25441631.619969293</v>
      </c>
      <c r="E71" s="317">
        <f t="shared" si="0"/>
        <v>0</v>
      </c>
      <c r="F71" s="8"/>
      <c r="G71" s="118">
        <v>2</v>
      </c>
      <c r="H71" s="54">
        <v>0</v>
      </c>
      <c r="I71" s="317">
        <v>25501998.148789361</v>
      </c>
      <c r="J71" s="317">
        <v>25501998.148789361</v>
      </c>
      <c r="K71" s="317">
        <f t="shared" si="1"/>
        <v>0</v>
      </c>
      <c r="L71" s="8"/>
    </row>
    <row r="72" spans="1:12">
      <c r="A72" s="118">
        <v>3</v>
      </c>
      <c r="B72" s="54">
        <v>0</v>
      </c>
      <c r="C72" s="317">
        <v>25441631.619969293</v>
      </c>
      <c r="D72" s="317">
        <v>25441631.619969293</v>
      </c>
      <c r="E72" s="317">
        <f t="shared" si="0"/>
        <v>0</v>
      </c>
      <c r="F72" s="8"/>
      <c r="G72" s="118">
        <v>3</v>
      </c>
      <c r="H72" s="54">
        <v>0</v>
      </c>
      <c r="I72" s="317">
        <v>25501998.148789361</v>
      </c>
      <c r="J72" s="317">
        <v>25501998.148789361</v>
      </c>
      <c r="K72" s="317">
        <f t="shared" si="1"/>
        <v>0</v>
      </c>
      <c r="L72" s="8"/>
    </row>
    <row r="73" spans="1:12">
      <c r="A73" s="118">
        <v>4</v>
      </c>
      <c r="B73" s="54">
        <v>0</v>
      </c>
      <c r="C73" s="317">
        <v>25441631.619969293</v>
      </c>
      <c r="D73" s="317">
        <v>25441631.619969293</v>
      </c>
      <c r="E73" s="317">
        <f t="shared" si="0"/>
        <v>0</v>
      </c>
      <c r="F73" s="8"/>
      <c r="G73" s="118">
        <v>4</v>
      </c>
      <c r="H73" s="54">
        <v>0</v>
      </c>
      <c r="I73" s="317">
        <v>25501998.148789361</v>
      </c>
      <c r="J73" s="317">
        <v>25501998.148789361</v>
      </c>
      <c r="K73" s="317">
        <f t="shared" si="1"/>
        <v>0</v>
      </c>
      <c r="L73" s="8"/>
    </row>
    <row r="74" spans="1:12">
      <c r="A74" s="118">
        <v>5</v>
      </c>
      <c r="B74" s="54">
        <v>0</v>
      </c>
      <c r="C74" s="317">
        <v>25441631.619969293</v>
      </c>
      <c r="D74" s="317">
        <v>25441631.619969293</v>
      </c>
      <c r="E74" s="317">
        <f t="shared" si="0"/>
        <v>0</v>
      </c>
      <c r="F74" s="8"/>
      <c r="G74" s="118">
        <v>5</v>
      </c>
      <c r="H74" s="54">
        <v>0</v>
      </c>
      <c r="I74" s="317">
        <v>25501998.148789361</v>
      </c>
      <c r="J74" s="317">
        <v>25501998.148789361</v>
      </c>
      <c r="K74" s="317">
        <f t="shared" si="1"/>
        <v>0</v>
      </c>
      <c r="L74" s="8"/>
    </row>
    <row r="75" spans="1:12">
      <c r="A75" s="118">
        <v>6</v>
      </c>
      <c r="B75" s="54">
        <v>0</v>
      </c>
      <c r="C75" s="317">
        <v>25441631.619969293</v>
      </c>
      <c r="D75" s="317">
        <v>25441631.619969293</v>
      </c>
      <c r="E75" s="317">
        <f t="shared" si="0"/>
        <v>0</v>
      </c>
      <c r="F75" s="8"/>
      <c r="G75" s="118">
        <v>6</v>
      </c>
      <c r="H75" s="54">
        <v>0</v>
      </c>
      <c r="I75" s="317">
        <v>25501998.148789361</v>
      </c>
      <c r="J75" s="317">
        <v>25501998.148789361</v>
      </c>
      <c r="K75" s="317">
        <f t="shared" si="1"/>
        <v>0</v>
      </c>
      <c r="L75" s="8"/>
    </row>
    <row r="76" spans="1:12">
      <c r="A76" s="118">
        <v>7</v>
      </c>
      <c r="B76" s="54" t="s">
        <v>371</v>
      </c>
      <c r="C76" s="317">
        <v>25441631.619969293</v>
      </c>
      <c r="D76" s="317">
        <v>25441631.619969293</v>
      </c>
      <c r="E76" s="317">
        <f t="shared" si="0"/>
        <v>0</v>
      </c>
      <c r="F76" s="8"/>
      <c r="G76" s="118">
        <v>7</v>
      </c>
      <c r="H76" s="54" t="s">
        <v>371</v>
      </c>
      <c r="I76" s="317">
        <v>25501998.148789361</v>
      </c>
      <c r="J76" s="317">
        <v>25501998.148789361</v>
      </c>
      <c r="K76" s="317">
        <f t="shared" si="1"/>
        <v>0</v>
      </c>
      <c r="L76" s="8"/>
    </row>
    <row r="77" spans="1:12">
      <c r="A77" s="118">
        <v>8</v>
      </c>
      <c r="B77" s="54" t="s">
        <v>372</v>
      </c>
      <c r="C77" s="317">
        <v>25441631.619969293</v>
      </c>
      <c r="D77" s="317">
        <v>25441631.619969293</v>
      </c>
      <c r="E77" s="317">
        <f t="shared" si="0"/>
        <v>0</v>
      </c>
      <c r="F77" s="8"/>
      <c r="G77" s="118">
        <v>8</v>
      </c>
      <c r="H77" s="54" t="s">
        <v>372</v>
      </c>
      <c r="I77" s="317">
        <v>25501998.148789361</v>
      </c>
      <c r="J77" s="317">
        <v>25501998.148789361</v>
      </c>
      <c r="K77" s="317">
        <f t="shared" si="1"/>
        <v>0</v>
      </c>
      <c r="L77" s="8"/>
    </row>
    <row r="78" spans="1:12">
      <c r="A78" s="118">
        <v>9</v>
      </c>
      <c r="B78" s="54" t="s">
        <v>342</v>
      </c>
      <c r="C78" s="317">
        <v>25441631.619969293</v>
      </c>
      <c r="D78" s="317">
        <v>25441631.619969293</v>
      </c>
      <c r="E78" s="317">
        <f t="shared" si="0"/>
        <v>0</v>
      </c>
      <c r="F78" s="8"/>
      <c r="G78" s="118">
        <v>9</v>
      </c>
      <c r="H78" s="54" t="s">
        <v>342</v>
      </c>
      <c r="I78" s="317">
        <v>25501998.148789361</v>
      </c>
      <c r="J78" s="317">
        <v>25501998.148789361</v>
      </c>
      <c r="K78" s="317">
        <f t="shared" si="1"/>
        <v>0</v>
      </c>
      <c r="L78" s="8"/>
    </row>
    <row r="79" spans="1:12">
      <c r="A79" s="118">
        <v>10</v>
      </c>
      <c r="B79" s="54" t="s">
        <v>342</v>
      </c>
      <c r="C79" s="317">
        <v>25441631.619969293</v>
      </c>
      <c r="D79" s="317">
        <v>25441631.619969293</v>
      </c>
      <c r="E79" s="317">
        <f t="shared" si="0"/>
        <v>0</v>
      </c>
      <c r="F79" s="8"/>
      <c r="G79" s="118">
        <v>10</v>
      </c>
      <c r="H79" s="54" t="s">
        <v>342</v>
      </c>
      <c r="I79" s="317">
        <v>25501998.148789361</v>
      </c>
      <c r="J79" s="317">
        <v>25501998.148789361</v>
      </c>
      <c r="K79" s="317">
        <f t="shared" si="1"/>
        <v>0</v>
      </c>
      <c r="L79" s="8"/>
    </row>
    <row r="80" spans="1:12">
      <c r="A80" s="118">
        <v>11</v>
      </c>
      <c r="B80" s="54" t="s">
        <v>373</v>
      </c>
      <c r="C80" s="317">
        <v>25441631.619969293</v>
      </c>
      <c r="D80" s="317">
        <v>25441631.619969293</v>
      </c>
      <c r="E80" s="317">
        <f t="shared" si="0"/>
        <v>0</v>
      </c>
      <c r="F80" s="8"/>
      <c r="G80" s="118">
        <v>11</v>
      </c>
      <c r="H80" s="54" t="s">
        <v>373</v>
      </c>
      <c r="I80" s="317">
        <v>25501998.148789361</v>
      </c>
      <c r="J80" s="317">
        <v>25501998.148789361</v>
      </c>
      <c r="K80" s="317">
        <f t="shared" si="1"/>
        <v>0</v>
      </c>
      <c r="L80" s="8"/>
    </row>
    <row r="81" spans="1:12">
      <c r="A81" s="118">
        <v>12</v>
      </c>
      <c r="B81" s="54" t="s">
        <v>342</v>
      </c>
      <c r="C81" s="317">
        <v>25441631.619969293</v>
      </c>
      <c r="D81" s="317">
        <v>25441631.619969293</v>
      </c>
      <c r="E81" s="317">
        <f t="shared" si="0"/>
        <v>0</v>
      </c>
      <c r="F81" s="8"/>
      <c r="G81" s="118">
        <v>12</v>
      </c>
      <c r="H81" s="54" t="s">
        <v>342</v>
      </c>
      <c r="I81" s="317">
        <v>25501998.148789361</v>
      </c>
      <c r="J81" s="317">
        <v>25501998.148789361</v>
      </c>
      <c r="K81" s="317">
        <f t="shared" si="1"/>
        <v>0</v>
      </c>
      <c r="L81" s="8"/>
    </row>
    <row r="82" spans="1:12">
      <c r="A82" s="118">
        <v>13</v>
      </c>
      <c r="B82" s="54" t="s">
        <v>342</v>
      </c>
      <c r="C82" s="317">
        <v>25441631.619969293</v>
      </c>
      <c r="D82" s="317">
        <v>25441631.619969293</v>
      </c>
      <c r="E82" s="317">
        <f t="shared" si="0"/>
        <v>0</v>
      </c>
      <c r="F82" s="8"/>
      <c r="G82" s="118">
        <v>13</v>
      </c>
      <c r="H82" s="54" t="s">
        <v>342</v>
      </c>
      <c r="I82" s="317">
        <v>25501998.148789361</v>
      </c>
      <c r="J82" s="317">
        <v>25501998.148789361</v>
      </c>
      <c r="K82" s="317">
        <f t="shared" si="1"/>
        <v>0</v>
      </c>
      <c r="L82" s="8"/>
    </row>
    <row r="83" spans="1:12">
      <c r="A83" s="118">
        <v>14</v>
      </c>
      <c r="B83" s="54" t="s">
        <v>342</v>
      </c>
      <c r="C83" s="317">
        <v>25441631.619969293</v>
      </c>
      <c r="D83" s="317">
        <v>25441631.619969293</v>
      </c>
      <c r="E83" s="317">
        <f t="shared" si="0"/>
        <v>0</v>
      </c>
      <c r="F83" s="8"/>
      <c r="G83" s="118">
        <v>14</v>
      </c>
      <c r="H83" s="54" t="s">
        <v>342</v>
      </c>
      <c r="I83" s="317">
        <v>25501998.148789361</v>
      </c>
      <c r="J83" s="317">
        <v>25501998.148789361</v>
      </c>
      <c r="K83" s="317">
        <f t="shared" si="1"/>
        <v>0</v>
      </c>
      <c r="L83" s="8"/>
    </row>
    <row r="84" spans="1:12">
      <c r="A84" s="118">
        <v>15</v>
      </c>
      <c r="B84" s="54" t="s">
        <v>342</v>
      </c>
      <c r="C84" s="317">
        <v>25441631.619969293</v>
      </c>
      <c r="D84" s="317">
        <v>25441631.619969293</v>
      </c>
      <c r="E84" s="317">
        <f t="shared" si="0"/>
        <v>0</v>
      </c>
      <c r="F84" s="8"/>
      <c r="G84" s="118">
        <v>15</v>
      </c>
      <c r="H84" s="54" t="s">
        <v>342</v>
      </c>
      <c r="I84" s="317">
        <v>25501998.148789361</v>
      </c>
      <c r="J84" s="317">
        <v>25501998.148789361</v>
      </c>
      <c r="K84" s="317">
        <f t="shared" si="1"/>
        <v>0</v>
      </c>
      <c r="L84" s="8"/>
    </row>
    <row r="85" spans="1:12">
      <c r="A85" s="118">
        <v>16</v>
      </c>
      <c r="B85" s="54" t="s">
        <v>342</v>
      </c>
      <c r="C85" s="317">
        <v>25441631.619969293</v>
      </c>
      <c r="D85" s="317">
        <v>25441631.619969293</v>
      </c>
      <c r="E85" s="317">
        <f t="shared" si="0"/>
        <v>0</v>
      </c>
      <c r="F85" s="8"/>
      <c r="G85" s="118">
        <v>16</v>
      </c>
      <c r="H85" s="54" t="s">
        <v>342</v>
      </c>
      <c r="I85" s="317">
        <v>25501998.148789361</v>
      </c>
      <c r="J85" s="317">
        <v>25501998.148789361</v>
      </c>
      <c r="K85" s="317">
        <f t="shared" si="1"/>
        <v>0</v>
      </c>
      <c r="L85" s="8"/>
    </row>
    <row r="86" spans="1:12">
      <c r="A86" s="118">
        <v>17</v>
      </c>
      <c r="B86" s="54" t="s">
        <v>342</v>
      </c>
      <c r="C86" s="317">
        <v>25441631.619969293</v>
      </c>
      <c r="D86" s="317">
        <v>25441631.619969293</v>
      </c>
      <c r="E86" s="317">
        <f t="shared" si="0"/>
        <v>0</v>
      </c>
      <c r="F86" s="8"/>
      <c r="G86" s="118">
        <v>17</v>
      </c>
      <c r="H86" s="54" t="s">
        <v>342</v>
      </c>
      <c r="I86" s="317">
        <v>25501998.148789361</v>
      </c>
      <c r="J86" s="317">
        <v>25501998.148789361</v>
      </c>
      <c r="K86" s="317">
        <f t="shared" si="1"/>
        <v>0</v>
      </c>
      <c r="L86" s="8"/>
    </row>
    <row r="87" spans="1:12">
      <c r="A87" s="118">
        <v>18</v>
      </c>
      <c r="B87" s="54" t="s">
        <v>342</v>
      </c>
      <c r="C87" s="317">
        <v>25441631.619969293</v>
      </c>
      <c r="D87" s="317">
        <v>25441631.619969293</v>
      </c>
      <c r="E87" s="317">
        <f t="shared" si="0"/>
        <v>0</v>
      </c>
      <c r="F87" s="8"/>
      <c r="G87" s="118">
        <v>18</v>
      </c>
      <c r="H87" s="54" t="s">
        <v>342</v>
      </c>
      <c r="I87" s="317">
        <v>25501998.148789361</v>
      </c>
      <c r="J87" s="317">
        <v>25501998.148789361</v>
      </c>
      <c r="K87" s="317">
        <f t="shared" si="1"/>
        <v>0</v>
      </c>
      <c r="L87" s="8"/>
    </row>
    <row r="88" spans="1:12">
      <c r="A88" s="118">
        <v>19</v>
      </c>
      <c r="B88" s="54" t="s">
        <v>342</v>
      </c>
      <c r="C88" s="317">
        <v>25441631.619969293</v>
      </c>
      <c r="D88" s="317">
        <v>25441631.619969293</v>
      </c>
      <c r="E88" s="317">
        <f t="shared" si="0"/>
        <v>0</v>
      </c>
      <c r="F88" s="8"/>
      <c r="G88" s="118">
        <v>19</v>
      </c>
      <c r="H88" s="54" t="s">
        <v>342</v>
      </c>
      <c r="I88" s="317">
        <v>25501998.148789361</v>
      </c>
      <c r="J88" s="317">
        <v>25501998.148789361</v>
      </c>
      <c r="K88" s="317">
        <f t="shared" si="1"/>
        <v>0</v>
      </c>
      <c r="L88" s="8"/>
    </row>
    <row r="89" spans="1:12">
      <c r="A89" s="118">
        <v>20</v>
      </c>
      <c r="B89" s="54" t="s">
        <v>342</v>
      </c>
      <c r="C89" s="317">
        <v>25441631.619969293</v>
      </c>
      <c r="D89" s="317">
        <v>25441631.619969293</v>
      </c>
      <c r="E89" s="317">
        <f t="shared" si="0"/>
        <v>0</v>
      </c>
      <c r="F89" s="8"/>
      <c r="G89" s="118">
        <v>20</v>
      </c>
      <c r="H89" s="54" t="s">
        <v>342</v>
      </c>
      <c r="I89" s="317">
        <v>25501998.148789361</v>
      </c>
      <c r="J89" s="317">
        <v>25501998.148789361</v>
      </c>
      <c r="K89" s="317">
        <f t="shared" si="1"/>
        <v>0</v>
      </c>
      <c r="L89" s="8"/>
    </row>
    <row r="90" spans="1:12">
      <c r="A90" s="118">
        <v>21</v>
      </c>
      <c r="B90" s="54" t="s">
        <v>375</v>
      </c>
      <c r="C90" s="317">
        <v>25441631.619969293</v>
      </c>
      <c r="D90" s="317">
        <v>25441631.619969293</v>
      </c>
      <c r="E90" s="317">
        <f t="shared" si="0"/>
        <v>0</v>
      </c>
      <c r="F90" s="8"/>
      <c r="G90" s="118">
        <v>21</v>
      </c>
      <c r="H90" s="54" t="s">
        <v>375</v>
      </c>
      <c r="I90" s="317">
        <v>25501998.148789361</v>
      </c>
      <c r="J90" s="317">
        <v>25501998.148789361</v>
      </c>
      <c r="K90" s="317">
        <f t="shared" si="1"/>
        <v>0</v>
      </c>
      <c r="L90" s="8"/>
    </row>
    <row r="91" spans="1:12">
      <c r="A91" s="118">
        <v>22</v>
      </c>
      <c r="B91" s="54" t="s">
        <v>343</v>
      </c>
      <c r="C91" s="317">
        <v>25441631.619969293</v>
      </c>
      <c r="D91" s="317">
        <v>25441631.619969293</v>
      </c>
      <c r="E91" s="317">
        <f t="shared" si="0"/>
        <v>0</v>
      </c>
      <c r="F91" s="8"/>
      <c r="G91" s="118">
        <v>22</v>
      </c>
      <c r="H91" s="54" t="s">
        <v>343</v>
      </c>
      <c r="I91" s="317">
        <v>25501998.148789361</v>
      </c>
      <c r="J91" s="317">
        <v>25501998.148789361</v>
      </c>
      <c r="K91" s="317">
        <f t="shared" si="1"/>
        <v>0</v>
      </c>
      <c r="L91" s="8"/>
    </row>
    <row r="92" spans="1:12">
      <c r="A92" s="118">
        <v>23</v>
      </c>
      <c r="B92" s="54" t="s">
        <v>343</v>
      </c>
      <c r="C92" s="317">
        <v>25441631.619969293</v>
      </c>
      <c r="D92" s="317">
        <v>25441631.619969293</v>
      </c>
      <c r="E92" s="317">
        <f t="shared" si="0"/>
        <v>0</v>
      </c>
      <c r="F92" s="8"/>
      <c r="G92" s="118">
        <v>23</v>
      </c>
      <c r="H92" s="54" t="s">
        <v>343</v>
      </c>
      <c r="I92" s="317">
        <v>25501998.148789361</v>
      </c>
      <c r="J92" s="317">
        <v>25501998.148789361</v>
      </c>
      <c r="K92" s="317">
        <f t="shared" si="1"/>
        <v>0</v>
      </c>
      <c r="L92" s="8"/>
    </row>
    <row r="93" spans="1:12">
      <c r="A93" s="118">
        <v>24</v>
      </c>
      <c r="B93" s="54" t="s">
        <v>343</v>
      </c>
      <c r="C93" s="317">
        <v>25441631.619969293</v>
      </c>
      <c r="D93" s="317">
        <v>25441631.619969293</v>
      </c>
      <c r="E93" s="317">
        <f t="shared" si="0"/>
        <v>0</v>
      </c>
      <c r="F93" s="8"/>
      <c r="G93" s="118">
        <v>24</v>
      </c>
      <c r="H93" s="54" t="s">
        <v>343</v>
      </c>
      <c r="I93" s="317">
        <v>25501998.148789361</v>
      </c>
      <c r="J93" s="317">
        <v>25501998.148789361</v>
      </c>
      <c r="K93" s="317">
        <f t="shared" si="1"/>
        <v>0</v>
      </c>
      <c r="L93" s="8"/>
    </row>
    <row r="94" spans="1:12">
      <c r="A94" s="118">
        <v>25</v>
      </c>
      <c r="B94" s="54" t="s">
        <v>343</v>
      </c>
      <c r="C94" s="317">
        <v>25441631.619969293</v>
      </c>
      <c r="D94" s="317">
        <v>25441631.619969293</v>
      </c>
      <c r="E94" s="317">
        <f t="shared" si="0"/>
        <v>0</v>
      </c>
      <c r="F94" s="8"/>
      <c r="G94" s="118">
        <v>25</v>
      </c>
      <c r="H94" s="54" t="s">
        <v>343</v>
      </c>
      <c r="I94" s="317">
        <v>25501998.148789361</v>
      </c>
      <c r="J94" s="317">
        <v>25501998.148789361</v>
      </c>
      <c r="K94" s="317">
        <f t="shared" si="1"/>
        <v>0</v>
      </c>
      <c r="L94" s="8"/>
    </row>
    <row r="95" spans="1:12">
      <c r="A95" s="118">
        <v>26</v>
      </c>
      <c r="B95" s="54" t="s">
        <v>343</v>
      </c>
      <c r="C95" s="317">
        <v>25441631.619969293</v>
      </c>
      <c r="D95" s="317">
        <v>25441631.619969293</v>
      </c>
      <c r="E95" s="317">
        <f t="shared" si="0"/>
        <v>0</v>
      </c>
      <c r="F95" s="8"/>
      <c r="G95" s="118">
        <v>26</v>
      </c>
      <c r="H95" s="54" t="s">
        <v>343</v>
      </c>
      <c r="I95" s="317">
        <v>25501998.148789361</v>
      </c>
      <c r="J95" s="317">
        <v>25501998.148789361</v>
      </c>
      <c r="K95" s="317">
        <f t="shared" si="1"/>
        <v>0</v>
      </c>
      <c r="L95" s="8"/>
    </row>
    <row r="96" spans="1:12">
      <c r="A96" s="118">
        <v>27</v>
      </c>
      <c r="B96" s="54" t="s">
        <v>343</v>
      </c>
      <c r="C96" s="317">
        <v>25441631.619969293</v>
      </c>
      <c r="D96" s="317">
        <v>25441631.619969293</v>
      </c>
      <c r="E96" s="317">
        <f t="shared" si="0"/>
        <v>0</v>
      </c>
      <c r="F96" s="8"/>
      <c r="G96" s="118">
        <v>27</v>
      </c>
      <c r="H96" s="54" t="s">
        <v>343</v>
      </c>
      <c r="I96" s="317">
        <v>25501998.148789361</v>
      </c>
      <c r="J96" s="317">
        <v>25501998.148789361</v>
      </c>
      <c r="K96" s="317">
        <f t="shared" si="1"/>
        <v>0</v>
      </c>
      <c r="L96" s="8"/>
    </row>
    <row r="97" spans="1:12">
      <c r="A97" s="118">
        <v>28</v>
      </c>
      <c r="B97" s="54" t="s">
        <v>343</v>
      </c>
      <c r="C97" s="317">
        <v>25441631.619969293</v>
      </c>
      <c r="D97" s="317">
        <v>25441631.619969293</v>
      </c>
      <c r="E97" s="317">
        <f t="shared" si="0"/>
        <v>0</v>
      </c>
      <c r="F97" s="8"/>
      <c r="G97" s="118">
        <v>28</v>
      </c>
      <c r="H97" s="54" t="s">
        <v>343</v>
      </c>
      <c r="I97" s="317">
        <v>25501998.148789361</v>
      </c>
      <c r="J97" s="317">
        <v>25501998.148789361</v>
      </c>
      <c r="K97" s="317">
        <f t="shared" si="1"/>
        <v>0</v>
      </c>
      <c r="L97" s="8"/>
    </row>
    <row r="98" spans="1:12">
      <c r="A98" s="118">
        <v>29</v>
      </c>
      <c r="B98" s="54" t="s">
        <v>343</v>
      </c>
      <c r="C98" s="317">
        <v>25441631.619969293</v>
      </c>
      <c r="D98" s="317">
        <v>25441631.619969293</v>
      </c>
      <c r="E98" s="317">
        <f t="shared" si="0"/>
        <v>0</v>
      </c>
      <c r="F98" s="8"/>
      <c r="G98" s="118">
        <v>29</v>
      </c>
      <c r="H98" s="54" t="s">
        <v>343</v>
      </c>
      <c r="I98" s="317">
        <v>25501998.148789361</v>
      </c>
      <c r="J98" s="317">
        <v>25501998.148789361</v>
      </c>
      <c r="K98" s="317">
        <f t="shared" si="1"/>
        <v>0</v>
      </c>
      <c r="L98" s="8"/>
    </row>
    <row r="99" spans="1:12">
      <c r="A99" s="118">
        <v>30</v>
      </c>
      <c r="B99" s="54" t="s">
        <v>343</v>
      </c>
      <c r="C99" s="317">
        <v>25441631.619969293</v>
      </c>
      <c r="D99" s="317">
        <v>25441631.619969293</v>
      </c>
      <c r="E99" s="317">
        <f t="shared" si="0"/>
        <v>0</v>
      </c>
      <c r="F99" s="8"/>
      <c r="G99" s="118">
        <v>30</v>
      </c>
      <c r="H99" s="54" t="s">
        <v>343</v>
      </c>
      <c r="I99" s="317">
        <v>25501998.148789361</v>
      </c>
      <c r="J99" s="317">
        <v>25501998.148789361</v>
      </c>
      <c r="K99" s="317">
        <f t="shared" si="1"/>
        <v>0</v>
      </c>
      <c r="L99" s="8"/>
    </row>
    <row r="100" spans="1:12">
      <c r="A100" s="118">
        <v>31</v>
      </c>
      <c r="B100" s="54" t="s">
        <v>343</v>
      </c>
      <c r="C100" s="317">
        <v>25441631.619969293</v>
      </c>
      <c r="D100" s="317">
        <v>25441631.619969293</v>
      </c>
      <c r="E100" s="317">
        <f t="shared" si="0"/>
        <v>0</v>
      </c>
      <c r="F100" s="8"/>
      <c r="G100" s="118">
        <v>31</v>
      </c>
      <c r="H100" s="54" t="s">
        <v>343</v>
      </c>
      <c r="I100" s="317">
        <v>25501998.148789361</v>
      </c>
      <c r="J100" s="317">
        <v>25501998.148789361</v>
      </c>
      <c r="K100" s="317">
        <f t="shared" si="1"/>
        <v>0</v>
      </c>
      <c r="L100" s="8"/>
    </row>
    <row r="101" spans="1:12">
      <c r="A101" s="118">
        <v>32</v>
      </c>
      <c r="B101" s="54" t="s">
        <v>343</v>
      </c>
      <c r="C101" s="317">
        <v>25441631.619969293</v>
      </c>
      <c r="D101" s="317">
        <v>25441631.619969293</v>
      </c>
      <c r="E101" s="317">
        <f t="shared" si="0"/>
        <v>0</v>
      </c>
      <c r="F101" s="8"/>
      <c r="G101" s="118">
        <v>32</v>
      </c>
      <c r="H101" s="54" t="s">
        <v>343</v>
      </c>
      <c r="I101" s="317">
        <v>25501998.148789361</v>
      </c>
      <c r="J101" s="317">
        <v>25501998.148789361</v>
      </c>
      <c r="K101" s="317">
        <f t="shared" si="1"/>
        <v>0</v>
      </c>
      <c r="L101" s="8"/>
    </row>
    <row r="102" spans="1:12">
      <c r="A102" s="118">
        <v>33</v>
      </c>
      <c r="B102" s="54" t="s">
        <v>377</v>
      </c>
      <c r="C102" s="317">
        <v>25441631.619969293</v>
      </c>
      <c r="D102" s="317">
        <v>25441631.619969293</v>
      </c>
      <c r="E102" s="317">
        <f t="shared" ref="E102:E129" si="2">IF(C102="","",ABS(D102-C102))</f>
        <v>0</v>
      </c>
      <c r="F102" s="8"/>
      <c r="G102" s="118">
        <v>33</v>
      </c>
      <c r="H102" s="54" t="s">
        <v>377</v>
      </c>
      <c r="I102" s="317">
        <v>25501998.148789361</v>
      </c>
      <c r="J102" s="317">
        <v>25501998.148789361</v>
      </c>
      <c r="K102" s="317">
        <f t="shared" ref="K102:K129" si="3">IF(I102="","",ABS(J102-I102))</f>
        <v>0</v>
      </c>
      <c r="L102" s="8"/>
    </row>
    <row r="103" spans="1:12">
      <c r="A103" s="118">
        <v>34</v>
      </c>
      <c r="B103" s="54" t="s">
        <v>378</v>
      </c>
      <c r="C103" s="317">
        <v>25441631.619969293</v>
      </c>
      <c r="D103" s="317">
        <v>25441631.619969293</v>
      </c>
      <c r="E103" s="317">
        <f t="shared" si="2"/>
        <v>0</v>
      </c>
      <c r="F103" s="8"/>
      <c r="G103" s="118">
        <v>34</v>
      </c>
      <c r="H103" s="54" t="s">
        <v>378</v>
      </c>
      <c r="I103" s="317">
        <v>25501998.148789361</v>
      </c>
      <c r="J103" s="317">
        <v>25501998.148789361</v>
      </c>
      <c r="K103" s="317">
        <f t="shared" si="3"/>
        <v>0</v>
      </c>
      <c r="L103" s="8"/>
    </row>
    <row r="104" spans="1:12">
      <c r="A104" s="118">
        <v>35</v>
      </c>
      <c r="B104" s="54" t="s">
        <v>344</v>
      </c>
      <c r="C104" s="317">
        <v>25441631.619969293</v>
      </c>
      <c r="D104" s="317">
        <v>25441631.619969293</v>
      </c>
      <c r="E104" s="317">
        <f t="shared" si="2"/>
        <v>0</v>
      </c>
      <c r="F104" s="8"/>
      <c r="G104" s="118">
        <v>35</v>
      </c>
      <c r="H104" s="54" t="s">
        <v>344</v>
      </c>
      <c r="I104" s="317">
        <v>25501998.148789361</v>
      </c>
      <c r="J104" s="317">
        <v>25501998.148789361</v>
      </c>
      <c r="K104" s="317">
        <f t="shared" si="3"/>
        <v>0</v>
      </c>
      <c r="L104" s="8"/>
    </row>
    <row r="105" spans="1:12">
      <c r="A105" s="118">
        <v>36</v>
      </c>
      <c r="B105" s="54" t="s">
        <v>344</v>
      </c>
      <c r="C105" s="317">
        <v>25441631.619969293</v>
      </c>
      <c r="D105" s="317">
        <v>25441631.619969293</v>
      </c>
      <c r="E105" s="317">
        <f t="shared" si="2"/>
        <v>0</v>
      </c>
      <c r="F105" s="8"/>
      <c r="G105" s="118">
        <v>36</v>
      </c>
      <c r="H105" s="54" t="s">
        <v>344</v>
      </c>
      <c r="I105" s="317">
        <v>25501998.148789361</v>
      </c>
      <c r="J105" s="317">
        <v>25501998.148789361</v>
      </c>
      <c r="K105" s="317">
        <f t="shared" si="3"/>
        <v>0</v>
      </c>
      <c r="L105" s="8"/>
    </row>
    <row r="106" spans="1:12">
      <c r="A106" s="118">
        <v>37</v>
      </c>
      <c r="B106" s="54" t="s">
        <v>379</v>
      </c>
      <c r="C106" s="317">
        <v>25441631.619969293</v>
      </c>
      <c r="D106" s="317">
        <v>25441631.619969293</v>
      </c>
      <c r="E106" s="317">
        <f t="shared" si="2"/>
        <v>0</v>
      </c>
      <c r="F106" s="8"/>
      <c r="G106" s="118">
        <v>37</v>
      </c>
      <c r="H106" s="54" t="s">
        <v>379</v>
      </c>
      <c r="I106" s="317">
        <v>25501998.148789361</v>
      </c>
      <c r="J106" s="317">
        <v>25501998.148789361</v>
      </c>
      <c r="K106" s="317">
        <f t="shared" si="3"/>
        <v>0</v>
      </c>
      <c r="L106" s="8"/>
    </row>
    <row r="107" spans="1:12">
      <c r="A107" s="118">
        <v>38</v>
      </c>
      <c r="B107" s="54" t="s">
        <v>344</v>
      </c>
      <c r="C107" s="317">
        <v>25441631.619969293</v>
      </c>
      <c r="D107" s="317">
        <v>25441631.619969293</v>
      </c>
      <c r="E107" s="317">
        <f t="shared" si="2"/>
        <v>0</v>
      </c>
      <c r="F107" s="8"/>
      <c r="G107" s="118">
        <v>38</v>
      </c>
      <c r="H107" s="54" t="s">
        <v>344</v>
      </c>
      <c r="I107" s="317">
        <v>25501998.148789361</v>
      </c>
      <c r="J107" s="317">
        <v>25501998.148789361</v>
      </c>
      <c r="K107" s="317">
        <f t="shared" si="3"/>
        <v>0</v>
      </c>
      <c r="L107" s="8"/>
    </row>
    <row r="108" spans="1:12">
      <c r="A108" s="118">
        <v>39</v>
      </c>
      <c r="B108" s="54" t="s">
        <v>344</v>
      </c>
      <c r="C108" s="317">
        <v>25441631.619969293</v>
      </c>
      <c r="D108" s="317">
        <v>25441631.619969293</v>
      </c>
      <c r="E108" s="317">
        <f t="shared" si="2"/>
        <v>0</v>
      </c>
      <c r="F108" s="8"/>
      <c r="G108" s="118">
        <v>39</v>
      </c>
      <c r="H108" s="54" t="s">
        <v>344</v>
      </c>
      <c r="I108" s="317">
        <v>25501998.148789361</v>
      </c>
      <c r="J108" s="317">
        <v>25501998.148789361</v>
      </c>
      <c r="K108" s="317">
        <f t="shared" si="3"/>
        <v>0</v>
      </c>
      <c r="L108" s="8"/>
    </row>
    <row r="109" spans="1:12">
      <c r="A109" s="118">
        <v>40</v>
      </c>
      <c r="B109" s="54" t="s">
        <v>344</v>
      </c>
      <c r="C109" s="317">
        <v>25441631.619969293</v>
      </c>
      <c r="D109" s="317">
        <v>25441631.619969293</v>
      </c>
      <c r="E109" s="317">
        <f t="shared" si="2"/>
        <v>0</v>
      </c>
      <c r="F109" s="8"/>
      <c r="G109" s="118">
        <v>40</v>
      </c>
      <c r="H109" s="54" t="s">
        <v>344</v>
      </c>
      <c r="I109" s="317">
        <v>25501998.148789361</v>
      </c>
      <c r="J109" s="317">
        <v>25501998.148789361</v>
      </c>
      <c r="K109" s="317">
        <f t="shared" si="3"/>
        <v>0</v>
      </c>
      <c r="L109" s="8"/>
    </row>
    <row r="110" spans="1:12">
      <c r="A110" s="118">
        <v>41</v>
      </c>
      <c r="B110" s="54" t="s">
        <v>344</v>
      </c>
      <c r="C110" s="317">
        <v>25441631.619969293</v>
      </c>
      <c r="D110" s="317">
        <v>25441631.619969293</v>
      </c>
      <c r="E110" s="317">
        <f t="shared" si="2"/>
        <v>0</v>
      </c>
      <c r="F110" s="8"/>
      <c r="G110" s="118">
        <v>41</v>
      </c>
      <c r="H110" s="54" t="s">
        <v>344</v>
      </c>
      <c r="I110" s="317">
        <v>25501998.148789361</v>
      </c>
      <c r="J110" s="317">
        <v>25501998.148789361</v>
      </c>
      <c r="K110" s="317">
        <f t="shared" si="3"/>
        <v>0</v>
      </c>
      <c r="L110" s="8"/>
    </row>
    <row r="111" spans="1:12">
      <c r="A111" s="118">
        <v>42</v>
      </c>
      <c r="B111" s="54" t="s">
        <v>344</v>
      </c>
      <c r="C111" s="317">
        <v>25441631.619969293</v>
      </c>
      <c r="D111" s="317">
        <v>25441631.619969293</v>
      </c>
      <c r="E111" s="317">
        <f t="shared" si="2"/>
        <v>0</v>
      </c>
      <c r="F111" s="8"/>
      <c r="G111" s="118">
        <v>42</v>
      </c>
      <c r="H111" s="54" t="s">
        <v>344</v>
      </c>
      <c r="I111" s="317">
        <v>25501998.148789361</v>
      </c>
      <c r="J111" s="317">
        <v>25501998.148789361</v>
      </c>
      <c r="K111" s="317">
        <f t="shared" si="3"/>
        <v>0</v>
      </c>
      <c r="L111" s="8"/>
    </row>
    <row r="112" spans="1:12">
      <c r="A112" s="118">
        <v>43</v>
      </c>
      <c r="B112" s="54" t="s">
        <v>344</v>
      </c>
      <c r="C112" s="317">
        <v>25441631.619969293</v>
      </c>
      <c r="D112" s="317">
        <v>25441631.619969293</v>
      </c>
      <c r="E112" s="317">
        <f t="shared" si="2"/>
        <v>0</v>
      </c>
      <c r="F112" s="8"/>
      <c r="G112" s="118">
        <v>43</v>
      </c>
      <c r="H112" s="54" t="s">
        <v>344</v>
      </c>
      <c r="I112" s="317">
        <v>25501998.148789361</v>
      </c>
      <c r="J112" s="317">
        <v>25501998.148789361</v>
      </c>
      <c r="K112" s="317">
        <f t="shared" si="3"/>
        <v>0</v>
      </c>
      <c r="L112" s="8"/>
    </row>
    <row r="113" spans="1:12">
      <c r="A113" s="118">
        <v>44</v>
      </c>
      <c r="B113" s="54" t="s">
        <v>344</v>
      </c>
      <c r="C113" s="317">
        <v>25441631.619969293</v>
      </c>
      <c r="D113" s="317">
        <v>25441631.619969293</v>
      </c>
      <c r="E113" s="317">
        <f t="shared" si="2"/>
        <v>0</v>
      </c>
      <c r="F113" s="8"/>
      <c r="G113" s="118">
        <v>44</v>
      </c>
      <c r="H113" s="54" t="s">
        <v>344</v>
      </c>
      <c r="I113" s="317">
        <v>25501998.148789361</v>
      </c>
      <c r="J113" s="317">
        <v>25501998.148789361</v>
      </c>
      <c r="K113" s="317">
        <f t="shared" si="3"/>
        <v>0</v>
      </c>
      <c r="L113" s="8"/>
    </row>
    <row r="114" spans="1:12">
      <c r="A114" s="118">
        <v>45</v>
      </c>
      <c r="B114" s="54" t="s">
        <v>344</v>
      </c>
      <c r="C114" s="317">
        <v>25441631.619969293</v>
      </c>
      <c r="D114" s="317">
        <v>25441631.619969293</v>
      </c>
      <c r="E114" s="317">
        <f t="shared" si="2"/>
        <v>0</v>
      </c>
      <c r="F114" s="8"/>
      <c r="G114" s="118">
        <v>45</v>
      </c>
      <c r="H114" s="54" t="s">
        <v>344</v>
      </c>
      <c r="I114" s="317">
        <v>25501998.148789361</v>
      </c>
      <c r="J114" s="317">
        <v>25501998.148789361</v>
      </c>
      <c r="K114" s="317">
        <f t="shared" si="3"/>
        <v>0</v>
      </c>
      <c r="L114" s="8"/>
    </row>
    <row r="115" spans="1:12">
      <c r="A115" s="118">
        <v>46</v>
      </c>
      <c r="B115" s="54" t="s">
        <v>344</v>
      </c>
      <c r="C115" s="317">
        <v>25441631.619969293</v>
      </c>
      <c r="D115" s="317">
        <v>25441631.619969293</v>
      </c>
      <c r="E115" s="317">
        <f t="shared" si="2"/>
        <v>0</v>
      </c>
      <c r="F115" s="8"/>
      <c r="G115" s="118">
        <v>46</v>
      </c>
      <c r="H115" s="54" t="s">
        <v>344</v>
      </c>
      <c r="I115" s="317">
        <v>25501998.148789361</v>
      </c>
      <c r="J115" s="317">
        <v>25501998.148789361</v>
      </c>
      <c r="K115" s="317">
        <f t="shared" si="3"/>
        <v>0</v>
      </c>
      <c r="L115" s="8"/>
    </row>
    <row r="116" spans="1:12">
      <c r="A116" s="118">
        <v>47</v>
      </c>
      <c r="B116" s="54" t="s">
        <v>230</v>
      </c>
      <c r="C116" s="317">
        <v>25441631.619969286</v>
      </c>
      <c r="D116" s="317">
        <v>25441631.61996929</v>
      </c>
      <c r="E116" s="317">
        <f t="shared" si="2"/>
        <v>3.7252902984619141E-9</v>
      </c>
      <c r="F116" s="8"/>
      <c r="G116" s="118">
        <v>47</v>
      </c>
      <c r="H116" s="54" t="s">
        <v>230</v>
      </c>
      <c r="I116" s="317">
        <v>25501998.148789361</v>
      </c>
      <c r="J116" s="317">
        <v>25501998.148789361</v>
      </c>
      <c r="K116" s="317">
        <f t="shared" si="3"/>
        <v>0</v>
      </c>
      <c r="L116" s="8"/>
    </row>
    <row r="117" spans="1:12">
      <c r="A117" s="118">
        <v>48</v>
      </c>
      <c r="B117" s="54" t="s">
        <v>233</v>
      </c>
      <c r="C117" s="317">
        <v>25441000.905307893</v>
      </c>
      <c r="D117" s="317">
        <v>25442262.334630676</v>
      </c>
      <c r="E117" s="317">
        <f t="shared" si="2"/>
        <v>1261.4293227829039</v>
      </c>
      <c r="F117" s="8"/>
      <c r="G117" s="118">
        <v>48</v>
      </c>
      <c r="H117" s="54" t="s">
        <v>232</v>
      </c>
      <c r="I117" s="317">
        <v>25501998.148789361</v>
      </c>
      <c r="J117" s="317">
        <v>25501998.148789361</v>
      </c>
      <c r="K117" s="317">
        <f t="shared" si="3"/>
        <v>0</v>
      </c>
      <c r="L117" s="8"/>
    </row>
    <row r="118" spans="1:12">
      <c r="A118" s="118">
        <v>49</v>
      </c>
      <c r="B118" s="54" t="s">
        <v>232</v>
      </c>
      <c r="C118" s="317">
        <v>25454335.640394688</v>
      </c>
      <c r="D118" s="317">
        <v>25428927.599543877</v>
      </c>
      <c r="E118" s="317">
        <f t="shared" si="2"/>
        <v>25408.040850810707</v>
      </c>
      <c r="F118" s="8"/>
      <c r="G118" s="118">
        <v>49</v>
      </c>
      <c r="H118" s="54" t="s">
        <v>233</v>
      </c>
      <c r="I118" s="317">
        <v>25501998.148789361</v>
      </c>
      <c r="J118" s="317">
        <v>25501998.148789361</v>
      </c>
      <c r="K118" s="317">
        <f t="shared" si="3"/>
        <v>0</v>
      </c>
      <c r="L118" s="8"/>
    </row>
    <row r="119" spans="1:12">
      <c r="A119" s="118">
        <v>50</v>
      </c>
      <c r="B119" s="54" t="s">
        <v>376</v>
      </c>
      <c r="C119" s="317">
        <v>27726262.976766311</v>
      </c>
      <c r="D119" s="317">
        <v>23157000.263172239</v>
      </c>
      <c r="E119" s="317">
        <f t="shared" si="2"/>
        <v>4569262.7135940716</v>
      </c>
      <c r="F119" s="8"/>
      <c r="G119" s="118">
        <v>50</v>
      </c>
      <c r="H119" s="54" t="s">
        <v>376</v>
      </c>
      <c r="I119" s="317">
        <v>27786629.505586375</v>
      </c>
      <c r="J119" s="317">
        <v>23217366.791992329</v>
      </c>
      <c r="K119" s="317">
        <f t="shared" si="3"/>
        <v>4569262.7135940455</v>
      </c>
      <c r="L119" s="8"/>
    </row>
    <row r="120" spans="1:12">
      <c r="A120" s="118">
        <v>51</v>
      </c>
      <c r="B120" s="54" t="s">
        <v>357</v>
      </c>
      <c r="C120" s="317">
        <v>20353305.295975413</v>
      </c>
      <c r="D120" s="317">
        <v>30529957.943963118</v>
      </c>
      <c r="E120" s="317">
        <f t="shared" si="2"/>
        <v>10176652.647987705</v>
      </c>
      <c r="F120" s="8"/>
      <c r="G120" s="118">
        <v>51</v>
      </c>
      <c r="H120" s="54" t="s">
        <v>357</v>
      </c>
      <c r="I120" s="317">
        <v>20401598.519031484</v>
      </c>
      <c r="J120" s="317">
        <v>30602397.778547227</v>
      </c>
      <c r="K120" s="317">
        <f t="shared" si="3"/>
        <v>10200799.259515744</v>
      </c>
      <c r="L120" s="8"/>
    </row>
    <row r="121" spans="1:12">
      <c r="A121" s="118">
        <v>52</v>
      </c>
      <c r="B121" s="54" t="s">
        <v>358</v>
      </c>
      <c r="C121" s="317">
        <v>20353305.295975413</v>
      </c>
      <c r="D121" s="317">
        <v>30529957.943963118</v>
      </c>
      <c r="E121" s="317">
        <f t="shared" si="2"/>
        <v>10176652.647987705</v>
      </c>
      <c r="F121" s="8"/>
      <c r="G121" s="118">
        <v>52</v>
      </c>
      <c r="H121" s="54" t="s">
        <v>358</v>
      </c>
      <c r="I121" s="317">
        <v>20401598.519031484</v>
      </c>
      <c r="J121" s="317">
        <v>30602397.778547227</v>
      </c>
      <c r="K121" s="317">
        <f t="shared" si="3"/>
        <v>10200799.259515744</v>
      </c>
      <c r="L121" s="8"/>
    </row>
    <row r="122" spans="1:12">
      <c r="A122" s="118">
        <v>53</v>
      </c>
      <c r="B122" s="54" t="s">
        <v>356</v>
      </c>
      <c r="C122" s="317">
        <v>20353305.295975413</v>
      </c>
      <c r="D122" s="317">
        <v>30529957.943963122</v>
      </c>
      <c r="E122" s="317">
        <f t="shared" si="2"/>
        <v>10176652.647987708</v>
      </c>
      <c r="F122" s="8"/>
      <c r="G122" s="118">
        <v>53</v>
      </c>
      <c r="H122" s="54" t="s">
        <v>356</v>
      </c>
      <c r="I122" s="317">
        <v>20401598.519031484</v>
      </c>
      <c r="J122" s="317">
        <v>30602397.778547235</v>
      </c>
      <c r="K122" s="317">
        <f t="shared" si="3"/>
        <v>10200799.259515751</v>
      </c>
      <c r="L122" s="8"/>
    </row>
    <row r="123" spans="1:12">
      <c r="A123" s="118">
        <v>54</v>
      </c>
      <c r="B123" s="54" t="s">
        <v>374</v>
      </c>
      <c r="C123" s="317">
        <v>18056600.633414388</v>
      </c>
      <c r="D123" s="317">
        <v>32826662.606524184</v>
      </c>
      <c r="E123" s="317">
        <f t="shared" si="2"/>
        <v>14770061.973109797</v>
      </c>
      <c r="F123" s="8"/>
      <c r="G123" s="118">
        <v>54</v>
      </c>
      <c r="H123" s="54" t="s">
        <v>374</v>
      </c>
      <c r="I123" s="317">
        <v>18116967.162234463</v>
      </c>
      <c r="J123" s="317">
        <v>32887029.135344271</v>
      </c>
      <c r="K123" s="317">
        <f t="shared" si="3"/>
        <v>14770061.973109808</v>
      </c>
      <c r="L123" s="8"/>
    </row>
    <row r="124" spans="1:12">
      <c r="A124" s="118">
        <v>55</v>
      </c>
      <c r="B124" s="54"/>
      <c r="C124" s="317"/>
      <c r="D124" s="317"/>
      <c r="E124" s="317" t="str">
        <f t="shared" si="2"/>
        <v/>
      </c>
      <c r="F124" s="8"/>
      <c r="G124" s="118">
        <v>55</v>
      </c>
      <c r="H124" s="54"/>
      <c r="I124" s="317"/>
      <c r="J124" s="317"/>
      <c r="K124" s="317" t="str">
        <f t="shared" si="3"/>
        <v/>
      </c>
      <c r="L124" s="8"/>
    </row>
    <row r="125" spans="1:12">
      <c r="A125" s="118">
        <v>56</v>
      </c>
      <c r="B125" s="54"/>
      <c r="C125" s="317"/>
      <c r="D125" s="317"/>
      <c r="E125" s="317" t="str">
        <f t="shared" si="2"/>
        <v/>
      </c>
      <c r="F125" s="8"/>
      <c r="G125" s="118">
        <v>56</v>
      </c>
      <c r="H125" s="54"/>
      <c r="I125" s="317"/>
      <c r="J125" s="317"/>
      <c r="K125" s="317" t="str">
        <f t="shared" si="3"/>
        <v/>
      </c>
      <c r="L125" s="8"/>
    </row>
    <row r="126" spans="1:12">
      <c r="A126" s="118">
        <v>57</v>
      </c>
      <c r="B126" s="54"/>
      <c r="C126" s="317"/>
      <c r="D126" s="317"/>
      <c r="E126" s="317" t="str">
        <f t="shared" si="2"/>
        <v/>
      </c>
      <c r="F126" s="8"/>
      <c r="G126" s="118">
        <v>57</v>
      </c>
      <c r="H126" s="54"/>
      <c r="I126" s="317"/>
      <c r="J126" s="317"/>
      <c r="K126" s="317" t="str">
        <f t="shared" si="3"/>
        <v/>
      </c>
      <c r="L126" s="8"/>
    </row>
    <row r="127" spans="1:12">
      <c r="A127" s="118">
        <v>58</v>
      </c>
      <c r="B127" s="54"/>
      <c r="C127" s="317"/>
      <c r="D127" s="317"/>
      <c r="E127" s="317" t="str">
        <f t="shared" si="2"/>
        <v/>
      </c>
      <c r="F127" s="8"/>
      <c r="G127" s="118">
        <v>58</v>
      </c>
      <c r="H127" s="54"/>
      <c r="I127" s="317"/>
      <c r="J127" s="317"/>
      <c r="K127" s="317" t="str">
        <f t="shared" si="3"/>
        <v/>
      </c>
      <c r="L127" s="8"/>
    </row>
    <row r="128" spans="1:12">
      <c r="A128" s="118">
        <v>59</v>
      </c>
      <c r="B128" s="54"/>
      <c r="C128" s="317"/>
      <c r="D128" s="317"/>
      <c r="E128" s="317" t="str">
        <f t="shared" si="2"/>
        <v/>
      </c>
      <c r="F128" s="8"/>
      <c r="G128" s="118">
        <v>59</v>
      </c>
      <c r="H128" s="54"/>
      <c r="I128" s="317"/>
      <c r="J128" s="317"/>
      <c r="K128" s="317" t="str">
        <f t="shared" si="3"/>
        <v/>
      </c>
      <c r="L128" s="8"/>
    </row>
    <row r="129" spans="1:19">
      <c r="A129" s="118">
        <v>60</v>
      </c>
      <c r="B129" s="54"/>
      <c r="C129" s="317"/>
      <c r="D129" s="317"/>
      <c r="E129" s="317" t="str">
        <f t="shared" si="2"/>
        <v/>
      </c>
      <c r="F129" s="8"/>
      <c r="G129" s="118">
        <v>60</v>
      </c>
      <c r="H129" s="54"/>
      <c r="I129" s="317"/>
      <c r="J129" s="317"/>
      <c r="K129" s="317" t="str">
        <f t="shared" si="3"/>
        <v/>
      </c>
      <c r="L129" s="8"/>
    </row>
    <row r="137" spans="1:19" s="3" customFormat="1" ht="13.95" customHeight="1">
      <c r="B137" s="7"/>
      <c r="C137" s="7"/>
      <c r="D137" s="7"/>
      <c r="E137" s="7"/>
      <c r="F137" s="7"/>
      <c r="G137" s="7"/>
      <c r="H137" s="7"/>
      <c r="I137" s="7"/>
      <c r="J137" s="7"/>
      <c r="K137" s="7"/>
      <c r="L137" s="142"/>
      <c r="M137" s="9"/>
      <c r="N137" s="9"/>
      <c r="O137" s="9"/>
      <c r="P137" s="9"/>
      <c r="Q137" s="9"/>
      <c r="R137" s="9"/>
      <c r="S137" s="9"/>
    </row>
    <row r="138" spans="1:19" s="3" customFormat="1">
      <c r="B138" s="65"/>
      <c r="C138" s="65"/>
      <c r="D138" s="65"/>
      <c r="E138" s="65"/>
      <c r="F138" s="65"/>
      <c r="G138" s="65"/>
      <c r="H138" s="65"/>
      <c r="I138" s="65"/>
      <c r="J138" s="65"/>
      <c r="K138" s="65"/>
      <c r="L138" s="65"/>
    </row>
    <row r="139" spans="1:19" s="3" customFormat="1" ht="14.55" customHeight="1">
      <c r="B139" s="404" t="s">
        <v>77</v>
      </c>
      <c r="C139" s="404"/>
      <c r="D139" s="404"/>
      <c r="E139" s="404"/>
      <c r="F139" s="404"/>
      <c r="G139" s="404"/>
      <c r="H139" s="404"/>
      <c r="I139" s="404"/>
      <c r="J139" s="404"/>
      <c r="K139" s="404"/>
      <c r="L139" s="404"/>
    </row>
    <row r="140" spans="1:19" s="3" customFormat="1">
      <c r="B140" s="378"/>
      <c r="C140" s="378"/>
      <c r="D140" s="378"/>
      <c r="E140" s="378"/>
      <c r="F140" s="378"/>
      <c r="G140" s="378"/>
      <c r="H140" s="378"/>
      <c r="I140" s="378"/>
      <c r="J140" s="378"/>
      <c r="K140" s="378"/>
      <c r="L140" s="378"/>
    </row>
    <row r="141" spans="1:19" ht="85.95" customHeight="1">
      <c r="A141" s="1"/>
      <c r="B141" s="403" t="e" vm="1">
        <v>#VALUE!</v>
      </c>
      <c r="C141" s="403"/>
      <c r="D141" s="403"/>
      <c r="E141" s="403"/>
      <c r="F141" s="403"/>
      <c r="G141" s="403"/>
      <c r="H141" s="403"/>
      <c r="I141" s="403"/>
      <c r="J141" s="403"/>
      <c r="K141" s="403"/>
      <c r="L141" s="403"/>
    </row>
  </sheetData>
  <mergeCells count="2">
    <mergeCell ref="B139:L139"/>
    <mergeCell ref="B141:L14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15</vt:i4>
      </vt:variant>
      <vt:variant>
        <vt:lpstr>Intervalos Nomeados</vt:lpstr>
      </vt:variant>
      <vt:variant>
        <vt:i4>189</vt:i4>
      </vt:variant>
    </vt:vector>
  </HeadingPairs>
  <TitlesOfParts>
    <vt:vector size="204" baseType="lpstr">
      <vt:lpstr>Introduction</vt:lpstr>
      <vt:lpstr>Definitions</vt:lpstr>
      <vt:lpstr>Mkt share</vt:lpstr>
      <vt:lpstr>Population</vt:lpstr>
      <vt:lpstr>Costs</vt:lpstr>
      <vt:lpstr>Time on treatment</vt:lpstr>
      <vt:lpstr>Results</vt:lpstr>
      <vt:lpstr>SensibilityAn</vt:lpstr>
      <vt:lpstr>PSA</vt:lpstr>
      <vt:lpstr>Data</vt:lpstr>
      <vt:lpstr>Calculations</vt:lpstr>
      <vt:lpstr>Calculations2</vt:lpstr>
      <vt:lpstr>Calculations3</vt:lpstr>
      <vt:lpstr>Parameters</vt:lpstr>
      <vt:lpstr>DSA</vt:lpstr>
      <vt:lpstr>ano_1</vt:lpstr>
      <vt:lpstr>c_inicial</vt:lpstr>
      <vt:lpstr>c_off</vt:lpstr>
      <vt:lpstr>c_on</vt:lpstr>
      <vt:lpstr>ca_comp1</vt:lpstr>
      <vt:lpstr>ca_comp10</vt:lpstr>
      <vt:lpstr>ca_comp2</vt:lpstr>
      <vt:lpstr>ca_comp3</vt:lpstr>
      <vt:lpstr>ca_comp4</vt:lpstr>
      <vt:lpstr>ca_comp5</vt:lpstr>
      <vt:lpstr>ca_comp6</vt:lpstr>
      <vt:lpstr>ca_comp7</vt:lpstr>
      <vt:lpstr>ca_comp8</vt:lpstr>
      <vt:lpstr>ca_comp9</vt:lpstr>
      <vt:lpstr>ca_int1</vt:lpstr>
      <vt:lpstr>ca_int2</vt:lpstr>
      <vt:lpstr>ca_int3</vt:lpstr>
      <vt:lpstr>ca_int4</vt:lpstr>
      <vt:lpstr>calculo</vt:lpstr>
      <vt:lpstr>cen_atual</vt:lpstr>
      <vt:lpstr>cen_prop1</vt:lpstr>
      <vt:lpstr>cen_prop2</vt:lpstr>
      <vt:lpstr>cen_prop3</vt:lpstr>
      <vt:lpstr>ci_comp1</vt:lpstr>
      <vt:lpstr>ci_comp10</vt:lpstr>
      <vt:lpstr>ci_comp2</vt:lpstr>
      <vt:lpstr>ci_comp3</vt:lpstr>
      <vt:lpstr>ci_comp4</vt:lpstr>
      <vt:lpstr>ci_comp5</vt:lpstr>
      <vt:lpstr>ci_comp6</vt:lpstr>
      <vt:lpstr>ci_comp7</vt:lpstr>
      <vt:lpstr>ci_comp8</vt:lpstr>
      <vt:lpstr>ci_comp9</vt:lpstr>
      <vt:lpstr>ci_int1</vt:lpstr>
      <vt:lpstr>ci_int2</vt:lpstr>
      <vt:lpstr>ci_int3</vt:lpstr>
      <vt:lpstr>ci_int4</vt:lpstr>
      <vt:lpstr>comparador1</vt:lpstr>
      <vt:lpstr>comparador10</vt:lpstr>
      <vt:lpstr>comparador2</vt:lpstr>
      <vt:lpstr>comparador3</vt:lpstr>
      <vt:lpstr>comparador4</vt:lpstr>
      <vt:lpstr>comparador5</vt:lpstr>
      <vt:lpstr>comparador6</vt:lpstr>
      <vt:lpstr>comparador7</vt:lpstr>
      <vt:lpstr>comparador8</vt:lpstr>
      <vt:lpstr>comparador9</vt:lpstr>
      <vt:lpstr>ct_comp1</vt:lpstr>
      <vt:lpstr>ct_comp10</vt:lpstr>
      <vt:lpstr>ct_comp2</vt:lpstr>
      <vt:lpstr>ct_comp3</vt:lpstr>
      <vt:lpstr>ct_comp4</vt:lpstr>
      <vt:lpstr>ct_comp5</vt:lpstr>
      <vt:lpstr>ct_comp6</vt:lpstr>
      <vt:lpstr>ct_comp7</vt:lpstr>
      <vt:lpstr>ct_comp8</vt:lpstr>
      <vt:lpstr>ct_comp9</vt:lpstr>
      <vt:lpstr>ct_int1</vt:lpstr>
      <vt:lpstr>ct_int2</vt:lpstr>
      <vt:lpstr>ct_int3</vt:lpstr>
      <vt:lpstr>ct_int4</vt:lpstr>
      <vt:lpstr>demanda</vt:lpstr>
      <vt:lpstr>desc_por_ob</vt:lpstr>
      <vt:lpstr>desc1_1</vt:lpstr>
      <vt:lpstr>desc1_2</vt:lpstr>
      <vt:lpstr>desc1_3</vt:lpstr>
      <vt:lpstr>desc1_4</vt:lpstr>
      <vt:lpstr>desc10_1</vt:lpstr>
      <vt:lpstr>desc10_2</vt:lpstr>
      <vt:lpstr>desc10_3</vt:lpstr>
      <vt:lpstr>desc10_4</vt:lpstr>
      <vt:lpstr>desc11_1</vt:lpstr>
      <vt:lpstr>desc11_2</vt:lpstr>
      <vt:lpstr>desc11_3</vt:lpstr>
      <vt:lpstr>desc11_4</vt:lpstr>
      <vt:lpstr>desc12_1</vt:lpstr>
      <vt:lpstr>desc12_2</vt:lpstr>
      <vt:lpstr>desc12_3</vt:lpstr>
      <vt:lpstr>desc12_4</vt:lpstr>
      <vt:lpstr>desc13_1</vt:lpstr>
      <vt:lpstr>desc13_2</vt:lpstr>
      <vt:lpstr>desc13_3</vt:lpstr>
      <vt:lpstr>desc13_4</vt:lpstr>
      <vt:lpstr>desc14_1</vt:lpstr>
      <vt:lpstr>desc14_2</vt:lpstr>
      <vt:lpstr>desc14_3</vt:lpstr>
      <vt:lpstr>desc14_4</vt:lpstr>
      <vt:lpstr>desc2_1</vt:lpstr>
      <vt:lpstr>desc2_2</vt:lpstr>
      <vt:lpstr>desc2_3</vt:lpstr>
      <vt:lpstr>desc2_4</vt:lpstr>
      <vt:lpstr>desc3_1</vt:lpstr>
      <vt:lpstr>desc3_2</vt:lpstr>
      <vt:lpstr>desc3_3</vt:lpstr>
      <vt:lpstr>desc3_4</vt:lpstr>
      <vt:lpstr>desc4_1</vt:lpstr>
      <vt:lpstr>desc4_2</vt:lpstr>
      <vt:lpstr>desc4_3</vt:lpstr>
      <vt:lpstr>desc4_4</vt:lpstr>
      <vt:lpstr>desc5_1</vt:lpstr>
      <vt:lpstr>desc5_2</vt:lpstr>
      <vt:lpstr>desc5_3</vt:lpstr>
      <vt:lpstr>desc5_4</vt:lpstr>
      <vt:lpstr>desc6_1</vt:lpstr>
      <vt:lpstr>desc6_2</vt:lpstr>
      <vt:lpstr>desc6_3</vt:lpstr>
      <vt:lpstr>desc6_4</vt:lpstr>
      <vt:lpstr>desc7_1</vt:lpstr>
      <vt:lpstr>desc7_2</vt:lpstr>
      <vt:lpstr>desc7_3</vt:lpstr>
      <vt:lpstr>desc7_4</vt:lpstr>
      <vt:lpstr>desc8_1</vt:lpstr>
      <vt:lpstr>desc8_2</vt:lpstr>
      <vt:lpstr>desc8_3</vt:lpstr>
      <vt:lpstr>desc8_4</vt:lpstr>
      <vt:lpstr>desc9_1</vt:lpstr>
      <vt:lpstr>desc9_2</vt:lpstr>
      <vt:lpstr>desc9_3</vt:lpstr>
      <vt:lpstr>desc9_4</vt:lpstr>
      <vt:lpstr>descontinua</vt:lpstr>
      <vt:lpstr>dynamic</vt:lpstr>
      <vt:lpstr>horizonte</vt:lpstr>
      <vt:lpstr>intervencao1</vt:lpstr>
      <vt:lpstr>intervencao2</vt:lpstr>
      <vt:lpstr>intervencao3</vt:lpstr>
      <vt:lpstr>intervencao4</vt:lpstr>
      <vt:lpstr>line</vt:lpstr>
      <vt:lpstr>morte</vt:lpstr>
      <vt:lpstr>n_compar</vt:lpstr>
      <vt:lpstr>n_interv</vt:lpstr>
      <vt:lpstr>ob1_1</vt:lpstr>
      <vt:lpstr>ob1_2</vt:lpstr>
      <vt:lpstr>ob1_3</vt:lpstr>
      <vt:lpstr>ob1_4</vt:lpstr>
      <vt:lpstr>ob10_1</vt:lpstr>
      <vt:lpstr>ob10_2</vt:lpstr>
      <vt:lpstr>ob10_3</vt:lpstr>
      <vt:lpstr>ob10_4</vt:lpstr>
      <vt:lpstr>ob11_1</vt:lpstr>
      <vt:lpstr>ob11_2</vt:lpstr>
      <vt:lpstr>ob11_3</vt:lpstr>
      <vt:lpstr>ob11_4</vt:lpstr>
      <vt:lpstr>ob12_1</vt:lpstr>
      <vt:lpstr>ob12_2</vt:lpstr>
      <vt:lpstr>ob12_3</vt:lpstr>
      <vt:lpstr>ob12_4</vt:lpstr>
      <vt:lpstr>ob13_1</vt:lpstr>
      <vt:lpstr>ob13_2</vt:lpstr>
      <vt:lpstr>ob13_3</vt:lpstr>
      <vt:lpstr>ob13_4</vt:lpstr>
      <vt:lpstr>ob14_1</vt:lpstr>
      <vt:lpstr>ob14_2</vt:lpstr>
      <vt:lpstr>ob14_3</vt:lpstr>
      <vt:lpstr>ob14_4</vt:lpstr>
      <vt:lpstr>ob2_1</vt:lpstr>
      <vt:lpstr>ob2_2</vt:lpstr>
      <vt:lpstr>ob2_3</vt:lpstr>
      <vt:lpstr>ob2_4</vt:lpstr>
      <vt:lpstr>ob3_1</vt:lpstr>
      <vt:lpstr>ob3_2</vt:lpstr>
      <vt:lpstr>ob3_3</vt:lpstr>
      <vt:lpstr>ob3_4</vt:lpstr>
      <vt:lpstr>ob4_1</vt:lpstr>
      <vt:lpstr>ob4_2</vt:lpstr>
      <vt:lpstr>ob4_3</vt:lpstr>
      <vt:lpstr>ob4_4</vt:lpstr>
      <vt:lpstr>ob5_1</vt:lpstr>
      <vt:lpstr>ob5_2</vt:lpstr>
      <vt:lpstr>ob5_3</vt:lpstr>
      <vt:lpstr>ob5_4</vt:lpstr>
      <vt:lpstr>ob6_1</vt:lpstr>
      <vt:lpstr>ob6_2</vt:lpstr>
      <vt:lpstr>ob6_3</vt:lpstr>
      <vt:lpstr>ob6_4</vt:lpstr>
      <vt:lpstr>ob7_1</vt:lpstr>
      <vt:lpstr>ob7_2</vt:lpstr>
      <vt:lpstr>ob7_3</vt:lpstr>
      <vt:lpstr>ob7_4</vt:lpstr>
      <vt:lpstr>ob8_1</vt:lpstr>
      <vt:lpstr>ob8_2</vt:lpstr>
      <vt:lpstr>ob8_3</vt:lpstr>
      <vt:lpstr>ob8_4</vt:lpstr>
      <vt:lpstr>ob9_1</vt:lpstr>
      <vt:lpstr>ob9_2</vt:lpstr>
      <vt:lpstr>ob9_3</vt:lpstr>
      <vt:lpstr>ob9_4</vt:lpstr>
      <vt:lpstr>obito</vt:lpstr>
      <vt:lpstr>populacao</vt:lpstr>
      <vt:lpstr>uso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Layssa Andrade Oliveira; Ludmila Peres Gargano</dc:creator>
  <cp:keywords/>
  <dc:description/>
  <cp:lastModifiedBy>Revisor</cp:lastModifiedBy>
  <cp:revision/>
  <dcterms:created xsi:type="dcterms:W3CDTF">2024-03-04T15:47:50Z</dcterms:created>
  <dcterms:modified xsi:type="dcterms:W3CDTF">2026-09-24T21:44:29Z</dcterms:modified>
  <cp:category/>
  <cp:contentStatus/>
</cp:coreProperties>
</file>